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vbva\Downloads\"/>
    </mc:Choice>
  </mc:AlternateContent>
  <bookViews>
    <workbookView xWindow="0" yWindow="0" windowWidth="17256" windowHeight="5928" activeTab="2"/>
  </bookViews>
  <sheets>
    <sheet name="May-2022" sheetId="19" r:id="rId1"/>
    <sheet name="July-2022" sheetId="20" r:id="rId2"/>
    <sheet name="Aug-2022" sheetId="24" r:id="rId3"/>
    <sheet name="August-2022" sheetId="23" state="hidden" r:id="rId4"/>
    <sheet name="October Actual v Budget" sheetId="16" state="hidden" r:id="rId5"/>
    <sheet name="May" sheetId="8" state="hidden" r:id="rId6"/>
    <sheet name="April" sheetId="7" state="hidden" r:id="rId7"/>
    <sheet name="March" sheetId="3" state="hidden" r:id="rId8"/>
    <sheet name="Feburary" sheetId="1" state="hidden" r:id="rId9"/>
    <sheet name="Janurary" sheetId="2" state="hidden" r:id="rId10"/>
  </sheets>
  <definedNames>
    <definedName name="_xlnm._FilterDatabase" localSheetId="2" hidden="1">'Aug-2022'!$B$3:$AL$131</definedName>
    <definedName name="_xlnm._FilterDatabase" localSheetId="8" hidden="1">Feburary!$C$3:$AI$123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2" i="24" l="1"/>
  <c r="T21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8" i="24"/>
  <c r="D4" i="24"/>
  <c r="G22" i="24"/>
  <c r="G21" i="24"/>
  <c r="J65" i="24"/>
  <c r="J64" i="24"/>
  <c r="H50" i="24"/>
  <c r="H51" i="24" s="1"/>
  <c r="H47" i="24"/>
  <c r="H46" i="24"/>
  <c r="H75" i="24"/>
  <c r="H74" i="24"/>
  <c r="D51" i="24"/>
  <c r="D41" i="24"/>
  <c r="F32" i="24"/>
  <c r="F31" i="24"/>
  <c r="F22" i="24"/>
  <c r="F21" i="24"/>
  <c r="F52" i="24"/>
  <c r="AH50" i="24"/>
  <c r="AG50" i="24"/>
  <c r="AF50" i="24"/>
  <c r="AE50" i="24"/>
  <c r="AD50" i="24"/>
  <c r="AC50" i="24"/>
  <c r="AB50" i="24"/>
  <c r="AB51" i="24" s="1"/>
  <c r="AA50" i="24"/>
  <c r="Z50" i="24"/>
  <c r="Y50" i="24"/>
  <c r="X50" i="24"/>
  <c r="X51" i="24" s="1"/>
  <c r="W50" i="24"/>
  <c r="V50" i="24"/>
  <c r="U50" i="24"/>
  <c r="T50" i="24"/>
  <c r="T51" i="24" s="1"/>
  <c r="S50" i="24"/>
  <c r="R50" i="24"/>
  <c r="Q50" i="24"/>
  <c r="P50" i="24"/>
  <c r="P51" i="24" s="1"/>
  <c r="O50" i="24"/>
  <c r="N50" i="24"/>
  <c r="M50" i="24"/>
  <c r="L50" i="24"/>
  <c r="L51" i="24" s="1"/>
  <c r="K50" i="24"/>
  <c r="J50" i="24"/>
  <c r="I50" i="24"/>
  <c r="G50" i="24"/>
  <c r="F50" i="24"/>
  <c r="AI112" i="24"/>
  <c r="AJ112" i="24" s="1"/>
  <c r="AI111" i="24"/>
  <c r="AI110" i="24"/>
  <c r="AI109" i="24"/>
  <c r="AJ108" i="24" s="1"/>
  <c r="AI108" i="24"/>
  <c r="AI107" i="24"/>
  <c r="AI102" i="24"/>
  <c r="AJ102" i="24" s="1"/>
  <c r="AH100" i="24"/>
  <c r="AG100" i="24"/>
  <c r="AF100" i="24"/>
  <c r="AE100" i="24"/>
  <c r="AD100" i="24"/>
  <c r="AC100" i="24"/>
  <c r="AB100" i="24"/>
  <c r="AA100" i="24"/>
  <c r="Z100" i="24"/>
  <c r="Y100" i="24"/>
  <c r="X100" i="24"/>
  <c r="W100" i="24"/>
  <c r="V100" i="24"/>
  <c r="U100" i="24"/>
  <c r="T100" i="24"/>
  <c r="S100" i="24"/>
  <c r="R100" i="24"/>
  <c r="Q100" i="24"/>
  <c r="P100" i="24"/>
  <c r="O100" i="24"/>
  <c r="N100" i="24"/>
  <c r="M100" i="24"/>
  <c r="L100" i="24"/>
  <c r="K100" i="24"/>
  <c r="J100" i="24"/>
  <c r="I100" i="24"/>
  <c r="H100" i="24"/>
  <c r="G100" i="24"/>
  <c r="F100" i="24"/>
  <c r="E100" i="24"/>
  <c r="D100" i="24"/>
  <c r="AH99" i="24"/>
  <c r="AG99" i="24"/>
  <c r="AF99" i="24"/>
  <c r="AE99" i="24"/>
  <c r="AD99" i="24"/>
  <c r="AC99" i="24"/>
  <c r="AB99" i="24"/>
  <c r="AA99" i="24"/>
  <c r="Z99" i="24"/>
  <c r="Y99" i="24"/>
  <c r="X99" i="24"/>
  <c r="W99" i="24"/>
  <c r="V99" i="24"/>
  <c r="U99" i="24"/>
  <c r="T99" i="24"/>
  <c r="S99" i="24"/>
  <c r="R99" i="24"/>
  <c r="Q99" i="24"/>
  <c r="P99" i="24"/>
  <c r="O99" i="24"/>
  <c r="N99" i="24"/>
  <c r="M99" i="24"/>
  <c r="L99" i="24"/>
  <c r="K99" i="24"/>
  <c r="J99" i="24"/>
  <c r="I99" i="24"/>
  <c r="H99" i="24"/>
  <c r="G99" i="24"/>
  <c r="F99" i="24"/>
  <c r="E99" i="24"/>
  <c r="D99" i="24"/>
  <c r="AI98" i="24"/>
  <c r="AI99" i="24" s="1"/>
  <c r="AI97" i="24"/>
  <c r="AH95" i="24"/>
  <c r="AG95" i="24"/>
  <c r="AF95" i="24"/>
  <c r="AE95" i="24"/>
  <c r="AD95" i="24"/>
  <c r="AC95" i="24"/>
  <c r="AB95" i="24"/>
  <c r="AA95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AI93" i="24"/>
  <c r="AI94" i="24" s="1"/>
  <c r="AI92" i="24"/>
  <c r="AJ92" i="24" s="1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V90" i="24"/>
  <c r="U90" i="24"/>
  <c r="T90" i="24"/>
  <c r="S90" i="24"/>
  <c r="R90" i="24"/>
  <c r="Q90" i="24"/>
  <c r="P90" i="24"/>
  <c r="O90" i="24"/>
  <c r="N90" i="24"/>
  <c r="M90" i="24"/>
  <c r="L90" i="24"/>
  <c r="K90" i="24"/>
  <c r="J90" i="24"/>
  <c r="I90" i="24"/>
  <c r="H90" i="24"/>
  <c r="G90" i="24"/>
  <c r="F90" i="24"/>
  <c r="E90" i="24"/>
  <c r="D90" i="24"/>
  <c r="AH89" i="24"/>
  <c r="AG89" i="24"/>
  <c r="AF89" i="24"/>
  <c r="AE89" i="24"/>
  <c r="AD89" i="24"/>
  <c r="AC89" i="24"/>
  <c r="AB89" i="24"/>
  <c r="AA89" i="24"/>
  <c r="Z89" i="24"/>
  <c r="Y89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H89" i="24"/>
  <c r="G89" i="24"/>
  <c r="F89" i="24"/>
  <c r="E89" i="24"/>
  <c r="D89" i="24"/>
  <c r="AI88" i="24"/>
  <c r="AI89" i="24" s="1"/>
  <c r="AI87" i="24"/>
  <c r="AJ87" i="24" s="1"/>
  <c r="AH85" i="24"/>
  <c r="AG85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AH84" i="24"/>
  <c r="AG84" i="24"/>
  <c r="AF84" i="24"/>
  <c r="AE84" i="24"/>
  <c r="AD84" i="24"/>
  <c r="AC84" i="24"/>
  <c r="AB84" i="24"/>
  <c r="AA84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AI83" i="24"/>
  <c r="AI84" i="24" s="1"/>
  <c r="AI82" i="24"/>
  <c r="AJ82" i="24" s="1"/>
  <c r="AI78" i="24"/>
  <c r="A78" i="24"/>
  <c r="A4" i="24" s="1"/>
  <c r="AI77" i="24"/>
  <c r="AH75" i="24"/>
  <c r="AG75" i="24"/>
  <c r="AF75" i="24"/>
  <c r="AE75" i="24"/>
  <c r="AD75" i="24"/>
  <c r="AC75" i="24"/>
  <c r="AB75" i="24"/>
  <c r="AA75" i="24"/>
  <c r="Z75" i="24"/>
  <c r="Y75" i="24"/>
  <c r="X75" i="24"/>
  <c r="W75" i="24"/>
  <c r="V75" i="24"/>
  <c r="U75" i="24"/>
  <c r="T75" i="24"/>
  <c r="S75" i="24"/>
  <c r="R75" i="24"/>
  <c r="Q75" i="24"/>
  <c r="P75" i="24"/>
  <c r="O75" i="24"/>
  <c r="N75" i="24"/>
  <c r="M75" i="24"/>
  <c r="L75" i="24"/>
  <c r="K75" i="24"/>
  <c r="J75" i="24"/>
  <c r="I75" i="24"/>
  <c r="G75" i="24"/>
  <c r="F75" i="24"/>
  <c r="E75" i="24"/>
  <c r="D75" i="24"/>
  <c r="AH74" i="24"/>
  <c r="AG74" i="24"/>
  <c r="AF74" i="24"/>
  <c r="AE74" i="24"/>
  <c r="AD74" i="24"/>
  <c r="AC74" i="24"/>
  <c r="AB74" i="24"/>
  <c r="AA74" i="24"/>
  <c r="Z74" i="24"/>
  <c r="Y74" i="24"/>
  <c r="X74" i="24"/>
  <c r="W74" i="24"/>
  <c r="V74" i="24"/>
  <c r="U74" i="24"/>
  <c r="T74" i="24"/>
  <c r="S74" i="24"/>
  <c r="R74" i="24"/>
  <c r="Q74" i="24"/>
  <c r="P74" i="24"/>
  <c r="O74" i="24"/>
  <c r="N74" i="24"/>
  <c r="M74" i="24"/>
  <c r="L74" i="24"/>
  <c r="K74" i="24"/>
  <c r="J74" i="24"/>
  <c r="I74" i="24"/>
  <c r="G74" i="24"/>
  <c r="F74" i="24"/>
  <c r="E74" i="24"/>
  <c r="D74" i="24"/>
  <c r="AI73" i="24"/>
  <c r="AI74" i="24" s="1"/>
  <c r="AI72" i="24"/>
  <c r="AJ72" i="24" s="1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V70" i="24"/>
  <c r="U70" i="24"/>
  <c r="T70" i="24"/>
  <c r="S70" i="24"/>
  <c r="R70" i="24"/>
  <c r="Q70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U69" i="24"/>
  <c r="T69" i="24"/>
  <c r="S69" i="24"/>
  <c r="R69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AI68" i="24"/>
  <c r="AI67" i="24"/>
  <c r="AJ67" i="24" s="1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I65" i="24"/>
  <c r="H65" i="24"/>
  <c r="G65" i="24"/>
  <c r="F65" i="24"/>
  <c r="E65" i="24"/>
  <c r="D65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I64" i="24"/>
  <c r="H64" i="24"/>
  <c r="G64" i="24"/>
  <c r="E64" i="24"/>
  <c r="D64" i="24"/>
  <c r="AI63" i="24"/>
  <c r="AI64" i="24" s="1"/>
  <c r="AI62" i="24"/>
  <c r="AJ62" i="24" s="1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AI58" i="24"/>
  <c r="AI59" i="24" s="1"/>
  <c r="AI57" i="24"/>
  <c r="AJ57" i="24" s="1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AI53" i="24"/>
  <c r="AI54" i="24" s="1"/>
  <c r="AG51" i="24"/>
  <c r="Y51" i="24"/>
  <c r="Q51" i="24"/>
  <c r="I51" i="24"/>
  <c r="AI49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G47" i="24"/>
  <c r="F47" i="24"/>
  <c r="E47" i="24"/>
  <c r="D47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G46" i="24"/>
  <c r="F46" i="24"/>
  <c r="E46" i="24"/>
  <c r="D46" i="24"/>
  <c r="AI45" i="24"/>
  <c r="AI46" i="24" s="1"/>
  <c r="AI44" i="24"/>
  <c r="AJ44" i="24" s="1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AI40" i="24"/>
  <c r="AI39" i="24"/>
  <c r="AJ39" i="24" s="1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AI35" i="24"/>
  <c r="AI36" i="24" s="1"/>
  <c r="AI34" i="24"/>
  <c r="AJ34" i="24" s="1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E32" i="24"/>
  <c r="D32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E31" i="24"/>
  <c r="D31" i="24"/>
  <c r="AI30" i="24"/>
  <c r="AI31" i="24" s="1"/>
  <c r="AI29" i="24"/>
  <c r="AJ29" i="24" s="1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I25" i="24"/>
  <c r="AI26" i="24" s="1"/>
  <c r="AI24" i="24"/>
  <c r="AJ24" i="24" s="1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E22" i="24"/>
  <c r="D22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E21" i="24"/>
  <c r="D21" i="24"/>
  <c r="AI20" i="24"/>
  <c r="AI21" i="24" s="1"/>
  <c r="AI19" i="24"/>
  <c r="AJ19" i="24" s="1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AI15" i="24"/>
  <c r="AI14" i="24"/>
  <c r="AJ14" i="24" s="1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AI10" i="24"/>
  <c r="AI11" i="24" s="1"/>
  <c r="E3" i="24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AB3" i="24" s="1"/>
  <c r="AC3" i="24" s="1"/>
  <c r="AD3" i="24" s="1"/>
  <c r="AE3" i="24" s="1"/>
  <c r="AF3" i="24" s="1"/>
  <c r="AG3" i="24" s="1"/>
  <c r="AI121" i="20"/>
  <c r="AH4" i="20"/>
  <c r="T23" i="24" l="1"/>
  <c r="G23" i="24"/>
  <c r="AG5" i="24"/>
  <c r="H76" i="24"/>
  <c r="H105" i="24" s="1"/>
  <c r="AI4" i="24"/>
  <c r="F23" i="24"/>
  <c r="H48" i="24"/>
  <c r="AF96" i="24"/>
  <c r="AF101" i="24"/>
  <c r="I96" i="24"/>
  <c r="Q96" i="24"/>
  <c r="Y101" i="24"/>
  <c r="F33" i="24"/>
  <c r="AJ121" i="20"/>
  <c r="J66" i="24"/>
  <c r="H96" i="24"/>
  <c r="P96" i="24"/>
  <c r="H101" i="24"/>
  <c r="P101" i="24"/>
  <c r="I56" i="24"/>
  <c r="X96" i="24"/>
  <c r="AG96" i="24"/>
  <c r="AG101" i="24"/>
  <c r="Y96" i="24"/>
  <c r="O33" i="24"/>
  <c r="W38" i="24"/>
  <c r="L56" i="24"/>
  <c r="D61" i="24"/>
  <c r="L61" i="24"/>
  <c r="AB61" i="24"/>
  <c r="T71" i="24"/>
  <c r="G33" i="24"/>
  <c r="G38" i="24"/>
  <c r="O43" i="24"/>
  <c r="AE33" i="24"/>
  <c r="G43" i="24"/>
  <c r="O48" i="24"/>
  <c r="AB56" i="24"/>
  <c r="T61" i="24"/>
  <c r="W33" i="24"/>
  <c r="W43" i="24"/>
  <c r="G48" i="24"/>
  <c r="D56" i="24"/>
  <c r="AJ110" i="24"/>
  <c r="J33" i="24"/>
  <c r="Q56" i="24"/>
  <c r="Y56" i="24"/>
  <c r="AG56" i="24"/>
  <c r="V86" i="24"/>
  <c r="E33" i="24"/>
  <c r="M33" i="24"/>
  <c r="U33" i="24"/>
  <c r="AC33" i="24"/>
  <c r="J56" i="24"/>
  <c r="R56" i="24"/>
  <c r="Z56" i="24"/>
  <c r="AH56" i="24"/>
  <c r="AH61" i="24"/>
  <c r="G91" i="24"/>
  <c r="O91" i="24"/>
  <c r="W91" i="24"/>
  <c r="AE91" i="24"/>
  <c r="X18" i="24"/>
  <c r="AF23" i="24"/>
  <c r="Z86" i="24"/>
  <c r="Q23" i="24"/>
  <c r="E101" i="24"/>
  <c r="P23" i="24"/>
  <c r="H38" i="24"/>
  <c r="J86" i="24"/>
  <c r="AH86" i="24"/>
  <c r="Y23" i="24"/>
  <c r="I43" i="24"/>
  <c r="Y43" i="24"/>
  <c r="N71" i="24"/>
  <c r="AD71" i="24"/>
  <c r="E23" i="24"/>
  <c r="X23" i="24"/>
  <c r="P38" i="24"/>
  <c r="AF38" i="24"/>
  <c r="I23" i="24"/>
  <c r="AG23" i="24"/>
  <c r="AG28" i="24"/>
  <c r="AG43" i="24"/>
  <c r="F66" i="24"/>
  <c r="AD66" i="24"/>
  <c r="F71" i="24"/>
  <c r="V71" i="24"/>
  <c r="H23" i="24"/>
  <c r="Q43" i="24"/>
  <c r="D13" i="24"/>
  <c r="K23" i="24"/>
  <c r="G56" i="24"/>
  <c r="W56" i="24"/>
  <c r="G61" i="24"/>
  <c r="W71" i="24"/>
  <c r="G76" i="24"/>
  <c r="G105" i="24" s="1"/>
  <c r="AE76" i="24"/>
  <c r="AE105" i="24" s="1"/>
  <c r="K43" i="24"/>
  <c r="P56" i="24"/>
  <c r="AF56" i="24"/>
  <c r="H61" i="24"/>
  <c r="X61" i="24"/>
  <c r="H66" i="24"/>
  <c r="P66" i="24"/>
  <c r="X66" i="24"/>
  <c r="AF66" i="24"/>
  <c r="K91" i="24"/>
  <c r="S91" i="24"/>
  <c r="AA91" i="24"/>
  <c r="K96" i="24"/>
  <c r="S96" i="24"/>
  <c r="AA96" i="24"/>
  <c r="D48" i="24"/>
  <c r="L48" i="24"/>
  <c r="T48" i="24"/>
  <c r="AB48" i="24"/>
  <c r="F86" i="24"/>
  <c r="N86" i="24"/>
  <c r="AD86" i="24"/>
  <c r="D96" i="24"/>
  <c r="L96" i="24"/>
  <c r="T96" i="24"/>
  <c r="AB96" i="24"/>
  <c r="AB13" i="24"/>
  <c r="AE61" i="24"/>
  <c r="S43" i="24"/>
  <c r="P61" i="24"/>
  <c r="T13" i="24"/>
  <c r="AE56" i="24"/>
  <c r="O61" i="24"/>
  <c r="O71" i="24"/>
  <c r="O76" i="24"/>
  <c r="O105" i="24" s="1"/>
  <c r="AB23" i="24"/>
  <c r="K38" i="24"/>
  <c r="AA43" i="24"/>
  <c r="X56" i="24"/>
  <c r="H18" i="24"/>
  <c r="P18" i="24"/>
  <c r="AF18" i="24"/>
  <c r="O23" i="24"/>
  <c r="AE23" i="24"/>
  <c r="S66" i="24"/>
  <c r="AA66" i="24"/>
  <c r="AI70" i="24"/>
  <c r="K76" i="24"/>
  <c r="K105" i="24" s="1"/>
  <c r="S76" i="24"/>
  <c r="S105" i="24" s="1"/>
  <c r="AA76" i="24"/>
  <c r="AA105" i="24" s="1"/>
  <c r="L13" i="24"/>
  <c r="S23" i="24"/>
  <c r="O56" i="24"/>
  <c r="W61" i="24"/>
  <c r="G71" i="24"/>
  <c r="AE71" i="24"/>
  <c r="W76" i="24"/>
  <c r="W105" i="24" s="1"/>
  <c r="AI42" i="24"/>
  <c r="H56" i="24"/>
  <c r="AF61" i="24"/>
  <c r="Y6" i="24"/>
  <c r="W48" i="24"/>
  <c r="AE48" i="24"/>
  <c r="AB71" i="24"/>
  <c r="K18" i="24"/>
  <c r="S18" i="24"/>
  <c r="AA18" i="24"/>
  <c r="X28" i="24"/>
  <c r="N33" i="24"/>
  <c r="V33" i="24"/>
  <c r="AD33" i="24"/>
  <c r="F38" i="24"/>
  <c r="N38" i="24"/>
  <c r="V38" i="24"/>
  <c r="F43" i="24"/>
  <c r="N43" i="24"/>
  <c r="V43" i="24"/>
  <c r="AD43" i="24"/>
  <c r="E48" i="24"/>
  <c r="M48" i="24"/>
  <c r="I61" i="24"/>
  <c r="Q61" i="24"/>
  <c r="Y61" i="24"/>
  <c r="AG61" i="24"/>
  <c r="I66" i="24"/>
  <c r="Q66" i="24"/>
  <c r="Y66" i="24"/>
  <c r="AG66" i="24"/>
  <c r="I71" i="24"/>
  <c r="Q71" i="24"/>
  <c r="Y71" i="24"/>
  <c r="AG71" i="24"/>
  <c r="P76" i="24"/>
  <c r="P105" i="24" s="1"/>
  <c r="X76" i="24"/>
  <c r="X105" i="24" s="1"/>
  <c r="AF76" i="24"/>
  <c r="AF105" i="24" s="1"/>
  <c r="I76" i="24"/>
  <c r="I105" i="24" s="1"/>
  <c r="Q76" i="24"/>
  <c r="Q105" i="24" s="1"/>
  <c r="Y76" i="24"/>
  <c r="Y105" i="24" s="1"/>
  <c r="AG76" i="24"/>
  <c r="AG105" i="24" s="1"/>
  <c r="E86" i="24"/>
  <c r="M86" i="24"/>
  <c r="U86" i="24"/>
  <c r="AC86" i="24"/>
  <c r="J91" i="24"/>
  <c r="R91" i="24"/>
  <c r="Z91" i="24"/>
  <c r="AH91" i="24"/>
  <c r="J96" i="24"/>
  <c r="R96" i="24"/>
  <c r="Z96" i="24"/>
  <c r="AH96" i="24"/>
  <c r="J101" i="24"/>
  <c r="R101" i="24"/>
  <c r="Z101" i="24"/>
  <c r="AH101" i="24"/>
  <c r="H43" i="24"/>
  <c r="P43" i="24"/>
  <c r="X43" i="24"/>
  <c r="AF43" i="24"/>
  <c r="K71" i="24"/>
  <c r="AA71" i="24"/>
  <c r="AC18" i="24"/>
  <c r="S28" i="24"/>
  <c r="E18" i="24"/>
  <c r="U18" i="24"/>
  <c r="D23" i="24"/>
  <c r="AA28" i="24"/>
  <c r="N23" i="24"/>
  <c r="V23" i="24"/>
  <c r="AD23" i="24"/>
  <c r="R33" i="24"/>
  <c r="AH33" i="24"/>
  <c r="E61" i="24"/>
  <c r="M61" i="24"/>
  <c r="U61" i="24"/>
  <c r="AC61" i="24"/>
  <c r="AD61" i="24"/>
  <c r="E66" i="24"/>
  <c r="M66" i="24"/>
  <c r="U66" i="24"/>
  <c r="AC66" i="24"/>
  <c r="N66" i="24"/>
  <c r="D76" i="24"/>
  <c r="D105" i="24" s="1"/>
  <c r="L76" i="24"/>
  <c r="L105" i="24" s="1"/>
  <c r="T76" i="24"/>
  <c r="T105" i="24" s="1"/>
  <c r="AB76" i="24"/>
  <c r="AB105" i="24" s="1"/>
  <c r="I86" i="24"/>
  <c r="Q86" i="24"/>
  <c r="Y86" i="24"/>
  <c r="AG86" i="24"/>
  <c r="F91" i="24"/>
  <c r="N91" i="24"/>
  <c r="V91" i="24"/>
  <c r="AD91" i="24"/>
  <c r="F101" i="24"/>
  <c r="M18" i="24"/>
  <c r="L23" i="24"/>
  <c r="I18" i="24"/>
  <c r="Q18" i="24"/>
  <c r="Y18" i="24"/>
  <c r="AG18" i="24"/>
  <c r="G66" i="24"/>
  <c r="O66" i="24"/>
  <c r="W66" i="24"/>
  <c r="AE66" i="24"/>
  <c r="K86" i="24"/>
  <c r="S86" i="24"/>
  <c r="AA86" i="24"/>
  <c r="AI85" i="24"/>
  <c r="AI86" i="24" s="1"/>
  <c r="H91" i="24"/>
  <c r="P91" i="24"/>
  <c r="X91" i="24"/>
  <c r="AF91" i="24"/>
  <c r="H71" i="24"/>
  <c r="P71" i="24"/>
  <c r="X71" i="24"/>
  <c r="AF71" i="24"/>
  <c r="N18" i="24"/>
  <c r="AJ20" i="24"/>
  <c r="AJ21" i="24" s="1"/>
  <c r="Y38" i="24"/>
  <c r="AB43" i="24"/>
  <c r="Z48" i="24"/>
  <c r="D101" i="24"/>
  <c r="L101" i="24"/>
  <c r="T101" i="24"/>
  <c r="AB101" i="24"/>
  <c r="L6" i="24"/>
  <c r="AG6" i="24"/>
  <c r="H13" i="24"/>
  <c r="P13" i="24"/>
  <c r="X13" i="24"/>
  <c r="AF13" i="24"/>
  <c r="AJ30" i="24"/>
  <c r="AJ31" i="24" s="1"/>
  <c r="J38" i="24"/>
  <c r="R38" i="24"/>
  <c r="Z38" i="24"/>
  <c r="AH38" i="24"/>
  <c r="S38" i="24"/>
  <c r="AA38" i="24"/>
  <c r="AI37" i="24"/>
  <c r="AI38" i="24" s="1"/>
  <c r="F56" i="24"/>
  <c r="N56" i="24"/>
  <c r="V56" i="24"/>
  <c r="AD56" i="24"/>
  <c r="AJ58" i="24"/>
  <c r="AJ59" i="24" s="1"/>
  <c r="K61" i="24"/>
  <c r="S61" i="24"/>
  <c r="AA61" i="24"/>
  <c r="J76" i="24"/>
  <c r="J105" i="24" s="1"/>
  <c r="R76" i="24"/>
  <c r="R105" i="24" s="1"/>
  <c r="Z76" i="24"/>
  <c r="Z105" i="24" s="1"/>
  <c r="AH76" i="24"/>
  <c r="AH105" i="24" s="1"/>
  <c r="D86" i="24"/>
  <c r="L86" i="24"/>
  <c r="T86" i="24"/>
  <c r="AB86" i="24"/>
  <c r="Q91" i="24"/>
  <c r="Y91" i="24"/>
  <c r="AG91" i="24"/>
  <c r="M101" i="24"/>
  <c r="U101" i="24"/>
  <c r="AC101" i="24"/>
  <c r="N101" i="24"/>
  <c r="V101" i="24"/>
  <c r="AJ107" i="24"/>
  <c r="X6" i="24"/>
  <c r="AC23" i="24"/>
  <c r="AE43" i="24"/>
  <c r="U48" i="24"/>
  <c r="AC48" i="24"/>
  <c r="Q28" i="24"/>
  <c r="AB38" i="24"/>
  <c r="V18" i="24"/>
  <c r="I38" i="24"/>
  <c r="AG38" i="24"/>
  <c r="T43" i="24"/>
  <c r="R48" i="24"/>
  <c r="AH48" i="24"/>
  <c r="V66" i="24"/>
  <c r="I28" i="24"/>
  <c r="Y28" i="24"/>
  <c r="D38" i="24"/>
  <c r="L38" i="24"/>
  <c r="T38" i="24"/>
  <c r="AB6" i="24"/>
  <c r="Z13" i="24"/>
  <c r="AH13" i="24"/>
  <c r="K13" i="24"/>
  <c r="S13" i="24"/>
  <c r="AA13" i="24"/>
  <c r="J28" i="24"/>
  <c r="R28" i="24"/>
  <c r="Z28" i="24"/>
  <c r="AH28" i="24"/>
  <c r="AD38" i="24"/>
  <c r="K51" i="24"/>
  <c r="S51" i="24"/>
  <c r="AA51" i="24"/>
  <c r="R66" i="24"/>
  <c r="Z66" i="24"/>
  <c r="AH66" i="24"/>
  <c r="E76" i="24"/>
  <c r="E105" i="24" s="1"/>
  <c r="M76" i="24"/>
  <c r="M105" i="24" s="1"/>
  <c r="X101" i="24"/>
  <c r="AF6" i="24"/>
  <c r="F18" i="24"/>
  <c r="AD18" i="24"/>
  <c r="AA23" i="24"/>
  <c r="V28" i="24"/>
  <c r="Z33" i="24"/>
  <c r="Q38" i="24"/>
  <c r="J48" i="24"/>
  <c r="D28" i="24"/>
  <c r="L28" i="24"/>
  <c r="T28" i="24"/>
  <c r="AB28" i="24"/>
  <c r="E28" i="24"/>
  <c r="AC28" i="24"/>
  <c r="J43" i="24"/>
  <c r="R43" i="24"/>
  <c r="Z43" i="24"/>
  <c r="AH43" i="24"/>
  <c r="P48" i="24"/>
  <c r="X48" i="24"/>
  <c r="AF48" i="24"/>
  <c r="T56" i="24"/>
  <c r="S71" i="24"/>
  <c r="AI80" i="24"/>
  <c r="R86" i="24"/>
  <c r="E96" i="24"/>
  <c r="M96" i="24"/>
  <c r="U96" i="24"/>
  <c r="AC96" i="24"/>
  <c r="F13" i="24"/>
  <c r="V13" i="24"/>
  <c r="T6" i="24"/>
  <c r="J13" i="24"/>
  <c r="AD13" i="24"/>
  <c r="N13" i="24"/>
  <c r="I13" i="24"/>
  <c r="Q13" i="24"/>
  <c r="Y13" i="24"/>
  <c r="AG13" i="24"/>
  <c r="R13" i="24"/>
  <c r="P6" i="24"/>
  <c r="AI12" i="24"/>
  <c r="AI13" i="24" s="1"/>
  <c r="G13" i="24"/>
  <c r="AE13" i="24"/>
  <c r="D6" i="24"/>
  <c r="Q6" i="24"/>
  <c r="Q5" i="24"/>
  <c r="O13" i="24"/>
  <c r="W13" i="24"/>
  <c r="H6" i="24"/>
  <c r="I6" i="24"/>
  <c r="E13" i="24"/>
  <c r="M13" i="24"/>
  <c r="U13" i="24"/>
  <c r="AC13" i="24"/>
  <c r="E6" i="24"/>
  <c r="M6" i="24"/>
  <c r="U6" i="24"/>
  <c r="AC6" i="24"/>
  <c r="F61" i="24"/>
  <c r="W23" i="24"/>
  <c r="G5" i="24"/>
  <c r="O5" i="24"/>
  <c r="W5" i="24"/>
  <c r="AE5" i="24"/>
  <c r="G6" i="24"/>
  <c r="O6" i="24"/>
  <c r="W6" i="24"/>
  <c r="AE6" i="24"/>
  <c r="K28" i="24"/>
  <c r="AI27" i="24"/>
  <c r="AI28" i="24" s="1"/>
  <c r="I33" i="24"/>
  <c r="Q33" i="24"/>
  <c r="Y33" i="24"/>
  <c r="AG33" i="24"/>
  <c r="I48" i="24"/>
  <c r="Q48" i="24"/>
  <c r="Y48" i="24"/>
  <c r="AG48" i="24"/>
  <c r="I101" i="24"/>
  <c r="Q101" i="24"/>
  <c r="D43" i="24"/>
  <c r="L43" i="24"/>
  <c r="K66" i="24"/>
  <c r="AI65" i="24"/>
  <c r="AI66" i="24" s="1"/>
  <c r="U76" i="24"/>
  <c r="U105" i="24" s="1"/>
  <c r="AC76" i="24"/>
  <c r="AC105" i="24" s="1"/>
  <c r="G86" i="24"/>
  <c r="O86" i="24"/>
  <c r="W86" i="24"/>
  <c r="AE86" i="24"/>
  <c r="D91" i="24"/>
  <c r="L91" i="24"/>
  <c r="T91" i="24"/>
  <c r="AB91" i="24"/>
  <c r="G18" i="24"/>
  <c r="O18" i="24"/>
  <c r="W18" i="24"/>
  <c r="AE18" i="24"/>
  <c r="M28" i="24"/>
  <c r="U28" i="24"/>
  <c r="F28" i="24"/>
  <c r="N28" i="24"/>
  <c r="AD28" i="24"/>
  <c r="D33" i="24"/>
  <c r="L33" i="24"/>
  <c r="T33" i="24"/>
  <c r="AB33" i="24"/>
  <c r="AI32" i="24"/>
  <c r="AI33" i="24" s="1"/>
  <c r="K48" i="24"/>
  <c r="S48" i="24"/>
  <c r="AA48" i="24"/>
  <c r="J51" i="24"/>
  <c r="R51" i="24"/>
  <c r="Z51" i="24"/>
  <c r="AH51" i="24"/>
  <c r="D66" i="24"/>
  <c r="L66" i="24"/>
  <c r="T66" i="24"/>
  <c r="AB66" i="24"/>
  <c r="AI79" i="24"/>
  <c r="H86" i="24"/>
  <c r="P86" i="24"/>
  <c r="X86" i="24"/>
  <c r="AF86" i="24"/>
  <c r="AJ98" i="24"/>
  <c r="AJ99" i="24" s="1"/>
  <c r="K101" i="24"/>
  <c r="S101" i="24"/>
  <c r="AA101" i="24"/>
  <c r="V61" i="24"/>
  <c r="K6" i="24"/>
  <c r="G28" i="24"/>
  <c r="O28" i="24"/>
  <c r="W28" i="24"/>
  <c r="AE28" i="24"/>
  <c r="E38" i="24"/>
  <c r="M38" i="24"/>
  <c r="U38" i="24"/>
  <c r="AC38" i="24"/>
  <c r="K56" i="24"/>
  <c r="S56" i="24"/>
  <c r="AA56" i="24"/>
  <c r="J71" i="24"/>
  <c r="R71" i="24"/>
  <c r="Z71" i="24"/>
  <c r="AH71" i="24"/>
  <c r="G96" i="24"/>
  <c r="O96" i="24"/>
  <c r="W96" i="24"/>
  <c r="AE96" i="24"/>
  <c r="AD101" i="24"/>
  <c r="M23" i="24"/>
  <c r="N61" i="24"/>
  <c r="AA6" i="24"/>
  <c r="J18" i="24"/>
  <c r="R18" i="24"/>
  <c r="Z18" i="24"/>
  <c r="AH18" i="24"/>
  <c r="H28" i="24"/>
  <c r="P28" i="24"/>
  <c r="AF28" i="24"/>
  <c r="O38" i="24"/>
  <c r="AE38" i="24"/>
  <c r="M51" i="24"/>
  <c r="U51" i="24"/>
  <c r="AC51" i="24"/>
  <c r="G51" i="24"/>
  <c r="O51" i="24"/>
  <c r="W51" i="24"/>
  <c r="AE51" i="24"/>
  <c r="E56" i="24"/>
  <c r="M56" i="24"/>
  <c r="U56" i="24"/>
  <c r="AC56" i="24"/>
  <c r="J61" i="24"/>
  <c r="R61" i="24"/>
  <c r="Z61" i="24"/>
  <c r="D71" i="24"/>
  <c r="L71" i="24"/>
  <c r="AJ111" i="24"/>
  <c r="U23" i="24"/>
  <c r="S6" i="24"/>
  <c r="N6" i="24"/>
  <c r="V6" i="24"/>
  <c r="AD6" i="24"/>
  <c r="AI17" i="24"/>
  <c r="D18" i="24"/>
  <c r="L18" i="24"/>
  <c r="T18" i="24"/>
  <c r="AB18" i="24"/>
  <c r="J23" i="24"/>
  <c r="R23" i="24"/>
  <c r="Z23" i="24"/>
  <c r="AH23" i="24"/>
  <c r="P33" i="24"/>
  <c r="X33" i="24"/>
  <c r="AF33" i="24"/>
  <c r="F51" i="24"/>
  <c r="N51" i="24"/>
  <c r="V51" i="24"/>
  <c r="AD51" i="24"/>
  <c r="AF51" i="24"/>
  <c r="AI60" i="24"/>
  <c r="AI61" i="24" s="1"/>
  <c r="AI90" i="24"/>
  <c r="AI91" i="24" s="1"/>
  <c r="P5" i="24"/>
  <c r="H5" i="24"/>
  <c r="X5" i="24"/>
  <c r="R5" i="24"/>
  <c r="Z5" i="24"/>
  <c r="AH5" i="24"/>
  <c r="J6" i="24"/>
  <c r="R6" i="24"/>
  <c r="Z6" i="24"/>
  <c r="AH6" i="24"/>
  <c r="K5" i="24"/>
  <c r="I5" i="24"/>
  <c r="D5" i="24"/>
  <c r="J5" i="24"/>
  <c r="AA5" i="24"/>
  <c r="L5" i="24"/>
  <c r="T5" i="24"/>
  <c r="AB5" i="24"/>
  <c r="AF5" i="24"/>
  <c r="AC5" i="24"/>
  <c r="E5" i="24"/>
  <c r="U5" i="24"/>
  <c r="M5" i="24"/>
  <c r="S5" i="24"/>
  <c r="F5" i="24"/>
  <c r="N5" i="24"/>
  <c r="V5" i="24"/>
  <c r="AD5" i="24"/>
  <c r="Y5" i="24"/>
  <c r="F6" i="24"/>
  <c r="AJ15" i="24"/>
  <c r="AI16" i="24"/>
  <c r="AI22" i="24"/>
  <c r="AI23" i="24" s="1"/>
  <c r="AI52" i="24"/>
  <c r="AI8" i="24" s="1"/>
  <c r="AJ10" i="24"/>
  <c r="K33" i="24"/>
  <c r="S33" i="24"/>
  <c r="AA33" i="24"/>
  <c r="X38" i="24"/>
  <c r="E43" i="24"/>
  <c r="M43" i="24"/>
  <c r="U43" i="24"/>
  <c r="AC43" i="24"/>
  <c r="F48" i="24"/>
  <c r="N48" i="24"/>
  <c r="V48" i="24"/>
  <c r="AD48" i="24"/>
  <c r="E71" i="24"/>
  <c r="M71" i="24"/>
  <c r="U71" i="24"/>
  <c r="AC71" i="24"/>
  <c r="F76" i="24"/>
  <c r="F105" i="24" s="1"/>
  <c r="N76" i="24"/>
  <c r="N105" i="24" s="1"/>
  <c r="V76" i="24"/>
  <c r="V105" i="24" s="1"/>
  <c r="AD76" i="24"/>
  <c r="AD105" i="24" s="1"/>
  <c r="G101" i="24"/>
  <c r="O101" i="24"/>
  <c r="W101" i="24"/>
  <c r="AE101" i="24"/>
  <c r="AJ109" i="24"/>
  <c r="AI47" i="24"/>
  <c r="AI48" i="24" s="1"/>
  <c r="AJ49" i="24"/>
  <c r="AJ53" i="24"/>
  <c r="AJ54" i="24" s="1"/>
  <c r="AI75" i="24"/>
  <c r="AI76" i="24" s="1"/>
  <c r="AJ77" i="24"/>
  <c r="E91" i="24"/>
  <c r="M91" i="24"/>
  <c r="U91" i="24"/>
  <c r="AC91" i="24"/>
  <c r="F96" i="24"/>
  <c r="N96" i="24"/>
  <c r="V96" i="24"/>
  <c r="AD96" i="24"/>
  <c r="AI50" i="24"/>
  <c r="AI1" i="24" s="1"/>
  <c r="AI95" i="24"/>
  <c r="AI96" i="24" s="1"/>
  <c r="AJ97" i="24"/>
  <c r="AJ25" i="24"/>
  <c r="AJ26" i="24" s="1"/>
  <c r="H33" i="24"/>
  <c r="AI100" i="24"/>
  <c r="AI101" i="24" s="1"/>
  <c r="AI55" i="24"/>
  <c r="AI56" i="24" s="1"/>
  <c r="AJ45" i="24"/>
  <c r="AJ46" i="24" s="1"/>
  <c r="AJ73" i="24"/>
  <c r="AJ74" i="24" s="1"/>
  <c r="AJ78" i="24"/>
  <c r="AJ93" i="24"/>
  <c r="AJ94" i="24" s="1"/>
  <c r="AJ40" i="24"/>
  <c r="AI41" i="24"/>
  <c r="AJ68" i="24"/>
  <c r="AI69" i="24"/>
  <c r="AJ88" i="24"/>
  <c r="AJ35" i="24"/>
  <c r="AJ36" i="24" s="1"/>
  <c r="AJ63" i="24"/>
  <c r="AJ83" i="24"/>
  <c r="AH6" i="20"/>
  <c r="P4" i="20"/>
  <c r="AF59" i="20"/>
  <c r="E111" i="23"/>
  <c r="I111" i="23"/>
  <c r="M111" i="23"/>
  <c r="Q111" i="23"/>
  <c r="U111" i="23"/>
  <c r="Y111" i="23"/>
  <c r="AC111" i="23"/>
  <c r="AG111" i="23"/>
  <c r="F57" i="23"/>
  <c r="G57" i="23"/>
  <c r="H57" i="23"/>
  <c r="H58" i="23" s="1"/>
  <c r="I57" i="23"/>
  <c r="J57" i="23"/>
  <c r="K57" i="23"/>
  <c r="K58" i="23" s="1"/>
  <c r="L57" i="23"/>
  <c r="M57" i="23"/>
  <c r="N57" i="23"/>
  <c r="O57" i="23"/>
  <c r="P57" i="23"/>
  <c r="P58" i="23" s="1"/>
  <c r="Q57" i="23"/>
  <c r="R57" i="23"/>
  <c r="S57" i="23"/>
  <c r="S58" i="23" s="1"/>
  <c r="T57" i="23"/>
  <c r="U57" i="23"/>
  <c r="U58" i="23" s="1"/>
  <c r="V57" i="23"/>
  <c r="W57" i="23"/>
  <c r="X57" i="23"/>
  <c r="X58" i="23" s="1"/>
  <c r="Y57" i="23"/>
  <c r="Z57" i="23"/>
  <c r="AA57" i="23"/>
  <c r="AA58" i="23" s="1"/>
  <c r="AB57" i="23"/>
  <c r="AC57" i="23"/>
  <c r="AC58" i="23" s="1"/>
  <c r="AD57" i="23"/>
  <c r="AD58" i="23" s="1"/>
  <c r="AE57" i="23"/>
  <c r="AF57" i="23"/>
  <c r="AF58" i="23" s="1"/>
  <c r="AG57" i="23"/>
  <c r="AH57" i="23"/>
  <c r="E57" i="23"/>
  <c r="D57" i="23"/>
  <c r="AI126" i="23"/>
  <c r="AJ126" i="23" s="1"/>
  <c r="AI125" i="23"/>
  <c r="AI124" i="23"/>
  <c r="AJ124" i="23" s="1"/>
  <c r="AI123" i="23"/>
  <c r="AJ122" i="23" s="1"/>
  <c r="AI122" i="23"/>
  <c r="AI121" i="23"/>
  <c r="AJ121" i="23" s="1"/>
  <c r="AH121" i="23"/>
  <c r="AI117" i="23"/>
  <c r="AH115" i="23"/>
  <c r="AG115" i="23"/>
  <c r="AF115" i="23"/>
  <c r="AE115" i="23"/>
  <c r="AD115" i="23"/>
  <c r="AC115" i="23"/>
  <c r="AB115" i="23"/>
  <c r="AA115" i="23"/>
  <c r="Z115" i="23"/>
  <c r="Y115" i="23"/>
  <c r="X115" i="23"/>
  <c r="W115" i="23"/>
  <c r="V115" i="23"/>
  <c r="U115" i="23"/>
  <c r="T115" i="23"/>
  <c r="S115" i="23"/>
  <c r="R115" i="23"/>
  <c r="Q115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D115" i="23"/>
  <c r="AH114" i="23"/>
  <c r="AG114" i="23"/>
  <c r="AF114" i="23"/>
  <c r="AE114" i="23"/>
  <c r="AD114" i="23"/>
  <c r="AC114" i="23"/>
  <c r="AB114" i="23"/>
  <c r="AB116" i="23" s="1"/>
  <c r="AA114" i="23"/>
  <c r="Z114" i="23"/>
  <c r="Y114" i="23"/>
  <c r="X114" i="23"/>
  <c r="W114" i="23"/>
  <c r="V114" i="23"/>
  <c r="U114" i="23"/>
  <c r="T114" i="23"/>
  <c r="T116" i="23" s="1"/>
  <c r="S114" i="23"/>
  <c r="R114" i="23"/>
  <c r="Q114" i="23"/>
  <c r="P114" i="23"/>
  <c r="O114" i="23"/>
  <c r="N114" i="23"/>
  <c r="M114" i="23"/>
  <c r="L114" i="23"/>
  <c r="L116" i="23" s="1"/>
  <c r="K114" i="23"/>
  <c r="J114" i="23"/>
  <c r="I114" i="23"/>
  <c r="H114" i="23"/>
  <c r="G114" i="23"/>
  <c r="F114" i="23"/>
  <c r="E114" i="23"/>
  <c r="D114" i="23"/>
  <c r="D116" i="23" s="1"/>
  <c r="AI113" i="23"/>
  <c r="AI112" i="23"/>
  <c r="AH110" i="23"/>
  <c r="AG110" i="23"/>
  <c r="AF110" i="23"/>
  <c r="AE110" i="23"/>
  <c r="AE111" i="23" s="1"/>
  <c r="AD110" i="23"/>
  <c r="AC110" i="23"/>
  <c r="AB110" i="23"/>
  <c r="AA110" i="23"/>
  <c r="Z110" i="23"/>
  <c r="Y110" i="23"/>
  <c r="X110" i="23"/>
  <c r="W110" i="23"/>
  <c r="W111" i="23" s="1"/>
  <c r="V110" i="23"/>
  <c r="U110" i="23"/>
  <c r="T110" i="23"/>
  <c r="S110" i="23"/>
  <c r="R110" i="23"/>
  <c r="Q110" i="23"/>
  <c r="P110" i="23"/>
  <c r="O110" i="23"/>
  <c r="O111" i="23" s="1"/>
  <c r="N110" i="23"/>
  <c r="M110" i="23"/>
  <c r="L110" i="23"/>
  <c r="K110" i="23"/>
  <c r="J110" i="23"/>
  <c r="I110" i="23"/>
  <c r="H110" i="23"/>
  <c r="G110" i="23"/>
  <c r="G111" i="23" s="1"/>
  <c r="F110" i="23"/>
  <c r="E110" i="23"/>
  <c r="D110" i="23"/>
  <c r="AH109" i="23"/>
  <c r="AH111" i="23" s="1"/>
  <c r="AG109" i="23"/>
  <c r="AF109" i="23"/>
  <c r="AF111" i="23" s="1"/>
  <c r="AE109" i="23"/>
  <c r="AD109" i="23"/>
  <c r="AD111" i="23" s="1"/>
  <c r="AC109" i="23"/>
  <c r="AB109" i="23"/>
  <c r="AB111" i="23" s="1"/>
  <c r="AA109" i="23"/>
  <c r="AA111" i="23" s="1"/>
  <c r="Z109" i="23"/>
  <c r="Z111" i="23" s="1"/>
  <c r="Y109" i="23"/>
  <c r="X109" i="23"/>
  <c r="X111" i="23" s="1"/>
  <c r="W109" i="23"/>
  <c r="V109" i="23"/>
  <c r="V111" i="23" s="1"/>
  <c r="U109" i="23"/>
  <c r="T109" i="23"/>
  <c r="T111" i="23" s="1"/>
  <c r="S109" i="23"/>
  <c r="S111" i="23" s="1"/>
  <c r="R109" i="23"/>
  <c r="R111" i="23" s="1"/>
  <c r="Q109" i="23"/>
  <c r="P109" i="23"/>
  <c r="P111" i="23" s="1"/>
  <c r="O109" i="23"/>
  <c r="N109" i="23"/>
  <c r="N111" i="23" s="1"/>
  <c r="M109" i="23"/>
  <c r="L109" i="23"/>
  <c r="L111" i="23" s="1"/>
  <c r="K109" i="23"/>
  <c r="K111" i="23" s="1"/>
  <c r="J109" i="23"/>
  <c r="J111" i="23" s="1"/>
  <c r="I109" i="23"/>
  <c r="H109" i="23"/>
  <c r="H111" i="23" s="1"/>
  <c r="G109" i="23"/>
  <c r="F109" i="23"/>
  <c r="F111" i="23" s="1"/>
  <c r="E109" i="23"/>
  <c r="D109" i="23"/>
  <c r="AI108" i="23"/>
  <c r="AI107" i="23"/>
  <c r="AH105" i="23"/>
  <c r="AG105" i="23"/>
  <c r="AF105" i="23"/>
  <c r="AE105" i="23"/>
  <c r="AD105" i="23"/>
  <c r="AC105" i="23"/>
  <c r="AB105" i="23"/>
  <c r="AA105" i="23"/>
  <c r="Z105" i="23"/>
  <c r="Y105" i="23"/>
  <c r="X105" i="23"/>
  <c r="W105" i="23"/>
  <c r="V105" i="23"/>
  <c r="U105" i="23"/>
  <c r="T105" i="23"/>
  <c r="S105" i="23"/>
  <c r="S106" i="23" s="1"/>
  <c r="R105" i="23"/>
  <c r="Q105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D105" i="23"/>
  <c r="AH104" i="23"/>
  <c r="AG104" i="23"/>
  <c r="AF104" i="23"/>
  <c r="AE104" i="23"/>
  <c r="AD104" i="23"/>
  <c r="AC104" i="23"/>
  <c r="AB104" i="23"/>
  <c r="AA104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D104" i="23"/>
  <c r="AI103" i="23"/>
  <c r="AI104" i="23" s="1"/>
  <c r="AI102" i="23"/>
  <c r="AH100" i="23"/>
  <c r="AG100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AH99" i="23"/>
  <c r="AG99" i="23"/>
  <c r="AG101" i="23" s="1"/>
  <c r="AF99" i="23"/>
  <c r="AE99" i="23"/>
  <c r="AD99" i="23"/>
  <c r="AD101" i="23" s="1"/>
  <c r="AC99" i="23"/>
  <c r="AB99" i="23"/>
  <c r="AA99" i="23"/>
  <c r="Z99" i="23"/>
  <c r="Y99" i="23"/>
  <c r="Y101" i="23" s="1"/>
  <c r="X99" i="23"/>
  <c r="W99" i="23"/>
  <c r="V99" i="23"/>
  <c r="V101" i="23" s="1"/>
  <c r="U99" i="23"/>
  <c r="T99" i="23"/>
  <c r="S99" i="23"/>
  <c r="R99" i="23"/>
  <c r="Q99" i="23"/>
  <c r="Q101" i="23" s="1"/>
  <c r="P99" i="23"/>
  <c r="O99" i="23"/>
  <c r="N99" i="23"/>
  <c r="N101" i="23" s="1"/>
  <c r="M99" i="23"/>
  <c r="L99" i="23"/>
  <c r="K99" i="23"/>
  <c r="J99" i="23"/>
  <c r="I99" i="23"/>
  <c r="I101" i="23" s="1"/>
  <c r="H99" i="23"/>
  <c r="G99" i="23"/>
  <c r="F99" i="23"/>
  <c r="F101" i="23" s="1"/>
  <c r="E99" i="23"/>
  <c r="D99" i="23"/>
  <c r="AI98" i="23"/>
  <c r="AI99" i="23" s="1"/>
  <c r="AI97" i="23"/>
  <c r="AI93" i="23"/>
  <c r="A93" i="23"/>
  <c r="A4" i="23" s="1"/>
  <c r="AH5" i="23" s="1"/>
  <c r="AI92" i="23"/>
  <c r="AJ92" i="23" s="1"/>
  <c r="L91" i="23"/>
  <c r="L120" i="23" s="1"/>
  <c r="AH90" i="23"/>
  <c r="AG90" i="23"/>
  <c r="AF90" i="23"/>
  <c r="AE90" i="23"/>
  <c r="AD90" i="23"/>
  <c r="AC90" i="23"/>
  <c r="AC91" i="23" s="1"/>
  <c r="AC120" i="23" s="1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M91" i="23" s="1"/>
  <c r="M120" i="23" s="1"/>
  <c r="L90" i="23"/>
  <c r="K90" i="23"/>
  <c r="J90" i="23"/>
  <c r="I90" i="23"/>
  <c r="H90" i="23"/>
  <c r="G90" i="23"/>
  <c r="F90" i="23"/>
  <c r="E90" i="23"/>
  <c r="E91" i="23" s="1"/>
  <c r="E120" i="23" s="1"/>
  <c r="D90" i="23"/>
  <c r="AH89" i="23"/>
  <c r="AG89" i="23"/>
  <c r="AF89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AI88" i="23"/>
  <c r="AI87" i="23"/>
  <c r="AH85" i="23"/>
  <c r="AG85" i="23"/>
  <c r="AF85" i="23"/>
  <c r="AE85" i="23"/>
  <c r="AD85" i="23"/>
  <c r="AC85" i="23"/>
  <c r="AB85" i="23"/>
  <c r="AB86" i="23" s="1"/>
  <c r="AA85" i="23"/>
  <c r="Z85" i="23"/>
  <c r="Y85" i="23"/>
  <c r="X85" i="23"/>
  <c r="W85" i="23"/>
  <c r="V85" i="23"/>
  <c r="U85" i="23"/>
  <c r="T85" i="23"/>
  <c r="T86" i="23" s="1"/>
  <c r="S85" i="23"/>
  <c r="S86" i="23" s="1"/>
  <c r="R85" i="23"/>
  <c r="Q85" i="23"/>
  <c r="P85" i="23"/>
  <c r="O85" i="23"/>
  <c r="N85" i="23"/>
  <c r="M85" i="23"/>
  <c r="L85" i="23"/>
  <c r="L86" i="23" s="1"/>
  <c r="K85" i="23"/>
  <c r="J85" i="23"/>
  <c r="I85" i="23"/>
  <c r="H85" i="23"/>
  <c r="G85" i="23"/>
  <c r="F85" i="23"/>
  <c r="E85" i="23"/>
  <c r="D85" i="23"/>
  <c r="D86" i="23" s="1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AI83" i="23"/>
  <c r="AI84" i="23" s="1"/>
  <c r="AI82" i="23"/>
  <c r="AJ82" i="23" s="1"/>
  <c r="AH80" i="23"/>
  <c r="AG80" i="23"/>
  <c r="AF80" i="23"/>
  <c r="AE80" i="23"/>
  <c r="AD80" i="23"/>
  <c r="AC80" i="23"/>
  <c r="AB80" i="23"/>
  <c r="AB81" i="23" s="1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AH79" i="23"/>
  <c r="AH81" i="23" s="1"/>
  <c r="AG79" i="23"/>
  <c r="AF79" i="23"/>
  <c r="AE79" i="23"/>
  <c r="AD79" i="23"/>
  <c r="AC79" i="23"/>
  <c r="AB79" i="23"/>
  <c r="AA79" i="23"/>
  <c r="Z79" i="23"/>
  <c r="Z81" i="23" s="1"/>
  <c r="Y79" i="23"/>
  <c r="X79" i="23"/>
  <c r="W79" i="23"/>
  <c r="V79" i="23"/>
  <c r="U79" i="23"/>
  <c r="T79" i="23"/>
  <c r="S79" i="23"/>
  <c r="R79" i="23"/>
  <c r="R81" i="23" s="1"/>
  <c r="Q79" i="23"/>
  <c r="P79" i="23"/>
  <c r="O79" i="23"/>
  <c r="N79" i="23"/>
  <c r="M79" i="23"/>
  <c r="L79" i="23"/>
  <c r="K79" i="23"/>
  <c r="J79" i="23"/>
  <c r="J81" i="23" s="1"/>
  <c r="I79" i="23"/>
  <c r="H79" i="23"/>
  <c r="G79" i="23"/>
  <c r="F79" i="23"/>
  <c r="E79" i="23"/>
  <c r="D79" i="23"/>
  <c r="AI78" i="23"/>
  <c r="AJ78" i="23" s="1"/>
  <c r="AJ79" i="23" s="1"/>
  <c r="AI74" i="23"/>
  <c r="AJ74" i="23" s="1"/>
  <c r="AH72" i="23"/>
  <c r="AG72" i="23"/>
  <c r="AF72" i="23"/>
  <c r="AE72" i="23"/>
  <c r="AD72" i="23"/>
  <c r="AC72" i="23"/>
  <c r="AB72" i="23"/>
  <c r="AA72" i="23"/>
  <c r="AA73" i="23" s="1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K72" i="23"/>
  <c r="K73" i="23" s="1"/>
  <c r="J72" i="23"/>
  <c r="I72" i="23"/>
  <c r="H72" i="23"/>
  <c r="G72" i="23"/>
  <c r="F72" i="23"/>
  <c r="E72" i="23"/>
  <c r="D72" i="23"/>
  <c r="AH71" i="23"/>
  <c r="AG71" i="23"/>
  <c r="AF71" i="23"/>
  <c r="AF73" i="23" s="1"/>
  <c r="AE71" i="23"/>
  <c r="AD71" i="23"/>
  <c r="AC71" i="23"/>
  <c r="AB71" i="23"/>
  <c r="AA71" i="23"/>
  <c r="Z71" i="23"/>
  <c r="Y71" i="23"/>
  <c r="X71" i="23"/>
  <c r="X73" i="23" s="1"/>
  <c r="W71" i="23"/>
  <c r="V71" i="23"/>
  <c r="U71" i="23"/>
  <c r="T71" i="23"/>
  <c r="S71" i="23"/>
  <c r="R71" i="23"/>
  <c r="Q71" i="23"/>
  <c r="P71" i="23"/>
  <c r="P73" i="23" s="1"/>
  <c r="O71" i="23"/>
  <c r="N71" i="23"/>
  <c r="M71" i="23"/>
  <c r="L71" i="23"/>
  <c r="K71" i="23"/>
  <c r="J71" i="23"/>
  <c r="I71" i="23"/>
  <c r="H71" i="23"/>
  <c r="H73" i="23" s="1"/>
  <c r="G71" i="23"/>
  <c r="F71" i="23"/>
  <c r="E71" i="23"/>
  <c r="D71" i="23"/>
  <c r="AI70" i="23"/>
  <c r="AI71" i="23" s="1"/>
  <c r="AI69" i="23"/>
  <c r="AJ69" i="23" s="1"/>
  <c r="AH67" i="23"/>
  <c r="AG67" i="23"/>
  <c r="AF67" i="23"/>
  <c r="AF68" i="23" s="1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D67" i="23"/>
  <c r="AH66" i="23"/>
  <c r="AG66" i="23"/>
  <c r="AG68" i="23" s="1"/>
  <c r="AF66" i="23"/>
  <c r="AE66" i="23"/>
  <c r="AD66" i="23"/>
  <c r="AC66" i="23"/>
  <c r="AB66" i="23"/>
  <c r="AA66" i="23"/>
  <c r="Z66" i="23"/>
  <c r="Y66" i="23"/>
  <c r="Y68" i="23" s="1"/>
  <c r="X66" i="23"/>
  <c r="W66" i="23"/>
  <c r="V66" i="23"/>
  <c r="U66" i="23"/>
  <c r="T66" i="23"/>
  <c r="S66" i="23"/>
  <c r="R66" i="23"/>
  <c r="Q66" i="23"/>
  <c r="Q68" i="23" s="1"/>
  <c r="P66" i="23"/>
  <c r="O66" i="23"/>
  <c r="N66" i="23"/>
  <c r="M66" i="23"/>
  <c r="L66" i="23"/>
  <c r="K66" i="23"/>
  <c r="J66" i="23"/>
  <c r="I66" i="23"/>
  <c r="I68" i="23" s="1"/>
  <c r="H66" i="23"/>
  <c r="G66" i="23"/>
  <c r="F66" i="23"/>
  <c r="E66" i="23"/>
  <c r="D66" i="23"/>
  <c r="AI65" i="23"/>
  <c r="AI66" i="23" s="1"/>
  <c r="AI64" i="23"/>
  <c r="AI62" i="23" s="1"/>
  <c r="AI60" i="23"/>
  <c r="AJ60" i="23" s="1"/>
  <c r="AJ61" i="23" s="1"/>
  <c r="AE8" i="23"/>
  <c r="V58" i="23"/>
  <c r="O8" i="23"/>
  <c r="N58" i="23"/>
  <c r="AH58" i="23"/>
  <c r="AB58" i="23"/>
  <c r="Y58" i="23"/>
  <c r="T58" i="23"/>
  <c r="Q58" i="23"/>
  <c r="M58" i="23"/>
  <c r="L58" i="23"/>
  <c r="I58" i="23"/>
  <c r="E58" i="23"/>
  <c r="AI55" i="23"/>
  <c r="AH53" i="23"/>
  <c r="AG53" i="23"/>
  <c r="AF53" i="23"/>
  <c r="AE53" i="23"/>
  <c r="AD53" i="23"/>
  <c r="AC53" i="23"/>
  <c r="AC54" i="23" s="1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AH52" i="23"/>
  <c r="AG52" i="23"/>
  <c r="AF52" i="23"/>
  <c r="AE52" i="23"/>
  <c r="AD52" i="23"/>
  <c r="AD54" i="23" s="1"/>
  <c r="AC52" i="23"/>
  <c r="AB52" i="23"/>
  <c r="AA52" i="23"/>
  <c r="Z52" i="23"/>
  <c r="Y52" i="23"/>
  <c r="X52" i="23"/>
  <c r="W52" i="23"/>
  <c r="V52" i="23"/>
  <c r="V54" i="23" s="1"/>
  <c r="U52" i="23"/>
  <c r="T52" i="23"/>
  <c r="S52" i="23"/>
  <c r="R52" i="23"/>
  <c r="Q52" i="23"/>
  <c r="P52" i="23"/>
  <c r="O52" i="23"/>
  <c r="N52" i="23"/>
  <c r="N54" i="23" s="1"/>
  <c r="M52" i="23"/>
  <c r="L52" i="23"/>
  <c r="K52" i="23"/>
  <c r="J52" i="23"/>
  <c r="I52" i="23"/>
  <c r="H52" i="23"/>
  <c r="G52" i="23"/>
  <c r="F52" i="23"/>
  <c r="E52" i="23"/>
  <c r="D52" i="23"/>
  <c r="AI51" i="23"/>
  <c r="AI52" i="23" s="1"/>
  <c r="AI50" i="23"/>
  <c r="AJ50" i="23" s="1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AI46" i="23"/>
  <c r="AI47" i="23" s="1"/>
  <c r="AI45" i="23"/>
  <c r="AJ45" i="23" s="1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AH42" i="23"/>
  <c r="AG42" i="23"/>
  <c r="AF42" i="23"/>
  <c r="AE42" i="23"/>
  <c r="AD42" i="23"/>
  <c r="AC42" i="23"/>
  <c r="AB42" i="23"/>
  <c r="AB44" i="23" s="1"/>
  <c r="AA42" i="23"/>
  <c r="Z42" i="23"/>
  <c r="Y42" i="23"/>
  <c r="X42" i="23"/>
  <c r="W42" i="23"/>
  <c r="V42" i="23"/>
  <c r="U42" i="23"/>
  <c r="T42" i="23"/>
  <c r="T44" i="23" s="1"/>
  <c r="S42" i="23"/>
  <c r="R42" i="23"/>
  <c r="Q42" i="23"/>
  <c r="P42" i="23"/>
  <c r="O42" i="23"/>
  <c r="N42" i="23"/>
  <c r="M42" i="23"/>
  <c r="L42" i="23"/>
  <c r="L44" i="23" s="1"/>
  <c r="K42" i="23"/>
  <c r="J42" i="23"/>
  <c r="I42" i="23"/>
  <c r="H42" i="23"/>
  <c r="G42" i="23"/>
  <c r="F42" i="23"/>
  <c r="E42" i="23"/>
  <c r="D42" i="23"/>
  <c r="AI41" i="23"/>
  <c r="AI42" i="23" s="1"/>
  <c r="AI40" i="23"/>
  <c r="AJ40" i="23" s="1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P39" i="23" s="1"/>
  <c r="O37" i="23"/>
  <c r="N37" i="23"/>
  <c r="M37" i="23"/>
  <c r="L37" i="23"/>
  <c r="K37" i="23"/>
  <c r="J37" i="23"/>
  <c r="I37" i="23"/>
  <c r="H37" i="23"/>
  <c r="G37" i="23"/>
  <c r="F37" i="23"/>
  <c r="E37" i="23"/>
  <c r="D37" i="23"/>
  <c r="AI36" i="23"/>
  <c r="AI37" i="23" s="1"/>
  <c r="AI35" i="23"/>
  <c r="AJ35" i="23" s="1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AH32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AI31" i="23"/>
  <c r="AI30" i="23"/>
  <c r="AJ30" i="23" s="1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AI26" i="23"/>
  <c r="AI22" i="23"/>
  <c r="AH20" i="23"/>
  <c r="AG20" i="23"/>
  <c r="AF20" i="23"/>
  <c r="AE20" i="23"/>
  <c r="AD20" i="23"/>
  <c r="AC20" i="23"/>
  <c r="AB20" i="23"/>
  <c r="AA20" i="23"/>
  <c r="AA21" i="23" s="1"/>
  <c r="Z20" i="23"/>
  <c r="Y20" i="23"/>
  <c r="X20" i="23"/>
  <c r="W20" i="23"/>
  <c r="V20" i="23"/>
  <c r="U20" i="23"/>
  <c r="T20" i="23"/>
  <c r="S20" i="23"/>
  <c r="S21" i="23" s="1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H19" i="23"/>
  <c r="AH21" i="23" s="1"/>
  <c r="AG19" i="23"/>
  <c r="AF19" i="23"/>
  <c r="AE19" i="23"/>
  <c r="AD19" i="23"/>
  <c r="AC19" i="23"/>
  <c r="AB19" i="23"/>
  <c r="AA19" i="23"/>
  <c r="Z19" i="23"/>
  <c r="Z21" i="23" s="1"/>
  <c r="Y19" i="23"/>
  <c r="X19" i="23"/>
  <c r="W19" i="23"/>
  <c r="V19" i="23"/>
  <c r="U19" i="23"/>
  <c r="T19" i="23"/>
  <c r="S19" i="23"/>
  <c r="R19" i="23"/>
  <c r="Q19" i="23"/>
  <c r="P19" i="23"/>
  <c r="P21" i="23" s="1"/>
  <c r="O19" i="23"/>
  <c r="N19" i="23"/>
  <c r="M19" i="23"/>
  <c r="L19" i="23"/>
  <c r="K19" i="23"/>
  <c r="J19" i="23"/>
  <c r="I19" i="23"/>
  <c r="H19" i="23"/>
  <c r="H21" i="23" s="1"/>
  <c r="G19" i="23"/>
  <c r="F19" i="23"/>
  <c r="E19" i="23"/>
  <c r="D19" i="23"/>
  <c r="AI18" i="23"/>
  <c r="AI19" i="23" s="1"/>
  <c r="AI14" i="23"/>
  <c r="AJ14" i="23" s="1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J13" i="23" s="1"/>
  <c r="I11" i="23"/>
  <c r="H11" i="23"/>
  <c r="G11" i="23"/>
  <c r="F11" i="23"/>
  <c r="E11" i="23"/>
  <c r="D11" i="23"/>
  <c r="AI10" i="23"/>
  <c r="AI11" i="23" s="1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AG8" i="23"/>
  <c r="AF8" i="23"/>
  <c r="AC8" i="23"/>
  <c r="AB8" i="23"/>
  <c r="AA8" i="23"/>
  <c r="Z8" i="23"/>
  <c r="Y8" i="23"/>
  <c r="X8" i="23"/>
  <c r="U8" i="23"/>
  <c r="T8" i="23"/>
  <c r="S8" i="23"/>
  <c r="R8" i="23"/>
  <c r="Q8" i="23"/>
  <c r="P8" i="23"/>
  <c r="M8" i="23"/>
  <c r="L8" i="23"/>
  <c r="K8" i="23"/>
  <c r="J8" i="23"/>
  <c r="I8" i="23"/>
  <c r="H8" i="23"/>
  <c r="E8" i="23"/>
  <c r="D8" i="23"/>
  <c r="AH6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AG3" i="23" s="1"/>
  <c r="AH90" i="20"/>
  <c r="AH59" i="20"/>
  <c r="AH8" i="20" s="1"/>
  <c r="AG59" i="20"/>
  <c r="AE59" i="20"/>
  <c r="Y59" i="20"/>
  <c r="AC59" i="20"/>
  <c r="AD59" i="20"/>
  <c r="AB59" i="20"/>
  <c r="AA59" i="20"/>
  <c r="Z59" i="20"/>
  <c r="X59" i="20"/>
  <c r="W59" i="20"/>
  <c r="V59" i="20"/>
  <c r="AD12" i="20"/>
  <c r="AD11" i="20"/>
  <c r="U59" i="20"/>
  <c r="S59" i="20"/>
  <c r="T59" i="20"/>
  <c r="R59" i="20"/>
  <c r="Q59" i="20"/>
  <c r="P59" i="20"/>
  <c r="K59" i="20"/>
  <c r="O59" i="20"/>
  <c r="N59" i="20"/>
  <c r="M59" i="20"/>
  <c r="I59" i="20"/>
  <c r="L59" i="20"/>
  <c r="L47" i="20"/>
  <c r="J59" i="20"/>
  <c r="D59" i="20"/>
  <c r="D8" i="20" s="1"/>
  <c r="E59" i="20"/>
  <c r="I47" i="20"/>
  <c r="F59" i="20"/>
  <c r="G59" i="20"/>
  <c r="H59" i="20"/>
  <c r="H43" i="20"/>
  <c r="F114" i="20"/>
  <c r="AI122" i="20"/>
  <c r="AD115" i="20"/>
  <c r="Y11" i="20"/>
  <c r="Y12" i="20"/>
  <c r="Q43" i="20"/>
  <c r="AG7" i="24" l="1"/>
  <c r="AJ11" i="24"/>
  <c r="AJ4" i="24"/>
  <c r="AJ1" i="24"/>
  <c r="AJ2" i="24" s="1"/>
  <c r="O44" i="23"/>
  <c r="W44" i="23"/>
  <c r="AE44" i="23"/>
  <c r="AJ64" i="23"/>
  <c r="R68" i="23"/>
  <c r="AH68" i="23"/>
  <c r="I86" i="23"/>
  <c r="Q86" i="23"/>
  <c r="Y86" i="23"/>
  <c r="AG86" i="23"/>
  <c r="M116" i="23"/>
  <c r="AC116" i="23"/>
  <c r="N116" i="23"/>
  <c r="AA13" i="23"/>
  <c r="I39" i="23"/>
  <c r="Q44" i="23"/>
  <c r="G106" i="23"/>
  <c r="J44" i="23"/>
  <c r="J49" i="23"/>
  <c r="R49" i="23"/>
  <c r="Z49" i="23"/>
  <c r="AH49" i="23"/>
  <c r="J54" i="23"/>
  <c r="R54" i="23"/>
  <c r="Z54" i="23"/>
  <c r="AH54" i="23"/>
  <c r="D73" i="23"/>
  <c r="L73" i="23"/>
  <c r="T73" i="23"/>
  <c r="AB73" i="23"/>
  <c r="L81" i="23"/>
  <c r="T81" i="23"/>
  <c r="T91" i="23"/>
  <c r="T120" i="23" s="1"/>
  <c r="AB91" i="23"/>
  <c r="AB120" i="23" s="1"/>
  <c r="AH7" i="23"/>
  <c r="S13" i="23"/>
  <c r="E13" i="23"/>
  <c r="M13" i="23"/>
  <c r="E73" i="23"/>
  <c r="M73" i="23"/>
  <c r="U73" i="23"/>
  <c r="AC73" i="23"/>
  <c r="M44" i="23"/>
  <c r="U44" i="23"/>
  <c r="AC44" i="23"/>
  <c r="E49" i="23"/>
  <c r="M49" i="23"/>
  <c r="G86" i="23"/>
  <c r="W86" i="23"/>
  <c r="D106" i="23"/>
  <c r="Y7" i="24"/>
  <c r="E7" i="24"/>
  <c r="P7" i="24"/>
  <c r="AI43" i="24"/>
  <c r="D7" i="24"/>
  <c r="AI71" i="24"/>
  <c r="T7" i="24"/>
  <c r="AI81" i="24"/>
  <c r="AF7" i="24"/>
  <c r="Q7" i="24"/>
  <c r="L7" i="24"/>
  <c r="M7" i="24"/>
  <c r="O7" i="24"/>
  <c r="AJ60" i="24"/>
  <c r="AJ61" i="24" s="1"/>
  <c r="N7" i="24"/>
  <c r="X7" i="24"/>
  <c r="AJ22" i="24"/>
  <c r="AJ23" i="24" s="1"/>
  <c r="AB7" i="24"/>
  <c r="AI51" i="24"/>
  <c r="AJ51" i="24" s="1"/>
  <c r="U7" i="24"/>
  <c r="AI18" i="24"/>
  <c r="Z7" i="24"/>
  <c r="G7" i="24"/>
  <c r="AJ32" i="24"/>
  <c r="AJ33" i="24" s="1"/>
  <c r="AD7" i="24"/>
  <c r="V7" i="24"/>
  <c r="AC7" i="24"/>
  <c r="H7" i="24"/>
  <c r="I7" i="24"/>
  <c r="S7" i="24"/>
  <c r="AJ75" i="24"/>
  <c r="AJ76" i="24" s="1"/>
  <c r="AI6" i="24"/>
  <c r="AJ100" i="24"/>
  <c r="AJ101" i="24" s="1"/>
  <c r="AE7" i="24"/>
  <c r="W7" i="24"/>
  <c r="AJ89" i="24"/>
  <c r="AJ90" i="24"/>
  <c r="AJ69" i="24"/>
  <c r="AJ70" i="24"/>
  <c r="K7" i="24"/>
  <c r="AJ17" i="24"/>
  <c r="AJ16" i="24"/>
  <c r="AJ103" i="24"/>
  <c r="AJ47" i="24"/>
  <c r="AJ48" i="24" s="1"/>
  <c r="AJ50" i="24"/>
  <c r="AJ12" i="24"/>
  <c r="AH7" i="24"/>
  <c r="F7" i="24"/>
  <c r="AJ41" i="24"/>
  <c r="AJ42" i="24"/>
  <c r="AJ55" i="24"/>
  <c r="AJ56" i="24" s="1"/>
  <c r="AI5" i="24"/>
  <c r="AJ5" i="24"/>
  <c r="AJ85" i="24"/>
  <c r="AJ84" i="24"/>
  <c r="R7" i="24"/>
  <c r="AJ37" i="24"/>
  <c r="AJ38" i="24" s="1"/>
  <c r="AJ65" i="24"/>
  <c r="AJ64" i="24"/>
  <c r="AJ79" i="24"/>
  <c r="AJ80" i="24"/>
  <c r="AA7" i="24"/>
  <c r="J7" i="24"/>
  <c r="AJ27" i="24"/>
  <c r="AJ28" i="24" s="1"/>
  <c r="AJ95" i="24"/>
  <c r="AJ96" i="24" s="1"/>
  <c r="D111" i="23"/>
  <c r="D81" i="23"/>
  <c r="D91" i="23"/>
  <c r="D120" i="23" s="1"/>
  <c r="AD116" i="23"/>
  <c r="K116" i="23"/>
  <c r="S116" i="23"/>
  <c r="AA116" i="23"/>
  <c r="O116" i="23"/>
  <c r="AE116" i="23"/>
  <c r="G116" i="23"/>
  <c r="H116" i="23"/>
  <c r="P116" i="23"/>
  <c r="X116" i="23"/>
  <c r="AF116" i="23"/>
  <c r="W116" i="23"/>
  <c r="M106" i="23"/>
  <c r="AC106" i="23"/>
  <c r="Z101" i="23"/>
  <c r="AA101" i="23"/>
  <c r="H101" i="23"/>
  <c r="P101" i="23"/>
  <c r="X101" i="23"/>
  <c r="AF101" i="23"/>
  <c r="R101" i="23"/>
  <c r="K101" i="23"/>
  <c r="K106" i="23"/>
  <c r="D101" i="23"/>
  <c r="L101" i="23"/>
  <c r="T101" i="23"/>
  <c r="AB101" i="23"/>
  <c r="J101" i="23"/>
  <c r="AH101" i="23"/>
  <c r="AA106" i="23"/>
  <c r="W106" i="23"/>
  <c r="P91" i="23"/>
  <c r="AJ98" i="23"/>
  <c r="AJ99" i="23" s="1"/>
  <c r="V91" i="23"/>
  <c r="V120" i="23" s="1"/>
  <c r="AI100" i="23"/>
  <c r="AI101" i="23" s="1"/>
  <c r="F91" i="23"/>
  <c r="N91" i="23"/>
  <c r="N120" i="23" s="1"/>
  <c r="AD91" i="23"/>
  <c r="AD120" i="23" s="1"/>
  <c r="AH86" i="23"/>
  <c r="K91" i="23"/>
  <c r="K120" i="23" s="1"/>
  <c r="S91" i="23"/>
  <c r="S120" i="23" s="1"/>
  <c r="AA91" i="23"/>
  <c r="AA120" i="23" s="1"/>
  <c r="J86" i="23"/>
  <c r="AH91" i="23"/>
  <c r="AH120" i="23" s="1"/>
  <c r="R86" i="23"/>
  <c r="J91" i="23"/>
  <c r="J120" i="23" s="1"/>
  <c r="Z91" i="23"/>
  <c r="Z120" i="23" s="1"/>
  <c r="E86" i="23"/>
  <c r="M86" i="23"/>
  <c r="U86" i="23"/>
  <c r="AC86" i="23"/>
  <c r="U91" i="23"/>
  <c r="U120" i="23" s="1"/>
  <c r="Z86" i="23"/>
  <c r="R91" i="23"/>
  <c r="R120" i="23" s="1"/>
  <c r="H91" i="23"/>
  <c r="H120" i="23" s="1"/>
  <c r="X91" i="23"/>
  <c r="X120" i="23" s="1"/>
  <c r="AF91" i="23"/>
  <c r="AF120" i="23" s="1"/>
  <c r="K86" i="23"/>
  <c r="AA86" i="23"/>
  <c r="AD81" i="23"/>
  <c r="H81" i="23"/>
  <c r="P81" i="23"/>
  <c r="X81" i="23"/>
  <c r="AF81" i="23"/>
  <c r="G81" i="23"/>
  <c r="O81" i="23"/>
  <c r="W81" i="23"/>
  <c r="AE81" i="23"/>
  <c r="I73" i="23"/>
  <c r="Q73" i="23"/>
  <c r="Y73" i="23"/>
  <c r="AG73" i="23"/>
  <c r="N81" i="23"/>
  <c r="J73" i="23"/>
  <c r="Z73" i="23"/>
  <c r="D68" i="23"/>
  <c r="L68" i="23"/>
  <c r="T68" i="23"/>
  <c r="AB68" i="23"/>
  <c r="S73" i="23"/>
  <c r="X68" i="23"/>
  <c r="G73" i="23"/>
  <c r="O73" i="23"/>
  <c r="W73" i="23"/>
  <c r="AE73" i="23"/>
  <c r="X6" i="23"/>
  <c r="AJ80" i="23"/>
  <c r="AJ81" i="23" s="1"/>
  <c r="V5" i="23"/>
  <c r="E68" i="23"/>
  <c r="Y106" i="23"/>
  <c r="G5" i="23"/>
  <c r="AB54" i="23"/>
  <c r="K5" i="23"/>
  <c r="D5" i="23"/>
  <c r="L5" i="23"/>
  <c r="T5" i="23"/>
  <c r="AB5" i="23"/>
  <c r="K21" i="23"/>
  <c r="T21" i="23"/>
  <c r="AB21" i="23"/>
  <c r="G34" i="23"/>
  <c r="H39" i="23"/>
  <c r="X39" i="23"/>
  <c r="T49" i="23"/>
  <c r="AB49" i="23"/>
  <c r="I54" i="23"/>
  <c r="I81" i="23"/>
  <c r="Q81" i="23"/>
  <c r="Y81" i="23"/>
  <c r="AG81" i="23"/>
  <c r="E101" i="23"/>
  <c r="M101" i="23"/>
  <c r="U101" i="23"/>
  <c r="AC101" i="23"/>
  <c r="O106" i="23"/>
  <c r="AE106" i="23"/>
  <c r="F116" i="23"/>
  <c r="V116" i="23"/>
  <c r="AH39" i="23"/>
  <c r="R73" i="23"/>
  <c r="AH73" i="23"/>
  <c r="AA81" i="23"/>
  <c r="AI80" i="23"/>
  <c r="O86" i="23"/>
  <c r="AE86" i="23"/>
  <c r="AJ102" i="23"/>
  <c r="J106" i="23"/>
  <c r="R106" i="23"/>
  <c r="Z106" i="23"/>
  <c r="AH106" i="23"/>
  <c r="F13" i="23"/>
  <c r="AC21" i="23"/>
  <c r="H44" i="23"/>
  <c r="AD49" i="23"/>
  <c r="K54" i="23"/>
  <c r="AC68" i="23"/>
  <c r="AI79" i="23"/>
  <c r="Q106" i="23"/>
  <c r="O5" i="23"/>
  <c r="F21" i="23"/>
  <c r="S81" i="23"/>
  <c r="I13" i="23"/>
  <c r="Y13" i="23"/>
  <c r="AG13" i="23"/>
  <c r="W21" i="23"/>
  <c r="AE21" i="23"/>
  <c r="Z44" i="23"/>
  <c r="AA44" i="23"/>
  <c r="P49" i="23"/>
  <c r="X49" i="23"/>
  <c r="AF49" i="23"/>
  <c r="E54" i="23"/>
  <c r="M54" i="23"/>
  <c r="AI61" i="23"/>
  <c r="AI63" i="23" s="1"/>
  <c r="G68" i="23"/>
  <c r="O68" i="23"/>
  <c r="W68" i="23"/>
  <c r="AE68" i="23"/>
  <c r="H68" i="23"/>
  <c r="P68" i="23"/>
  <c r="AJ70" i="23"/>
  <c r="AJ71" i="23" s="1"/>
  <c r="E81" i="23"/>
  <c r="M81" i="23"/>
  <c r="U81" i="23"/>
  <c r="AC81" i="23"/>
  <c r="I91" i="23"/>
  <c r="I120" i="23" s="1"/>
  <c r="Q91" i="23"/>
  <c r="Q120" i="23" s="1"/>
  <c r="Y91" i="23"/>
  <c r="Y120" i="23" s="1"/>
  <c r="AG91" i="23"/>
  <c r="AG120" i="23" s="1"/>
  <c r="L106" i="23"/>
  <c r="T106" i="23"/>
  <c r="AB106" i="23"/>
  <c r="J116" i="23"/>
  <c r="R116" i="23"/>
  <c r="Z116" i="23"/>
  <c r="AH116" i="23"/>
  <c r="AD5" i="23"/>
  <c r="N49" i="23"/>
  <c r="U68" i="23"/>
  <c r="I106" i="23"/>
  <c r="AE5" i="23"/>
  <c r="N21" i="23"/>
  <c r="R39" i="23"/>
  <c r="AG44" i="23"/>
  <c r="K81" i="23"/>
  <c r="I5" i="23"/>
  <c r="Q5" i="23"/>
  <c r="Y5" i="23"/>
  <c r="AG5" i="23"/>
  <c r="AH13" i="23"/>
  <c r="F81" i="23"/>
  <c r="V81" i="23"/>
  <c r="E106" i="23"/>
  <c r="U106" i="23"/>
  <c r="AJ125" i="23"/>
  <c r="F5" i="23"/>
  <c r="V49" i="23"/>
  <c r="W5" i="23"/>
  <c r="AE13" i="23"/>
  <c r="Y44" i="23"/>
  <c r="J5" i="23"/>
  <c r="R5" i="23"/>
  <c r="Z5" i="23"/>
  <c r="E116" i="23"/>
  <c r="U116" i="23"/>
  <c r="E5" i="23"/>
  <c r="N5" i="23"/>
  <c r="N13" i="23"/>
  <c r="U21" i="23"/>
  <c r="M68" i="23"/>
  <c r="AG106" i="23"/>
  <c r="W13" i="23"/>
  <c r="S5" i="23"/>
  <c r="AA5" i="23"/>
  <c r="J21" i="23"/>
  <c r="R21" i="23"/>
  <c r="AI67" i="23"/>
  <c r="AI68" i="23" s="1"/>
  <c r="S101" i="23"/>
  <c r="F68" i="23"/>
  <c r="N68" i="23"/>
  <c r="V68" i="23"/>
  <c r="AD68" i="23"/>
  <c r="AJ62" i="23"/>
  <c r="AJ63" i="23" s="1"/>
  <c r="AJ65" i="23"/>
  <c r="AJ66" i="23" s="1"/>
  <c r="J68" i="23"/>
  <c r="Z68" i="23"/>
  <c r="F54" i="23"/>
  <c r="G54" i="23"/>
  <c r="L54" i="23"/>
  <c r="L49" i="23"/>
  <c r="F58" i="23"/>
  <c r="F49" i="23"/>
  <c r="G58" i="23"/>
  <c r="D54" i="23"/>
  <c r="H49" i="23"/>
  <c r="D44" i="23"/>
  <c r="D49" i="23"/>
  <c r="E44" i="23"/>
  <c r="G49" i="23"/>
  <c r="G44" i="23"/>
  <c r="O54" i="23"/>
  <c r="W54" i="23"/>
  <c r="AE54" i="23"/>
  <c r="S54" i="23"/>
  <c r="AA54" i="23"/>
  <c r="U49" i="23"/>
  <c r="AC49" i="23"/>
  <c r="Q54" i="23"/>
  <c r="Y54" i="23"/>
  <c r="AG54" i="23"/>
  <c r="T54" i="23"/>
  <c r="W58" i="23"/>
  <c r="AG58" i="23"/>
  <c r="U54" i="23"/>
  <c r="I49" i="23"/>
  <c r="Q49" i="23"/>
  <c r="Y49" i="23"/>
  <c r="AG49" i="23"/>
  <c r="K49" i="23"/>
  <c r="S49" i="23"/>
  <c r="AA49" i="23"/>
  <c r="AI48" i="23"/>
  <c r="AI49" i="23" s="1"/>
  <c r="O49" i="23"/>
  <c r="W49" i="23"/>
  <c r="AE49" i="23"/>
  <c r="I44" i="23"/>
  <c r="P44" i="23"/>
  <c r="X44" i="23"/>
  <c r="AF44" i="23"/>
  <c r="K44" i="23"/>
  <c r="S44" i="23"/>
  <c r="Y39" i="23"/>
  <c r="R44" i="23"/>
  <c r="AH44" i="23"/>
  <c r="AJ41" i="23"/>
  <c r="AJ42" i="23" s="1"/>
  <c r="D39" i="23"/>
  <c r="L39" i="23"/>
  <c r="T39" i="23"/>
  <c r="AB39" i="23"/>
  <c r="F34" i="23"/>
  <c r="N34" i="23"/>
  <c r="V34" i="23"/>
  <c r="AD34" i="23"/>
  <c r="AE34" i="23"/>
  <c r="AF39" i="23"/>
  <c r="AG39" i="23"/>
  <c r="D34" i="23"/>
  <c r="L34" i="23"/>
  <c r="T34" i="23"/>
  <c r="AB34" i="23"/>
  <c r="J39" i="23"/>
  <c r="Z39" i="23"/>
  <c r="AI38" i="23"/>
  <c r="AI39" i="23" s="1"/>
  <c r="W34" i="23"/>
  <c r="E39" i="23"/>
  <c r="AC39" i="23"/>
  <c r="AB6" i="23"/>
  <c r="H29" i="23"/>
  <c r="P29" i="23"/>
  <c r="X29" i="23"/>
  <c r="AF29" i="23"/>
  <c r="P34" i="23"/>
  <c r="AF34" i="23"/>
  <c r="F39" i="23"/>
  <c r="N39" i="23"/>
  <c r="V39" i="23"/>
  <c r="AD39" i="23"/>
  <c r="Z29" i="23"/>
  <c r="I34" i="23"/>
  <c r="Q34" i="23"/>
  <c r="Y34" i="23"/>
  <c r="AG34" i="23"/>
  <c r="G39" i="23"/>
  <c r="O39" i="23"/>
  <c r="W39" i="23"/>
  <c r="AE39" i="23"/>
  <c r="U39" i="23"/>
  <c r="Q39" i="23"/>
  <c r="O34" i="23"/>
  <c r="M39" i="23"/>
  <c r="J29" i="23"/>
  <c r="Z34" i="23"/>
  <c r="P6" i="23"/>
  <c r="K29" i="23"/>
  <c r="S29" i="23"/>
  <c r="AA29" i="23"/>
  <c r="AI33" i="23"/>
  <c r="K34" i="23"/>
  <c r="S34" i="23"/>
  <c r="AA34" i="23"/>
  <c r="AH34" i="23"/>
  <c r="E34" i="23"/>
  <c r="M34" i="23"/>
  <c r="U34" i="23"/>
  <c r="AC34" i="23"/>
  <c r="J34" i="23"/>
  <c r="G29" i="23"/>
  <c r="O29" i="23"/>
  <c r="W29" i="23"/>
  <c r="AE29" i="23"/>
  <c r="H34" i="23"/>
  <c r="X34" i="23"/>
  <c r="R34" i="23"/>
  <c r="AC6" i="23"/>
  <c r="T6" i="23"/>
  <c r="R29" i="23"/>
  <c r="AH29" i="23"/>
  <c r="H6" i="23"/>
  <c r="AI28" i="23"/>
  <c r="D6" i="23"/>
  <c r="F29" i="23"/>
  <c r="N29" i="23"/>
  <c r="V29" i="23"/>
  <c r="AD29" i="23"/>
  <c r="G21" i="23"/>
  <c r="O21" i="23"/>
  <c r="I21" i="23"/>
  <c r="M6" i="23"/>
  <c r="D21" i="23"/>
  <c r="L21" i="23"/>
  <c r="G13" i="23"/>
  <c r="O13" i="23"/>
  <c r="E21" i="23"/>
  <c r="M21" i="23"/>
  <c r="L6" i="23"/>
  <c r="K13" i="23"/>
  <c r="J6" i="23"/>
  <c r="M5" i="23"/>
  <c r="O6" i="23"/>
  <c r="I6" i="23"/>
  <c r="I7" i="23" s="1"/>
  <c r="E6" i="23"/>
  <c r="K6" i="23"/>
  <c r="H13" i="23"/>
  <c r="P13" i="23"/>
  <c r="AF13" i="23"/>
  <c r="X21" i="23"/>
  <c r="AF6" i="23"/>
  <c r="Q13" i="23"/>
  <c r="Q21" i="23"/>
  <c r="Y21" i="23"/>
  <c r="AG21" i="23"/>
  <c r="X13" i="23"/>
  <c r="AF21" i="23"/>
  <c r="R13" i="23"/>
  <c r="Z13" i="23"/>
  <c r="AI12" i="23"/>
  <c r="AI13" i="23" s="1"/>
  <c r="AI20" i="23"/>
  <c r="AI21" i="23" s="1"/>
  <c r="AE6" i="23"/>
  <c r="V13" i="23"/>
  <c r="AD13" i="23"/>
  <c r="V21" i="23"/>
  <c r="AD21" i="23"/>
  <c r="Y6" i="23"/>
  <c r="Z6" i="23"/>
  <c r="U6" i="23"/>
  <c r="Q6" i="23"/>
  <c r="AA6" i="23"/>
  <c r="AJ10" i="23"/>
  <c r="AJ11" i="23" s="1"/>
  <c r="AG6" i="23"/>
  <c r="R6" i="23"/>
  <c r="S6" i="23"/>
  <c r="U13" i="23"/>
  <c r="AC13" i="23"/>
  <c r="AI9" i="23"/>
  <c r="U5" i="23"/>
  <c r="AI85" i="23"/>
  <c r="AI86" i="23" s="1"/>
  <c r="AJ87" i="23"/>
  <c r="AJ97" i="23"/>
  <c r="AI95" i="23"/>
  <c r="AC5" i="23"/>
  <c r="D13" i="23"/>
  <c r="L13" i="23"/>
  <c r="T13" i="23"/>
  <c r="AB13" i="23"/>
  <c r="AI32" i="23"/>
  <c r="H54" i="23"/>
  <c r="P54" i="23"/>
  <c r="X54" i="23"/>
  <c r="AF54" i="23"/>
  <c r="F86" i="23"/>
  <c r="N86" i="23"/>
  <c r="V86" i="23"/>
  <c r="AD86" i="23"/>
  <c r="F120" i="23"/>
  <c r="AI109" i="23"/>
  <c r="AJ108" i="23"/>
  <c r="AJ109" i="23" s="1"/>
  <c r="I116" i="23"/>
  <c r="Q116" i="23"/>
  <c r="Y116" i="23"/>
  <c r="AG116" i="23"/>
  <c r="AJ123" i="23"/>
  <c r="H5" i="23"/>
  <c r="P5" i="23"/>
  <c r="X5" i="23"/>
  <c r="AF5" i="23"/>
  <c r="AJ22" i="23"/>
  <c r="I29" i="23"/>
  <c r="Q29" i="23"/>
  <c r="Y29" i="23"/>
  <c r="AG29" i="23"/>
  <c r="O58" i="23"/>
  <c r="AE58" i="23"/>
  <c r="F106" i="23"/>
  <c r="N106" i="23"/>
  <c r="V106" i="23"/>
  <c r="AD106" i="23"/>
  <c r="AI110" i="23"/>
  <c r="AJ112" i="23"/>
  <c r="AI115" i="23"/>
  <c r="AI89" i="23"/>
  <c r="AJ88" i="23"/>
  <c r="AJ89" i="23" s="1"/>
  <c r="F8" i="23"/>
  <c r="N8" i="23"/>
  <c r="N6" i="23" s="1"/>
  <c r="V8" i="23"/>
  <c r="V6" i="23" s="1"/>
  <c r="AD8" i="23"/>
  <c r="AD6" i="23" s="1"/>
  <c r="H86" i="23"/>
  <c r="P86" i="23"/>
  <c r="X86" i="23"/>
  <c r="AF86" i="23"/>
  <c r="AI94" i="23"/>
  <c r="AJ93" i="23"/>
  <c r="AJ94" i="23" s="1"/>
  <c r="AI114" i="23"/>
  <c r="AJ113" i="23"/>
  <c r="AJ114" i="23" s="1"/>
  <c r="AJ117" i="23"/>
  <c r="AI90" i="23"/>
  <c r="AI4" i="23"/>
  <c r="G8" i="23"/>
  <c r="G6" i="23" s="1"/>
  <c r="W8" i="23"/>
  <c r="W6" i="23" s="1"/>
  <c r="AJ26" i="23"/>
  <c r="AJ27" i="23" s="1"/>
  <c r="AI27" i="23"/>
  <c r="AI43" i="23"/>
  <c r="AI44" i="23" s="1"/>
  <c r="J58" i="23"/>
  <c r="R58" i="23"/>
  <c r="Z58" i="23"/>
  <c r="AI59" i="23"/>
  <c r="AI72" i="23"/>
  <c r="AI73" i="23" s="1"/>
  <c r="G91" i="23"/>
  <c r="G120" i="23" s="1"/>
  <c r="O91" i="23"/>
  <c r="O120" i="23" s="1"/>
  <c r="W91" i="23"/>
  <c r="W120" i="23" s="1"/>
  <c r="AE91" i="23"/>
  <c r="AE120" i="23" s="1"/>
  <c r="H106" i="23"/>
  <c r="P106" i="23"/>
  <c r="X106" i="23"/>
  <c r="AF106" i="23"/>
  <c r="AI105" i="23"/>
  <c r="AI106" i="23" s="1"/>
  <c r="AJ107" i="23"/>
  <c r="AJ18" i="23"/>
  <c r="AJ19" i="23" s="1"/>
  <c r="D29" i="23"/>
  <c r="L29" i="23"/>
  <c r="T29" i="23"/>
  <c r="AB29" i="23"/>
  <c r="AJ36" i="23"/>
  <c r="K39" i="23"/>
  <c r="S39" i="23"/>
  <c r="AA39" i="23"/>
  <c r="AI53" i="23"/>
  <c r="AI54" i="23" s="1"/>
  <c r="AJ55" i="23"/>
  <c r="G101" i="23"/>
  <c r="O101" i="23"/>
  <c r="W101" i="23"/>
  <c r="AE101" i="23"/>
  <c r="AJ31" i="23"/>
  <c r="E29" i="23"/>
  <c r="M29" i="23"/>
  <c r="U29" i="23"/>
  <c r="AC29" i="23"/>
  <c r="F44" i="23"/>
  <c r="N44" i="23"/>
  <c r="V44" i="23"/>
  <c r="AD44" i="23"/>
  <c r="D58" i="23"/>
  <c r="AI57" i="23"/>
  <c r="AJ118" i="23" s="1"/>
  <c r="K68" i="23"/>
  <c r="S68" i="23"/>
  <c r="AA68" i="23"/>
  <c r="F73" i="23"/>
  <c r="N73" i="23"/>
  <c r="V73" i="23"/>
  <c r="AD73" i="23"/>
  <c r="P120" i="23"/>
  <c r="AJ51" i="23"/>
  <c r="AJ52" i="23" s="1"/>
  <c r="AJ83" i="23"/>
  <c r="AJ84" i="23" s="1"/>
  <c r="AJ103" i="23"/>
  <c r="AJ104" i="23" s="1"/>
  <c r="AJ46" i="23"/>
  <c r="Y13" i="20"/>
  <c r="AD13" i="20"/>
  <c r="AI59" i="20"/>
  <c r="M79" i="20"/>
  <c r="N79" i="20"/>
  <c r="O79" i="20"/>
  <c r="M80" i="20"/>
  <c r="N80" i="20"/>
  <c r="O80" i="20"/>
  <c r="AJ13" i="24" l="1"/>
  <c r="AJ66" i="24"/>
  <c r="AJ52" i="24"/>
  <c r="AJ8" i="24" s="1"/>
  <c r="AJ6" i="24" s="1"/>
  <c r="AJ7" i="24" s="1"/>
  <c r="AJ18" i="24"/>
  <c r="AI7" i="24"/>
  <c r="AJ91" i="24"/>
  <c r="AJ81" i="24"/>
  <c r="AJ71" i="24"/>
  <c r="AJ43" i="24"/>
  <c r="AJ86" i="24"/>
  <c r="AJ100" i="23"/>
  <c r="AJ101" i="23" s="1"/>
  <c r="AI116" i="23"/>
  <c r="AJ115" i="23"/>
  <c r="AJ116" i="23" s="1"/>
  <c r="AJ110" i="23"/>
  <c r="AJ111" i="23" s="1"/>
  <c r="AI111" i="23"/>
  <c r="AA7" i="23"/>
  <c r="AI96" i="23"/>
  <c r="S7" i="23"/>
  <c r="G7" i="23"/>
  <c r="AI91" i="23"/>
  <c r="AE7" i="23"/>
  <c r="X7" i="23"/>
  <c r="AG7" i="23"/>
  <c r="J7" i="23"/>
  <c r="K7" i="23"/>
  <c r="Z7" i="23"/>
  <c r="V7" i="23"/>
  <c r="O7" i="23"/>
  <c r="T7" i="23"/>
  <c r="R7" i="23"/>
  <c r="AJ72" i="23"/>
  <c r="AJ73" i="23" s="1"/>
  <c r="L7" i="23"/>
  <c r="Q7" i="23"/>
  <c r="AJ105" i="23"/>
  <c r="AJ106" i="23" s="1"/>
  <c r="AD7" i="23"/>
  <c r="E7" i="23"/>
  <c r="N7" i="23"/>
  <c r="Y7" i="23"/>
  <c r="AB7" i="23"/>
  <c r="AI81" i="23"/>
  <c r="W7" i="23"/>
  <c r="AJ95" i="23"/>
  <c r="AJ96" i="23" s="1"/>
  <c r="D7" i="23"/>
  <c r="AJ67" i="23"/>
  <c r="AJ68" i="23" s="1"/>
  <c r="H7" i="23"/>
  <c r="AI1" i="23"/>
  <c r="AJ1" i="23" s="1"/>
  <c r="AJ2" i="23" s="1"/>
  <c r="AJ43" i="23"/>
  <c r="AJ44" i="23" s="1"/>
  <c r="AI34" i="23"/>
  <c r="P7" i="23"/>
  <c r="AI29" i="23"/>
  <c r="AC7" i="23"/>
  <c r="AJ28" i="23"/>
  <c r="AJ29" i="23" s="1"/>
  <c r="U7" i="23"/>
  <c r="M7" i="23"/>
  <c r="AF7" i="23"/>
  <c r="AI120" i="23"/>
  <c r="AJ12" i="23"/>
  <c r="AJ13" i="23" s="1"/>
  <c r="F6" i="23"/>
  <c r="F7" i="23" s="1"/>
  <c r="AI8" i="23"/>
  <c r="AJ85" i="23"/>
  <c r="AJ86" i="23" s="1"/>
  <c r="AJ38" i="23"/>
  <c r="AJ37" i="23"/>
  <c r="AI58" i="23"/>
  <c r="AJ58" i="23" s="1"/>
  <c r="AJ32" i="23"/>
  <c r="AJ33" i="23"/>
  <c r="AJ57" i="23"/>
  <c r="AJ53" i="23"/>
  <c r="AJ54" i="23" s="1"/>
  <c r="AJ48" i="23"/>
  <c r="AJ47" i="23"/>
  <c r="AI5" i="23"/>
  <c r="AJ4" i="23"/>
  <c r="AJ5" i="23" s="1"/>
  <c r="AJ90" i="23"/>
  <c r="AJ91" i="23" s="1"/>
  <c r="AJ20" i="23"/>
  <c r="AJ21" i="23" s="1"/>
  <c r="N81" i="20"/>
  <c r="O81" i="20"/>
  <c r="M81" i="20"/>
  <c r="AJ49" i="23" l="1"/>
  <c r="AJ39" i="23"/>
  <c r="AK8" i="23"/>
  <c r="AJ59" i="23"/>
  <c r="AI6" i="23"/>
  <c r="AI7" i="23" s="1"/>
  <c r="AJ8" i="23"/>
  <c r="AJ6" i="23" s="1"/>
  <c r="AJ7" i="23" s="1"/>
  <c r="AJ34" i="23"/>
  <c r="P84" i="20"/>
  <c r="M109" i="20"/>
  <c r="L8" i="20"/>
  <c r="L114" i="20"/>
  <c r="K8" i="20"/>
  <c r="I8" i="20"/>
  <c r="H8" i="20"/>
  <c r="G8" i="20"/>
  <c r="D57" i="20"/>
  <c r="D4" i="20"/>
  <c r="D90" i="20"/>
  <c r="AH11" i="20"/>
  <c r="AH12" i="20"/>
  <c r="AH19" i="20"/>
  <c r="AH20" i="20"/>
  <c r="AH27" i="20"/>
  <c r="AH28" i="20"/>
  <c r="AH32" i="20"/>
  <c r="AH33" i="20"/>
  <c r="AH37" i="20"/>
  <c r="AH38" i="20"/>
  <c r="AH42" i="20"/>
  <c r="AH43" i="20"/>
  <c r="AH47" i="20"/>
  <c r="AH48" i="20"/>
  <c r="AH52" i="20"/>
  <c r="AH53" i="20"/>
  <c r="AH57" i="20"/>
  <c r="AH58" i="20" s="1"/>
  <c r="AH66" i="20"/>
  <c r="AH67" i="20"/>
  <c r="AH71" i="20"/>
  <c r="AH72" i="20"/>
  <c r="AH79" i="20"/>
  <c r="AH80" i="20"/>
  <c r="AH84" i="20"/>
  <c r="AH85" i="20"/>
  <c r="AH89" i="20"/>
  <c r="AH99" i="20"/>
  <c r="AH100" i="20"/>
  <c r="AH104" i="20"/>
  <c r="AH105" i="20"/>
  <c r="AH109" i="20"/>
  <c r="AH110" i="20"/>
  <c r="AH114" i="20"/>
  <c r="AH115" i="20"/>
  <c r="L115" i="20"/>
  <c r="M115" i="20"/>
  <c r="N115" i="20"/>
  <c r="O115" i="20"/>
  <c r="P115" i="20"/>
  <c r="L105" i="20"/>
  <c r="M105" i="20"/>
  <c r="M100" i="20"/>
  <c r="N100" i="20"/>
  <c r="O100" i="20"/>
  <c r="P100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P58" i="20" s="1"/>
  <c r="Q57" i="20"/>
  <c r="R57" i="20"/>
  <c r="S57" i="20"/>
  <c r="T57" i="20"/>
  <c r="T58" i="20" s="1"/>
  <c r="U57" i="20"/>
  <c r="V57" i="20"/>
  <c r="V58" i="20" s="1"/>
  <c r="W57" i="20"/>
  <c r="W58" i="20" s="1"/>
  <c r="X57" i="20"/>
  <c r="Y57" i="20"/>
  <c r="Z57" i="20"/>
  <c r="AA57" i="20"/>
  <c r="AB57" i="20"/>
  <c r="AC57" i="20"/>
  <c r="AD57" i="20"/>
  <c r="AE57" i="20"/>
  <c r="AF57" i="20"/>
  <c r="AG57" i="20"/>
  <c r="AI126" i="20"/>
  <c r="AJ126" i="20" s="1"/>
  <c r="AI125" i="20"/>
  <c r="AI124" i="20"/>
  <c r="AI123" i="20"/>
  <c r="AI117" i="20"/>
  <c r="AG115" i="20"/>
  <c r="AF115" i="20"/>
  <c r="AE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K115" i="20"/>
  <c r="J115" i="20"/>
  <c r="I115" i="20"/>
  <c r="H115" i="20"/>
  <c r="G115" i="20"/>
  <c r="F115" i="20"/>
  <c r="E115" i="20"/>
  <c r="D115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K114" i="20"/>
  <c r="J114" i="20"/>
  <c r="I114" i="20"/>
  <c r="H114" i="20"/>
  <c r="G114" i="20"/>
  <c r="E114" i="20"/>
  <c r="D114" i="20"/>
  <c r="AI113" i="20"/>
  <c r="AI114" i="20" s="1"/>
  <c r="AI112" i="20"/>
  <c r="AJ112" i="20" s="1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F110" i="20"/>
  <c r="E110" i="20"/>
  <c r="D110" i="20"/>
  <c r="AG109" i="20"/>
  <c r="AF109" i="20"/>
  <c r="AE109" i="20"/>
  <c r="AD109" i="20"/>
  <c r="AC109" i="20"/>
  <c r="AB109" i="20"/>
  <c r="AA109" i="20"/>
  <c r="Z109" i="20"/>
  <c r="Z111" i="20" s="1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L109" i="20"/>
  <c r="K109" i="20"/>
  <c r="J109" i="20"/>
  <c r="I109" i="20"/>
  <c r="H109" i="20"/>
  <c r="G109" i="20"/>
  <c r="F109" i="20"/>
  <c r="E109" i="20"/>
  <c r="D109" i="20"/>
  <c r="AI108" i="20"/>
  <c r="AI109" i="20" s="1"/>
  <c r="AI107" i="20"/>
  <c r="AJ107" i="20" s="1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K105" i="20"/>
  <c r="J105" i="20"/>
  <c r="I105" i="20"/>
  <c r="H105" i="20"/>
  <c r="G105" i="20"/>
  <c r="F105" i="20"/>
  <c r="E105" i="20"/>
  <c r="D105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AI103" i="20"/>
  <c r="AI102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L100" i="20"/>
  <c r="K100" i="20"/>
  <c r="J100" i="20"/>
  <c r="I100" i="20"/>
  <c r="H100" i="20"/>
  <c r="G100" i="20"/>
  <c r="F100" i="20"/>
  <c r="E100" i="20"/>
  <c r="D100" i="20"/>
  <c r="AG99" i="20"/>
  <c r="AF99" i="20"/>
  <c r="AE99" i="20"/>
  <c r="AD99" i="20"/>
  <c r="AC99" i="20"/>
  <c r="AB99" i="20"/>
  <c r="AA99" i="20"/>
  <c r="Z99" i="20"/>
  <c r="Y99" i="20"/>
  <c r="X99" i="20"/>
  <c r="AI98" i="20" s="1"/>
  <c r="AI99" i="20" s="1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AI97" i="20"/>
  <c r="AI93" i="20"/>
  <c r="A93" i="20"/>
  <c r="A4" i="20" s="1"/>
  <c r="AI92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AI88" i="20"/>
  <c r="AI89" i="20" s="1"/>
  <c r="V85" i="20"/>
  <c r="AG85" i="20"/>
  <c r="AF85" i="20"/>
  <c r="AE85" i="20"/>
  <c r="AD85" i="20"/>
  <c r="AC85" i="20"/>
  <c r="AB85" i="20"/>
  <c r="AA85" i="20"/>
  <c r="Z85" i="20"/>
  <c r="Y85" i="20"/>
  <c r="X85" i="20"/>
  <c r="W85" i="20"/>
  <c r="U85" i="20"/>
  <c r="T85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AI83" i="20"/>
  <c r="AI84" i="20" s="1"/>
  <c r="AI82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L80" i="20"/>
  <c r="K80" i="20"/>
  <c r="J80" i="20"/>
  <c r="I80" i="20"/>
  <c r="H80" i="20"/>
  <c r="G80" i="20"/>
  <c r="F80" i="20"/>
  <c r="E80" i="20"/>
  <c r="D80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L79" i="20"/>
  <c r="K79" i="20"/>
  <c r="J79" i="20"/>
  <c r="I79" i="20"/>
  <c r="H79" i="20"/>
  <c r="G79" i="20"/>
  <c r="F79" i="20"/>
  <c r="E79" i="20"/>
  <c r="D79" i="20"/>
  <c r="AI78" i="20"/>
  <c r="D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AI70" i="20"/>
  <c r="AI71" i="20" s="1"/>
  <c r="AG67" i="20"/>
  <c r="AF67" i="20"/>
  <c r="AE67" i="20"/>
  <c r="AD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K67" i="20"/>
  <c r="J67" i="20"/>
  <c r="I67" i="20"/>
  <c r="H67" i="20"/>
  <c r="G67" i="20"/>
  <c r="F67" i="20"/>
  <c r="E67" i="20"/>
  <c r="D67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AI65" i="20"/>
  <c r="AI66" i="20" s="1"/>
  <c r="AI64" i="20"/>
  <c r="AI60" i="20"/>
  <c r="AI61" i="20" s="1"/>
  <c r="Z8" i="20"/>
  <c r="R8" i="20"/>
  <c r="AI55" i="20"/>
  <c r="AJ55" i="20" s="1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AI51" i="20"/>
  <c r="AI52" i="20" s="1"/>
  <c r="AG48" i="20"/>
  <c r="AF48" i="20"/>
  <c r="AE48" i="20"/>
  <c r="AD48" i="20"/>
  <c r="AC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K47" i="20"/>
  <c r="J47" i="20"/>
  <c r="H47" i="20"/>
  <c r="G47" i="20"/>
  <c r="F47" i="20"/>
  <c r="E47" i="20"/>
  <c r="D47" i="20"/>
  <c r="AI46" i="20"/>
  <c r="AI45" i="20"/>
  <c r="AJ45" i="20" s="1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P43" i="20"/>
  <c r="O43" i="20"/>
  <c r="N43" i="20"/>
  <c r="M43" i="20"/>
  <c r="L43" i="20"/>
  <c r="K43" i="20"/>
  <c r="J43" i="20"/>
  <c r="I43" i="20"/>
  <c r="G43" i="20"/>
  <c r="F43" i="20"/>
  <c r="E43" i="20"/>
  <c r="D43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AI41" i="20"/>
  <c r="AI42" i="20" s="1"/>
  <c r="AI40" i="20"/>
  <c r="AJ40" i="20" s="1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I36" i="20"/>
  <c r="AI35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AI31" i="20"/>
  <c r="AI32" i="20" s="1"/>
  <c r="AI30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AI26" i="20"/>
  <c r="AI27" i="20" s="1"/>
  <c r="AI22" i="20"/>
  <c r="AJ22" i="20" s="1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AI18" i="20"/>
  <c r="AI19" i="20" s="1"/>
  <c r="D12" i="20"/>
  <c r="AG12" i="20"/>
  <c r="AF12" i="20"/>
  <c r="AE12" i="20"/>
  <c r="AC12" i="20"/>
  <c r="AB12" i="20"/>
  <c r="AA12" i="20"/>
  <c r="Z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AG11" i="20"/>
  <c r="AF11" i="20"/>
  <c r="AE11" i="20"/>
  <c r="AC11" i="20"/>
  <c r="AB11" i="20"/>
  <c r="AA11" i="20"/>
  <c r="Z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AI10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AG8" i="20"/>
  <c r="AC8" i="20"/>
  <c r="U8" i="20"/>
  <c r="T8" i="20"/>
  <c r="Q8" i="20"/>
  <c r="E8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G4" i="20"/>
  <c r="F4" i="20"/>
  <c r="E4" i="20"/>
  <c r="E3" i="20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AH120" i="19"/>
  <c r="AH8" i="19"/>
  <c r="AH59" i="19"/>
  <c r="AD59" i="19"/>
  <c r="AD120" i="19" s="1"/>
  <c r="AE59" i="19"/>
  <c r="AE8" i="19" s="1"/>
  <c r="AF59" i="19"/>
  <c r="AF120" i="19" s="1"/>
  <c r="AG59" i="19"/>
  <c r="AG8" i="19" s="1"/>
  <c r="AG120" i="19"/>
  <c r="AF8" i="19"/>
  <c r="AC59" i="19"/>
  <c r="AC8" i="19" s="1"/>
  <c r="AC69" i="19"/>
  <c r="AC120" i="19" s="1"/>
  <c r="AB59" i="19"/>
  <c r="AB8" i="19" s="1"/>
  <c r="AB50" i="19"/>
  <c r="AA59" i="19"/>
  <c r="AA120" i="19" s="1"/>
  <c r="AA8" i="19"/>
  <c r="Z120" i="19"/>
  <c r="Z8" i="19"/>
  <c r="Z59" i="19"/>
  <c r="W120" i="19"/>
  <c r="X120" i="19"/>
  <c r="W8" i="19"/>
  <c r="X8" i="19"/>
  <c r="W59" i="19"/>
  <c r="X59" i="19"/>
  <c r="Y59" i="19"/>
  <c r="Y120" i="19" s="1"/>
  <c r="V8" i="19"/>
  <c r="V87" i="19"/>
  <c r="V59" i="19"/>
  <c r="V120" i="19"/>
  <c r="T120" i="19"/>
  <c r="U59" i="19"/>
  <c r="U8" i="19" s="1"/>
  <c r="T57" i="19"/>
  <c r="T58" i="19" s="1"/>
  <c r="U66" i="19"/>
  <c r="U84" i="19"/>
  <c r="T66" i="19"/>
  <c r="T84" i="19"/>
  <c r="S59" i="19"/>
  <c r="P59" i="19"/>
  <c r="Q59" i="19"/>
  <c r="R59" i="19"/>
  <c r="O59" i="19"/>
  <c r="AH5" i="20" l="1"/>
  <c r="P5" i="20"/>
  <c r="U120" i="19"/>
  <c r="D58" i="20"/>
  <c r="AI57" i="20"/>
  <c r="Y8" i="19"/>
  <c r="AB120" i="19"/>
  <c r="M106" i="20"/>
  <c r="AE120" i="19"/>
  <c r="W111" i="20"/>
  <c r="AH68" i="20"/>
  <c r="AH44" i="20"/>
  <c r="I29" i="20"/>
  <c r="AG29" i="20"/>
  <c r="AE21" i="20"/>
  <c r="Z86" i="20"/>
  <c r="W21" i="20"/>
  <c r="AJ122" i="20"/>
  <c r="AJ123" i="20"/>
  <c r="AH116" i="20"/>
  <c r="AH106" i="20"/>
  <c r="AH39" i="20"/>
  <c r="AH101" i="20"/>
  <c r="AH49" i="20"/>
  <c r="F44" i="20"/>
  <c r="V44" i="20"/>
  <c r="AD44" i="20"/>
  <c r="R86" i="20"/>
  <c r="AH54" i="20"/>
  <c r="E21" i="20"/>
  <c r="M21" i="20"/>
  <c r="U21" i="20"/>
  <c r="AC21" i="20"/>
  <c r="AH111" i="20"/>
  <c r="AH13" i="20"/>
  <c r="L73" i="20"/>
  <c r="D5" i="20"/>
  <c r="G39" i="20"/>
  <c r="AH81" i="20"/>
  <c r="O58" i="20"/>
  <c r="M8" i="20"/>
  <c r="M6" i="20" s="1"/>
  <c r="O21" i="20"/>
  <c r="O111" i="20"/>
  <c r="N44" i="20"/>
  <c r="O101" i="20"/>
  <c r="N86" i="20"/>
  <c r="L116" i="20"/>
  <c r="F13" i="20"/>
  <c r="G21" i="20"/>
  <c r="D6" i="20"/>
  <c r="I91" i="20"/>
  <c r="I120" i="20" s="1"/>
  <c r="Q91" i="20"/>
  <c r="Q120" i="20" s="1"/>
  <c r="Y91" i="20"/>
  <c r="Y120" i="20" s="1"/>
  <c r="AG91" i="20"/>
  <c r="AG120" i="20" s="1"/>
  <c r="AC101" i="20"/>
  <c r="AH73" i="20"/>
  <c r="AH34" i="20"/>
  <c r="L81" i="20"/>
  <c r="AB81" i="20"/>
  <c r="T116" i="20"/>
  <c r="AH91" i="20"/>
  <c r="AH120" i="20" s="1"/>
  <c r="AH29" i="20"/>
  <c r="K111" i="20"/>
  <c r="AA111" i="20"/>
  <c r="AH86" i="20"/>
  <c r="AH21" i="20"/>
  <c r="AC29" i="20"/>
  <c r="AC49" i="20"/>
  <c r="X86" i="20"/>
  <c r="O116" i="20"/>
  <c r="AH7" i="20"/>
  <c r="O86" i="20"/>
  <c r="AD81" i="20"/>
  <c r="AJ125" i="20"/>
  <c r="J29" i="20"/>
  <c r="G44" i="20"/>
  <c r="AG106" i="20"/>
  <c r="I34" i="20"/>
  <c r="Q34" i="20"/>
  <c r="Y34" i="20"/>
  <c r="AG34" i="20"/>
  <c r="AI38" i="20"/>
  <c r="E86" i="20"/>
  <c r="M86" i="20"/>
  <c r="L106" i="20"/>
  <c r="G101" i="20"/>
  <c r="D116" i="20"/>
  <c r="S68" i="20"/>
  <c r="J111" i="20"/>
  <c r="J21" i="20"/>
  <c r="P86" i="20"/>
  <c r="F73" i="20"/>
  <c r="N73" i="20"/>
  <c r="V73" i="20"/>
  <c r="AD73" i="20"/>
  <c r="Q86" i="20"/>
  <c r="Y86" i="20"/>
  <c r="AG86" i="20"/>
  <c r="AD91" i="20"/>
  <c r="AD120" i="20" s="1"/>
  <c r="N116" i="20"/>
  <c r="M116" i="20"/>
  <c r="M101" i="20"/>
  <c r="N101" i="20"/>
  <c r="W116" i="20"/>
  <c r="P116" i="20"/>
  <c r="X116" i="20"/>
  <c r="AF116" i="20"/>
  <c r="F116" i="20"/>
  <c r="F111" i="20"/>
  <c r="G116" i="20"/>
  <c r="U116" i="20"/>
  <c r="AC116" i="20"/>
  <c r="K116" i="20"/>
  <c r="S106" i="20"/>
  <c r="AA106" i="20"/>
  <c r="L111" i="20"/>
  <c r="T111" i="20"/>
  <c r="AB111" i="20"/>
  <c r="F106" i="20"/>
  <c r="K106" i="20"/>
  <c r="Q101" i="20"/>
  <c r="T106" i="20"/>
  <c r="AB106" i="20"/>
  <c r="O106" i="20"/>
  <c r="W106" i="20"/>
  <c r="AE106" i="20"/>
  <c r="H106" i="20"/>
  <c r="F101" i="20"/>
  <c r="H101" i="20"/>
  <c r="F91" i="20"/>
  <c r="F120" i="20" s="1"/>
  <c r="N91" i="20"/>
  <c r="N120" i="20" s="1"/>
  <c r="V91" i="20"/>
  <c r="V120" i="20" s="1"/>
  <c r="H91" i="20"/>
  <c r="H120" i="20" s="1"/>
  <c r="P91" i="20"/>
  <c r="P120" i="20" s="1"/>
  <c r="X91" i="20"/>
  <c r="X120" i="20" s="1"/>
  <c r="AF91" i="20"/>
  <c r="AF120" i="20" s="1"/>
  <c r="S101" i="20"/>
  <c r="AA101" i="20"/>
  <c r="AE101" i="20"/>
  <c r="P101" i="20"/>
  <c r="AF101" i="20"/>
  <c r="K91" i="20"/>
  <c r="K120" i="20" s="1"/>
  <c r="S91" i="20"/>
  <c r="S120" i="20" s="1"/>
  <c r="AA91" i="20"/>
  <c r="AA120" i="20" s="1"/>
  <c r="F86" i="20"/>
  <c r="G91" i="20"/>
  <c r="G120" i="20" s="1"/>
  <c r="O91" i="20"/>
  <c r="O120" i="20" s="1"/>
  <c r="W91" i="20"/>
  <c r="W120" i="20" s="1"/>
  <c r="AE91" i="20"/>
  <c r="AE120" i="20" s="1"/>
  <c r="R91" i="20"/>
  <c r="R120" i="20" s="1"/>
  <c r="AE81" i="20"/>
  <c r="G81" i="20"/>
  <c r="L86" i="20"/>
  <c r="P81" i="20"/>
  <c r="AA81" i="20"/>
  <c r="X81" i="20"/>
  <c r="H81" i="20"/>
  <c r="AF81" i="20"/>
  <c r="E73" i="20"/>
  <c r="M73" i="20"/>
  <c r="U73" i="20"/>
  <c r="AC73" i="20"/>
  <c r="AE68" i="20"/>
  <c r="K54" i="20"/>
  <c r="S54" i="20"/>
  <c r="AA54" i="20"/>
  <c r="U54" i="20"/>
  <c r="AC54" i="20"/>
  <c r="H54" i="20"/>
  <c r="P54" i="20"/>
  <c r="X54" i="20"/>
  <c r="AF54" i="20"/>
  <c r="N54" i="20"/>
  <c r="V54" i="20"/>
  <c r="AD54" i="20"/>
  <c r="G54" i="20"/>
  <c r="O54" i="20"/>
  <c r="W54" i="20"/>
  <c r="AE54" i="20"/>
  <c r="Q54" i="20"/>
  <c r="AG54" i="20"/>
  <c r="R54" i="20"/>
  <c r="Z54" i="20"/>
  <c r="T54" i="20"/>
  <c r="Y54" i="20"/>
  <c r="P44" i="20"/>
  <c r="K44" i="20"/>
  <c r="L39" i="20"/>
  <c r="T39" i="20"/>
  <c r="AB39" i="20"/>
  <c r="M34" i="20"/>
  <c r="H39" i="20"/>
  <c r="P39" i="20"/>
  <c r="X39" i="20"/>
  <c r="AF39" i="20"/>
  <c r="AA29" i="20"/>
  <c r="Q6" i="20"/>
  <c r="F29" i="20"/>
  <c r="N29" i="20"/>
  <c r="V29" i="20"/>
  <c r="AD29" i="20"/>
  <c r="I6" i="20"/>
  <c r="F21" i="20"/>
  <c r="N21" i="20"/>
  <c r="V21" i="20"/>
  <c r="AD21" i="20"/>
  <c r="O13" i="20"/>
  <c r="AE13" i="20"/>
  <c r="G13" i="20"/>
  <c r="W13" i="20"/>
  <c r="E6" i="20"/>
  <c r="U6" i="20"/>
  <c r="N13" i="20"/>
  <c r="V13" i="20"/>
  <c r="AG6" i="20"/>
  <c r="Z6" i="20"/>
  <c r="D81" i="20"/>
  <c r="D73" i="20"/>
  <c r="D54" i="20"/>
  <c r="AJ51" i="20"/>
  <c r="AJ52" i="20" s="1"/>
  <c r="D39" i="20"/>
  <c r="G29" i="20"/>
  <c r="AA39" i="20"/>
  <c r="Y44" i="20"/>
  <c r="W68" i="20"/>
  <c r="W73" i="20"/>
  <c r="AI74" i="20"/>
  <c r="AJ74" i="20" s="1"/>
  <c r="V86" i="20"/>
  <c r="E101" i="20"/>
  <c r="U106" i="20"/>
  <c r="AC106" i="20"/>
  <c r="J116" i="20"/>
  <c r="W29" i="20"/>
  <c r="Y81" i="20"/>
  <c r="AF86" i="20"/>
  <c r="N106" i="20"/>
  <c r="V106" i="20"/>
  <c r="AD106" i="20"/>
  <c r="K39" i="20"/>
  <c r="I81" i="20"/>
  <c r="S5" i="20"/>
  <c r="H29" i="20"/>
  <c r="Y29" i="20"/>
  <c r="P73" i="20"/>
  <c r="AE111" i="20"/>
  <c r="AC86" i="20"/>
  <c r="O29" i="20"/>
  <c r="Q44" i="20"/>
  <c r="AG81" i="20"/>
  <c r="L101" i="20"/>
  <c r="AG5" i="20"/>
  <c r="X29" i="20"/>
  <c r="G68" i="20"/>
  <c r="T6" i="20"/>
  <c r="I21" i="20"/>
  <c r="AG21" i="20"/>
  <c r="V34" i="20"/>
  <c r="AA44" i="20"/>
  <c r="X49" i="20"/>
  <c r="N58" i="20"/>
  <c r="AE58" i="20"/>
  <c r="P68" i="20"/>
  <c r="X73" i="20"/>
  <c r="S81" i="20"/>
  <c r="Y8" i="20"/>
  <c r="Y6" i="20" s="1"/>
  <c r="G34" i="20"/>
  <c r="AE34" i="20"/>
  <c r="L44" i="20"/>
  <c r="AG58" i="20"/>
  <c r="AG68" i="20"/>
  <c r="K29" i="20"/>
  <c r="S29" i="20"/>
  <c r="W39" i="20"/>
  <c r="AE39" i="20"/>
  <c r="E44" i="20"/>
  <c r="M44" i="20"/>
  <c r="U44" i="20"/>
  <c r="AC44" i="20"/>
  <c r="J49" i="20"/>
  <c r="R49" i="20"/>
  <c r="Z49" i="20"/>
  <c r="AA49" i="20"/>
  <c r="X58" i="20"/>
  <c r="K6" i="20"/>
  <c r="Z68" i="20"/>
  <c r="J73" i="20"/>
  <c r="R73" i="20"/>
  <c r="Z73" i="20"/>
  <c r="E81" i="20"/>
  <c r="U81" i="20"/>
  <c r="AC81" i="20"/>
  <c r="V81" i="20"/>
  <c r="I101" i="20"/>
  <c r="P106" i="20"/>
  <c r="P111" i="20"/>
  <c r="E116" i="20"/>
  <c r="U86" i="20"/>
  <c r="D101" i="20"/>
  <c r="AA5" i="20"/>
  <c r="AF29" i="20"/>
  <c r="R44" i="20"/>
  <c r="O68" i="20"/>
  <c r="X8" i="20"/>
  <c r="X6" i="20" s="1"/>
  <c r="Q21" i="20"/>
  <c r="N34" i="20"/>
  <c r="H49" i="20"/>
  <c r="X68" i="20"/>
  <c r="H73" i="20"/>
  <c r="O34" i="20"/>
  <c r="T44" i="20"/>
  <c r="Y68" i="20"/>
  <c r="O8" i="20"/>
  <c r="O6" i="20" s="1"/>
  <c r="AC6" i="20"/>
  <c r="E13" i="20"/>
  <c r="M13" i="20"/>
  <c r="U13" i="20"/>
  <c r="AC13" i="20"/>
  <c r="L21" i="20"/>
  <c r="T21" i="20"/>
  <c r="AB21" i="20"/>
  <c r="Y58" i="20"/>
  <c r="L58" i="20"/>
  <c r="AD68" i="20"/>
  <c r="I111" i="20"/>
  <c r="Q111" i="20"/>
  <c r="Y111" i="20"/>
  <c r="AG111" i="20"/>
  <c r="S111" i="20"/>
  <c r="V116" i="20"/>
  <c r="AD116" i="20"/>
  <c r="AE29" i="20"/>
  <c r="S39" i="20"/>
  <c r="AG44" i="20"/>
  <c r="Q81" i="20"/>
  <c r="D106" i="20"/>
  <c r="P29" i="20"/>
  <c r="AC34" i="20"/>
  <c r="Y21" i="20"/>
  <c r="Q29" i="20"/>
  <c r="F34" i="20"/>
  <c r="AD34" i="20"/>
  <c r="S44" i="20"/>
  <c r="P49" i="20"/>
  <c r="F58" i="20"/>
  <c r="AF58" i="20"/>
  <c r="H68" i="20"/>
  <c r="AF68" i="20"/>
  <c r="AF73" i="20"/>
  <c r="K81" i="20"/>
  <c r="W34" i="20"/>
  <c r="V39" i="20"/>
  <c r="D44" i="20"/>
  <c r="AB44" i="20"/>
  <c r="R6" i="20"/>
  <c r="Q68" i="20"/>
  <c r="I86" i="20"/>
  <c r="P8" i="20"/>
  <c r="P6" i="20" s="1"/>
  <c r="AF8" i="20"/>
  <c r="AF6" i="20" s="1"/>
  <c r="H13" i="20"/>
  <c r="P13" i="20"/>
  <c r="X13" i="20"/>
  <c r="AF13" i="20"/>
  <c r="E29" i="20"/>
  <c r="M29" i="20"/>
  <c r="U29" i="20"/>
  <c r="J34" i="20"/>
  <c r="K34" i="20"/>
  <c r="S34" i="20"/>
  <c r="AA34" i="20"/>
  <c r="I39" i="20"/>
  <c r="Q39" i="20"/>
  <c r="Y39" i="20"/>
  <c r="AG39" i="20"/>
  <c r="O44" i="20"/>
  <c r="W44" i="20"/>
  <c r="AE44" i="20"/>
  <c r="D49" i="20"/>
  <c r="L49" i="20"/>
  <c r="T49" i="20"/>
  <c r="E49" i="20"/>
  <c r="M49" i="20"/>
  <c r="G58" i="20"/>
  <c r="V8" i="20"/>
  <c r="V6" i="20" s="1"/>
  <c r="W81" i="20"/>
  <c r="AD101" i="20"/>
  <c r="J106" i="20"/>
  <c r="L6" i="20"/>
  <c r="Z81" i="20"/>
  <c r="J8" i="20"/>
  <c r="J6" i="20" s="1"/>
  <c r="S8" i="20"/>
  <c r="S6" i="20" s="1"/>
  <c r="AB58" i="20"/>
  <c r="I54" i="20"/>
  <c r="H21" i="20"/>
  <c r="P21" i="20"/>
  <c r="X21" i="20"/>
  <c r="AF21" i="20"/>
  <c r="H34" i="20"/>
  <c r="P34" i="20"/>
  <c r="X34" i="20"/>
  <c r="AF34" i="20"/>
  <c r="K49" i="20"/>
  <c r="S49" i="20"/>
  <c r="J54" i="20"/>
  <c r="I73" i="20"/>
  <c r="Q73" i="20"/>
  <c r="Y73" i="20"/>
  <c r="AG73" i="20"/>
  <c r="G86" i="20"/>
  <c r="W86" i="20"/>
  <c r="AE86" i="20"/>
  <c r="AD86" i="20"/>
  <c r="AJ97" i="20"/>
  <c r="AI95" i="20"/>
  <c r="E106" i="20"/>
  <c r="H116" i="20"/>
  <c r="AB116" i="20"/>
  <c r="AI4" i="20"/>
  <c r="AI5" i="20" s="1"/>
  <c r="I68" i="20"/>
  <c r="AA73" i="20"/>
  <c r="J81" i="20"/>
  <c r="J101" i="20"/>
  <c r="I13" i="20"/>
  <c r="J44" i="20"/>
  <c r="F49" i="20"/>
  <c r="N49" i="20"/>
  <c r="V49" i="20"/>
  <c r="AD49" i="20"/>
  <c r="J58" i="20"/>
  <c r="R58" i="20"/>
  <c r="AC58" i="20"/>
  <c r="J68" i="20"/>
  <c r="R68" i="20"/>
  <c r="AJ93" i="20"/>
  <c r="AJ94" i="20" s="1"/>
  <c r="AI94" i="20"/>
  <c r="T101" i="20"/>
  <c r="AB101" i="20"/>
  <c r="X106" i="20"/>
  <c r="AF106" i="20"/>
  <c r="R111" i="20"/>
  <c r="AI14" i="20"/>
  <c r="AJ14" i="20" s="1"/>
  <c r="R34" i="20"/>
  <c r="U49" i="20"/>
  <c r="AJ60" i="20"/>
  <c r="AJ61" i="20" s="1"/>
  <c r="K73" i="20"/>
  <c r="G106" i="20"/>
  <c r="Q13" i="20"/>
  <c r="AG13" i="20"/>
  <c r="K21" i="20"/>
  <c r="J13" i="20"/>
  <c r="R13" i="20"/>
  <c r="Z13" i="20"/>
  <c r="K13" i="20"/>
  <c r="S13" i="20"/>
  <c r="AA13" i="20"/>
  <c r="AJ41" i="20"/>
  <c r="AJ42" i="20" s="1"/>
  <c r="AA58" i="20"/>
  <c r="AD8" i="20"/>
  <c r="AD6" i="20" s="1"/>
  <c r="K68" i="20"/>
  <c r="AA68" i="20"/>
  <c r="L67" i="20"/>
  <c r="L68" i="20" s="1"/>
  <c r="T81" i="20"/>
  <c r="AI87" i="20"/>
  <c r="AJ87" i="20" s="1"/>
  <c r="J91" i="20"/>
  <c r="J120" i="20" s="1"/>
  <c r="Z91" i="20"/>
  <c r="Z120" i="20" s="1"/>
  <c r="U101" i="20"/>
  <c r="D111" i="20"/>
  <c r="Z34" i="20"/>
  <c r="L54" i="20"/>
  <c r="S73" i="20"/>
  <c r="R81" i="20"/>
  <c r="AJ98" i="20"/>
  <c r="AJ99" i="20" s="1"/>
  <c r="G5" i="20"/>
  <c r="W5" i="20"/>
  <c r="AA8" i="20"/>
  <c r="AA6" i="20" s="1"/>
  <c r="R29" i="20"/>
  <c r="Z29" i="20"/>
  <c r="AI33" i="20"/>
  <c r="AI34" i="20" s="1"/>
  <c r="F8" i="20"/>
  <c r="F6" i="20" s="1"/>
  <c r="N8" i="20"/>
  <c r="N6" i="20" s="1"/>
  <c r="W8" i="20"/>
  <c r="W6" i="20" s="1"/>
  <c r="AE8" i="20"/>
  <c r="AE6" i="20" s="1"/>
  <c r="D86" i="20"/>
  <c r="I44" i="20"/>
  <c r="AB54" i="20"/>
  <c r="AJ70" i="20"/>
  <c r="AJ71" i="20" s="1"/>
  <c r="O5" i="20"/>
  <c r="AE5" i="20"/>
  <c r="AI9" i="20"/>
  <c r="H5" i="20"/>
  <c r="AB8" i="20"/>
  <c r="AB6" i="20" s="1"/>
  <c r="AJ26" i="20"/>
  <c r="AJ27" i="20" s="1"/>
  <c r="AJ35" i="20"/>
  <c r="J39" i="20"/>
  <c r="R39" i="20"/>
  <c r="Z39" i="20"/>
  <c r="M58" i="20"/>
  <c r="AD58" i="20"/>
  <c r="AI69" i="20"/>
  <c r="AI67" i="20" s="1"/>
  <c r="AI68" i="20" s="1"/>
  <c r="G73" i="20"/>
  <c r="O73" i="20"/>
  <c r="AE73" i="20"/>
  <c r="D91" i="20"/>
  <c r="D120" i="20" s="1"/>
  <c r="L91" i="20"/>
  <c r="L120" i="20" s="1"/>
  <c r="T91" i="20"/>
  <c r="T120" i="20" s="1"/>
  <c r="AB91" i="20"/>
  <c r="AB120" i="20" s="1"/>
  <c r="X5" i="20"/>
  <c r="AF5" i="20"/>
  <c r="D13" i="20"/>
  <c r="L13" i="20"/>
  <c r="T13" i="20"/>
  <c r="AB13" i="20"/>
  <c r="R21" i="20"/>
  <c r="Z21" i="20"/>
  <c r="D29" i="20"/>
  <c r="L29" i="20"/>
  <c r="T29" i="20"/>
  <c r="AB29" i="20"/>
  <c r="D34" i="20"/>
  <c r="L34" i="20"/>
  <c r="T34" i="20"/>
  <c r="AB34" i="20"/>
  <c r="E34" i="20"/>
  <c r="U34" i="20"/>
  <c r="E39" i="20"/>
  <c r="M39" i="20"/>
  <c r="U39" i="20"/>
  <c r="AC39" i="20"/>
  <c r="F39" i="20"/>
  <c r="N39" i="20"/>
  <c r="AG49" i="20"/>
  <c r="E54" i="20"/>
  <c r="M54" i="20"/>
  <c r="E68" i="20"/>
  <c r="M68" i="20"/>
  <c r="U68" i="20"/>
  <c r="F68" i="20"/>
  <c r="N68" i="20"/>
  <c r="V68" i="20"/>
  <c r="T73" i="20"/>
  <c r="AB73" i="20"/>
  <c r="F81" i="20"/>
  <c r="J86" i="20"/>
  <c r="E91" i="20"/>
  <c r="E120" i="20" s="1"/>
  <c r="M91" i="20"/>
  <c r="M120" i="20" s="1"/>
  <c r="U91" i="20"/>
  <c r="U120" i="20" s="1"/>
  <c r="AC91" i="20"/>
  <c r="AC120" i="20" s="1"/>
  <c r="AI100" i="20"/>
  <c r="AI101" i="20" s="1"/>
  <c r="I106" i="20"/>
  <c r="Q106" i="20"/>
  <c r="Y106" i="20"/>
  <c r="E111" i="20"/>
  <c r="I116" i="20"/>
  <c r="Q116" i="20"/>
  <c r="Y116" i="20"/>
  <c r="AG116" i="20"/>
  <c r="G6" i="20"/>
  <c r="S21" i="20"/>
  <c r="AA21" i="20"/>
  <c r="O39" i="20"/>
  <c r="AF49" i="20"/>
  <c r="I49" i="20"/>
  <c r="Q49" i="20"/>
  <c r="Y49" i="20"/>
  <c r="H58" i="20"/>
  <c r="K86" i="20"/>
  <c r="S86" i="20"/>
  <c r="AA86" i="20"/>
  <c r="W101" i="20"/>
  <c r="Y101" i="20"/>
  <c r="AG101" i="20"/>
  <c r="AJ102" i="20"/>
  <c r="R106" i="20"/>
  <c r="Z106" i="20"/>
  <c r="N111" i="20"/>
  <c r="V111" i="20"/>
  <c r="AD111" i="20"/>
  <c r="H111" i="20"/>
  <c r="X111" i="20"/>
  <c r="AF111" i="20"/>
  <c r="R116" i="20"/>
  <c r="Z116" i="20"/>
  <c r="AE116" i="20"/>
  <c r="H6" i="20"/>
  <c r="H44" i="20"/>
  <c r="X44" i="20"/>
  <c r="AF44" i="20"/>
  <c r="I58" i="20"/>
  <c r="T86" i="20"/>
  <c r="AB86" i="20"/>
  <c r="X101" i="20"/>
  <c r="R101" i="20"/>
  <c r="Z101" i="20"/>
  <c r="S116" i="20"/>
  <c r="AA116" i="20"/>
  <c r="J5" i="20"/>
  <c r="E58" i="20"/>
  <c r="AI79" i="20"/>
  <c r="AJ78" i="20"/>
  <c r="AJ79" i="20" s="1"/>
  <c r="L5" i="20"/>
  <c r="T5" i="20"/>
  <c r="AB5" i="20"/>
  <c r="AJ10" i="20"/>
  <c r="AJ11" i="20" s="1"/>
  <c r="AI11" i="20"/>
  <c r="AJ18" i="20"/>
  <c r="AJ19" i="20" s="1"/>
  <c r="Z44" i="20"/>
  <c r="R5" i="20"/>
  <c r="AC5" i="20"/>
  <c r="AJ64" i="20"/>
  <c r="AI62" i="20"/>
  <c r="AI63" i="20" s="1"/>
  <c r="H86" i="20"/>
  <c r="V101" i="20"/>
  <c r="M111" i="20"/>
  <c r="U111" i="20"/>
  <c r="AC111" i="20"/>
  <c r="V5" i="20"/>
  <c r="AI80" i="20"/>
  <c r="Z5" i="20"/>
  <c r="F54" i="20"/>
  <c r="M5" i="20"/>
  <c r="U5" i="20"/>
  <c r="N5" i="20"/>
  <c r="AD5" i="20"/>
  <c r="AJ30" i="20"/>
  <c r="AI28" i="20"/>
  <c r="AI29" i="20" s="1"/>
  <c r="AJ82" i="20"/>
  <c r="AJ88" i="20"/>
  <c r="AJ89" i="20" s="1"/>
  <c r="AI105" i="20"/>
  <c r="AI104" i="20"/>
  <c r="AJ103" i="20"/>
  <c r="K5" i="20"/>
  <c r="E5" i="20"/>
  <c r="F5" i="20"/>
  <c r="D20" i="20"/>
  <c r="D21" i="20" s="1"/>
  <c r="AI47" i="20"/>
  <c r="AJ46" i="20"/>
  <c r="AJ47" i="20" s="1"/>
  <c r="Q58" i="20"/>
  <c r="Z58" i="20"/>
  <c r="AI20" i="20"/>
  <c r="AI21" i="20" s="1"/>
  <c r="AD39" i="20"/>
  <c r="AI43" i="20"/>
  <c r="AI44" i="20" s="1"/>
  <c r="I5" i="20"/>
  <c r="Q5" i="20"/>
  <c r="Y5" i="20"/>
  <c r="AJ92" i="20"/>
  <c r="AI90" i="20"/>
  <c r="AI91" i="20" s="1"/>
  <c r="G49" i="20"/>
  <c r="O49" i="20"/>
  <c r="W49" i="20"/>
  <c r="AE49" i="20"/>
  <c r="AI53" i="20"/>
  <c r="AI54" i="20" s="1"/>
  <c r="AJ108" i="20"/>
  <c r="AJ109" i="20" s="1"/>
  <c r="AI110" i="20"/>
  <c r="AI111" i="20" s="1"/>
  <c r="K101" i="20"/>
  <c r="AJ124" i="20"/>
  <c r="K58" i="20"/>
  <c r="S58" i="20"/>
  <c r="AJ36" i="20"/>
  <c r="AI37" i="20"/>
  <c r="AI50" i="20"/>
  <c r="AJ83" i="20"/>
  <c r="AI115" i="20"/>
  <c r="AI116" i="20" s="1"/>
  <c r="AJ31" i="20"/>
  <c r="AJ32" i="20" s="1"/>
  <c r="AB48" i="20"/>
  <c r="AB49" i="20" s="1"/>
  <c r="AJ65" i="20"/>
  <c r="AJ66" i="20" s="1"/>
  <c r="AC67" i="20"/>
  <c r="AC68" i="20" s="1"/>
  <c r="AJ113" i="20"/>
  <c r="AJ114" i="20" s="1"/>
  <c r="AJ117" i="20"/>
  <c r="U58" i="20"/>
  <c r="D68" i="20"/>
  <c r="T68" i="20"/>
  <c r="AB68" i="20"/>
  <c r="G110" i="20"/>
  <c r="G111" i="20" s="1"/>
  <c r="AD8" i="19"/>
  <c r="N27" i="19"/>
  <c r="N28" i="19"/>
  <c r="N59" i="19"/>
  <c r="J59" i="19"/>
  <c r="M59" i="19"/>
  <c r="AI58" i="20" l="1"/>
  <c r="AI120" i="20"/>
  <c r="AJ120" i="20" s="1"/>
  <c r="AI8" i="20"/>
  <c r="D7" i="20"/>
  <c r="AI81" i="20"/>
  <c r="AI39" i="20"/>
  <c r="AJ62" i="20"/>
  <c r="AJ63" i="20" s="1"/>
  <c r="AI96" i="20"/>
  <c r="Q7" i="20"/>
  <c r="Z7" i="20"/>
  <c r="AA7" i="20"/>
  <c r="P7" i="20"/>
  <c r="H7" i="20"/>
  <c r="E7" i="20"/>
  <c r="AF7" i="20"/>
  <c r="O7" i="20"/>
  <c r="I7" i="20"/>
  <c r="W7" i="20"/>
  <c r="AG7" i="20"/>
  <c r="G7" i="20"/>
  <c r="K7" i="20"/>
  <c r="X7" i="20"/>
  <c r="Y7" i="20"/>
  <c r="R7" i="20"/>
  <c r="U7" i="20"/>
  <c r="M7" i="20"/>
  <c r="AB7" i="20"/>
  <c r="T7" i="20"/>
  <c r="S7" i="20"/>
  <c r="AE7" i="20"/>
  <c r="AJ90" i="20"/>
  <c r="AJ91" i="20" s="1"/>
  <c r="AJ72" i="20"/>
  <c r="AJ73" i="20" s="1"/>
  <c r="AJ69" i="20"/>
  <c r="AJ67" i="20" s="1"/>
  <c r="AJ68" i="20" s="1"/>
  <c r="AJ53" i="20"/>
  <c r="AJ54" i="20" s="1"/>
  <c r="AJ28" i="20"/>
  <c r="AJ29" i="20" s="1"/>
  <c r="AJ100" i="20"/>
  <c r="AJ101" i="20" s="1"/>
  <c r="AJ110" i="20"/>
  <c r="AJ111" i="20" s="1"/>
  <c r="V7" i="20"/>
  <c r="AC7" i="20"/>
  <c r="L7" i="20"/>
  <c r="J7" i="20"/>
  <c r="AJ95" i="20"/>
  <c r="AJ96" i="20" s="1"/>
  <c r="AI12" i="20"/>
  <c r="AI13" i="20" s="1"/>
  <c r="AI72" i="20"/>
  <c r="AI73" i="20" s="1"/>
  <c r="N7" i="20"/>
  <c r="AJ20" i="20"/>
  <c r="AJ21" i="20" s="1"/>
  <c r="AJ4" i="20"/>
  <c r="AJ5" i="20" s="1"/>
  <c r="F7" i="20"/>
  <c r="AJ115" i="20"/>
  <c r="AJ116" i="20" s="1"/>
  <c r="AI1" i="20"/>
  <c r="AJ43" i="20"/>
  <c r="AJ44" i="20" s="1"/>
  <c r="AJ58" i="20"/>
  <c r="AI85" i="20"/>
  <c r="AI86" i="20" s="1"/>
  <c r="AI106" i="20"/>
  <c r="AD7" i="20"/>
  <c r="AJ118" i="20"/>
  <c r="AJ105" i="20"/>
  <c r="AJ104" i="20"/>
  <c r="AJ50" i="20"/>
  <c r="AI48" i="20"/>
  <c r="AI49" i="20" s="1"/>
  <c r="AJ12" i="20"/>
  <c r="AJ13" i="20" s="1"/>
  <c r="AJ37" i="20"/>
  <c r="AJ38" i="20"/>
  <c r="AJ84" i="20"/>
  <c r="AJ85" i="20"/>
  <c r="AJ80" i="20"/>
  <c r="AJ81" i="20" s="1"/>
  <c r="AJ33" i="20"/>
  <c r="AJ34" i="20" s="1"/>
  <c r="N29" i="19"/>
  <c r="L69" i="19"/>
  <c r="I69" i="19"/>
  <c r="AJ1" i="20" l="1"/>
  <c r="AJ2" i="20" s="1"/>
  <c r="AJ39" i="20"/>
  <c r="AJ106" i="20"/>
  <c r="AJ48" i="20"/>
  <c r="AJ49" i="20" s="1"/>
  <c r="AJ57" i="20"/>
  <c r="AJ59" i="20" s="1"/>
  <c r="AJ86" i="20"/>
  <c r="AJ8" i="20"/>
  <c r="AJ6" i="20" s="1"/>
  <c r="AJ7" i="20" s="1"/>
  <c r="AI6" i="20"/>
  <c r="AI7" i="20" s="1"/>
  <c r="I59" i="19"/>
  <c r="K85" i="19"/>
  <c r="K84" i="19"/>
  <c r="K86" i="19" s="1"/>
  <c r="L59" i="19"/>
  <c r="K59" i="19"/>
  <c r="H59" i="19"/>
  <c r="D59" i="19"/>
  <c r="I57" i="19"/>
  <c r="L110" i="19"/>
  <c r="L109" i="19"/>
  <c r="J114" i="19"/>
  <c r="G112" i="19"/>
  <c r="F59" i="19"/>
  <c r="G59" i="19"/>
  <c r="E59" i="19"/>
  <c r="AI121" i="19"/>
  <c r="D22" i="19"/>
  <c r="L111" i="19" l="1"/>
  <c r="D14" i="19"/>
  <c r="D74" i="19"/>
  <c r="D87" i="19"/>
  <c r="A93" i="19"/>
  <c r="D94" i="19" s="1"/>
  <c r="AI93" i="19"/>
  <c r="AJ93" i="19" s="1"/>
  <c r="AJ94" i="19" s="1"/>
  <c r="H94" i="19"/>
  <c r="I94" i="19"/>
  <c r="J94" i="19"/>
  <c r="K94" i="19"/>
  <c r="K96" i="19" s="1"/>
  <c r="M94" i="19"/>
  <c r="P94" i="19"/>
  <c r="Q94" i="19"/>
  <c r="R94" i="19"/>
  <c r="S94" i="19"/>
  <c r="U94" i="19"/>
  <c r="U96" i="19" s="1"/>
  <c r="X94" i="19"/>
  <c r="Y94" i="19"/>
  <c r="Z94" i="19"/>
  <c r="AA94" i="19"/>
  <c r="AC94" i="19"/>
  <c r="AF94" i="19"/>
  <c r="AG94" i="19"/>
  <c r="AH94" i="19"/>
  <c r="AI94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S96" i="19" s="1"/>
  <c r="T95" i="19"/>
  <c r="U95" i="19"/>
  <c r="V95" i="19"/>
  <c r="W95" i="19"/>
  <c r="X95" i="19"/>
  <c r="Y95" i="19"/>
  <c r="Z95" i="19"/>
  <c r="Z96" i="19" s="1"/>
  <c r="AA95" i="19"/>
  <c r="AA96" i="19" s="1"/>
  <c r="AB95" i="19"/>
  <c r="AC95" i="19"/>
  <c r="AC96" i="19" s="1"/>
  <c r="AD95" i="19"/>
  <c r="AE95" i="19"/>
  <c r="AF95" i="19"/>
  <c r="AG95" i="19"/>
  <c r="AH95" i="19"/>
  <c r="AH96" i="19" s="1"/>
  <c r="J96" i="19"/>
  <c r="R96" i="19"/>
  <c r="AI97" i="19"/>
  <c r="AI95" i="19" s="1"/>
  <c r="AE94" i="19" l="1"/>
  <c r="W94" i="19"/>
  <c r="O94" i="19"/>
  <c r="G94" i="19"/>
  <c r="AG96" i="19"/>
  <c r="V96" i="19"/>
  <c r="N96" i="19"/>
  <c r="F96" i="19"/>
  <c r="AD94" i="19"/>
  <c r="AD96" i="19" s="1"/>
  <c r="V94" i="19"/>
  <c r="N94" i="19"/>
  <c r="F94" i="19"/>
  <c r="E94" i="19"/>
  <c r="E96" i="19"/>
  <c r="AB96" i="19"/>
  <c r="T96" i="19"/>
  <c r="D96" i="19"/>
  <c r="AB94" i="19"/>
  <c r="T94" i="19"/>
  <c r="L94" i="19"/>
  <c r="L96" i="19" s="1"/>
  <c r="AI96" i="19"/>
  <c r="Q96" i="19"/>
  <c r="M96" i="19"/>
  <c r="Y96" i="19"/>
  <c r="I96" i="19"/>
  <c r="X96" i="19"/>
  <c r="AE96" i="19"/>
  <c r="W96" i="19"/>
  <c r="O96" i="19"/>
  <c r="G96" i="19"/>
  <c r="P96" i="19"/>
  <c r="AJ97" i="19"/>
  <c r="AJ95" i="19" s="1"/>
  <c r="AJ96" i="19" s="1"/>
  <c r="AF96" i="19"/>
  <c r="H96" i="19"/>
  <c r="T4" i="19"/>
  <c r="T8" i="19"/>
  <c r="T6" i="19" l="1"/>
  <c r="O120" i="19" l="1"/>
  <c r="P8" i="19"/>
  <c r="Q120" i="19"/>
  <c r="R114" i="19"/>
  <c r="Q115" i="19"/>
  <c r="R120" i="19"/>
  <c r="S120" i="19"/>
  <c r="P4" i="19"/>
  <c r="Q4" i="19"/>
  <c r="R4" i="19"/>
  <c r="S4" i="19"/>
  <c r="S8" i="19"/>
  <c r="M8" i="19"/>
  <c r="N120" i="19"/>
  <c r="O4" i="19"/>
  <c r="N4" i="19"/>
  <c r="N8" i="19"/>
  <c r="M120" i="19"/>
  <c r="L8" i="19"/>
  <c r="M4" i="19"/>
  <c r="J8" i="19"/>
  <c r="K120" i="19"/>
  <c r="J120" i="19"/>
  <c r="L120" i="19"/>
  <c r="J4" i="19"/>
  <c r="K4" i="19"/>
  <c r="L4" i="19"/>
  <c r="K8" i="19"/>
  <c r="I4" i="19"/>
  <c r="H120" i="19"/>
  <c r="H4" i="19"/>
  <c r="H8" i="19"/>
  <c r="AI122" i="19"/>
  <c r="AJ121" i="19" s="1"/>
  <c r="G120" i="19"/>
  <c r="G4" i="19"/>
  <c r="G8" i="19"/>
  <c r="F120" i="19"/>
  <c r="F8" i="19"/>
  <c r="F4" i="19"/>
  <c r="E120" i="19"/>
  <c r="AI124" i="19"/>
  <c r="AJ124" i="19" s="1"/>
  <c r="AI123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P115" i="19"/>
  <c r="K115" i="19"/>
  <c r="J115" i="19"/>
  <c r="I115" i="19"/>
  <c r="H115" i="19"/>
  <c r="G115" i="19"/>
  <c r="F115" i="19"/>
  <c r="E115" i="19"/>
  <c r="D115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Q114" i="19"/>
  <c r="P114" i="19"/>
  <c r="O114" i="19"/>
  <c r="L114" i="19"/>
  <c r="K114" i="19"/>
  <c r="I114" i="19"/>
  <c r="H114" i="19"/>
  <c r="G114" i="19"/>
  <c r="F114" i="19"/>
  <c r="E114" i="19"/>
  <c r="D114" i="19"/>
  <c r="N114" i="19"/>
  <c r="M114" i="19"/>
  <c r="AI112" i="19"/>
  <c r="AJ112" i="19" s="1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K110" i="19"/>
  <c r="J110" i="19"/>
  <c r="I110" i="19"/>
  <c r="H110" i="19"/>
  <c r="G110" i="19"/>
  <c r="F110" i="19"/>
  <c r="E110" i="19"/>
  <c r="D110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K109" i="19"/>
  <c r="J109" i="19"/>
  <c r="I109" i="19"/>
  <c r="H109" i="19"/>
  <c r="G109" i="19"/>
  <c r="F109" i="19"/>
  <c r="E109" i="19"/>
  <c r="D109" i="19"/>
  <c r="AI108" i="19"/>
  <c r="AI107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K105" i="19"/>
  <c r="K106" i="19" s="1"/>
  <c r="J105" i="19"/>
  <c r="I105" i="19"/>
  <c r="H105" i="19"/>
  <c r="G105" i="19"/>
  <c r="F105" i="19"/>
  <c r="E105" i="19"/>
  <c r="D105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AI103" i="19"/>
  <c r="AI104" i="19" s="1"/>
  <c r="AI102" i="19"/>
  <c r="AJ102" i="19" s="1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L100" i="19"/>
  <c r="K100" i="19"/>
  <c r="J100" i="19"/>
  <c r="I100" i="19"/>
  <c r="H100" i="19"/>
  <c r="G100" i="19"/>
  <c r="F100" i="19"/>
  <c r="E100" i="19"/>
  <c r="D100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AI98" i="19"/>
  <c r="AI92" i="19"/>
  <c r="AJ92" i="19" s="1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AI88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N85" i="19"/>
  <c r="L85" i="19"/>
  <c r="J85" i="19"/>
  <c r="I85" i="19"/>
  <c r="H85" i="19"/>
  <c r="F85" i="19"/>
  <c r="E85" i="19"/>
  <c r="D85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S84" i="19"/>
  <c r="R84" i="19"/>
  <c r="Q84" i="19"/>
  <c r="P84" i="19"/>
  <c r="O84" i="19"/>
  <c r="N84" i="19"/>
  <c r="M84" i="19"/>
  <c r="L84" i="19"/>
  <c r="J84" i="19"/>
  <c r="I84" i="19"/>
  <c r="H84" i="19"/>
  <c r="G84" i="19"/>
  <c r="E84" i="19"/>
  <c r="D84" i="19"/>
  <c r="F84" i="19"/>
  <c r="AI82" i="19"/>
  <c r="AJ82" i="19" s="1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AI78" i="19"/>
  <c r="AI74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AI70" i="19"/>
  <c r="AI71" i="19" s="1"/>
  <c r="AI69" i="19"/>
  <c r="AJ69" i="19" s="1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AI65" i="19"/>
  <c r="AI64" i="19"/>
  <c r="AI60" i="19"/>
  <c r="AI61" i="19" s="1"/>
  <c r="AH57" i="19"/>
  <c r="AH58" i="19" s="1"/>
  <c r="AG57" i="19"/>
  <c r="AG58" i="19" s="1"/>
  <c r="AF57" i="19"/>
  <c r="AF58" i="19" s="1"/>
  <c r="AE57" i="19"/>
  <c r="AE58" i="19" s="1"/>
  <c r="AD57" i="19"/>
  <c r="AC57" i="19"/>
  <c r="AB57" i="19"/>
  <c r="AB58" i="19" s="1"/>
  <c r="AA57" i="19"/>
  <c r="AA58" i="19" s="1"/>
  <c r="Z57" i="19"/>
  <c r="Y57" i="19"/>
  <c r="Y58" i="19" s="1"/>
  <c r="X57" i="19"/>
  <c r="W57" i="19"/>
  <c r="W58" i="19" s="1"/>
  <c r="V57" i="19"/>
  <c r="V58" i="19" s="1"/>
  <c r="U57" i="19"/>
  <c r="S57" i="19"/>
  <c r="S58" i="19" s="1"/>
  <c r="R57" i="19"/>
  <c r="Q57" i="19"/>
  <c r="Q58" i="19" s="1"/>
  <c r="P57" i="19"/>
  <c r="O57" i="19"/>
  <c r="N57" i="19"/>
  <c r="N58" i="19" s="1"/>
  <c r="M57" i="19"/>
  <c r="L57" i="19"/>
  <c r="L58" i="19" s="1"/>
  <c r="K57" i="19"/>
  <c r="K58" i="19" s="1"/>
  <c r="J57" i="19"/>
  <c r="J58" i="19" s="1"/>
  <c r="H57" i="19"/>
  <c r="H58" i="19" s="1"/>
  <c r="G57" i="19"/>
  <c r="G58" i="19" s="1"/>
  <c r="F57" i="19"/>
  <c r="E57" i="19"/>
  <c r="E58" i="19" s="1"/>
  <c r="D57" i="19"/>
  <c r="AI55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AI51" i="19"/>
  <c r="AI52" i="19" s="1"/>
  <c r="AI50" i="19"/>
  <c r="AJ50" i="19" s="1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AI46" i="19"/>
  <c r="AI47" i="19" s="1"/>
  <c r="AI45" i="19"/>
  <c r="AJ45" i="19" s="1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AI41" i="19"/>
  <c r="AI42" i="19" s="1"/>
  <c r="AI40" i="19"/>
  <c r="AJ40" i="19" s="1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AI36" i="19"/>
  <c r="AI35" i="19"/>
  <c r="AJ35" i="19" s="1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AI31" i="19"/>
  <c r="AI32" i="19" s="1"/>
  <c r="AI30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M28" i="19"/>
  <c r="L28" i="19"/>
  <c r="K28" i="19"/>
  <c r="J28" i="19"/>
  <c r="I28" i="19"/>
  <c r="H28" i="19"/>
  <c r="G28" i="19"/>
  <c r="F28" i="19"/>
  <c r="E28" i="19"/>
  <c r="D28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M27" i="19"/>
  <c r="L27" i="19"/>
  <c r="K27" i="19"/>
  <c r="J27" i="19"/>
  <c r="I27" i="19"/>
  <c r="H27" i="19"/>
  <c r="G27" i="19"/>
  <c r="F27" i="19"/>
  <c r="E27" i="19"/>
  <c r="D27" i="19"/>
  <c r="AI26" i="19"/>
  <c r="AI27" i="19" s="1"/>
  <c r="AI22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AI18" i="19"/>
  <c r="AI19" i="19" s="1"/>
  <c r="AI14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AI10" i="19"/>
  <c r="AI11" i="19" s="1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E8" i="19"/>
  <c r="AH4" i="19"/>
  <c r="AH6" i="19" s="1"/>
  <c r="AG4" i="19"/>
  <c r="AG6" i="19" s="1"/>
  <c r="AF4" i="19"/>
  <c r="AE4" i="19"/>
  <c r="AD4" i="19"/>
  <c r="AC4" i="19"/>
  <c r="AB4" i="19"/>
  <c r="AA4" i="19"/>
  <c r="Z4" i="19"/>
  <c r="Y4" i="19"/>
  <c r="X4" i="19"/>
  <c r="W4" i="19"/>
  <c r="W6" i="19" s="1"/>
  <c r="V4" i="19"/>
  <c r="V6" i="19" s="1"/>
  <c r="U4" i="19"/>
  <c r="U6" i="19" s="1"/>
  <c r="E4" i="19"/>
  <c r="D4" i="19"/>
  <c r="A4" i="19"/>
  <c r="T5" i="19" s="1"/>
  <c r="T7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AF91" i="19" l="1"/>
  <c r="I68" i="19"/>
  <c r="AB54" i="19"/>
  <c r="X91" i="19"/>
  <c r="J116" i="19"/>
  <c r="Y13" i="19"/>
  <c r="AG13" i="19"/>
  <c r="AJ123" i="19"/>
  <c r="N44" i="19"/>
  <c r="V44" i="19"/>
  <c r="AD44" i="19"/>
  <c r="N54" i="19"/>
  <c r="V54" i="19"/>
  <c r="AD54" i="19"/>
  <c r="H5" i="19"/>
  <c r="N5" i="19"/>
  <c r="X29" i="19"/>
  <c r="AF29" i="19"/>
  <c r="W73" i="19"/>
  <c r="Z101" i="19"/>
  <c r="AH101" i="19"/>
  <c r="AH106" i="19"/>
  <c r="AH111" i="19"/>
  <c r="AB116" i="19"/>
  <c r="R49" i="19"/>
  <c r="S29" i="19"/>
  <c r="Z21" i="19"/>
  <c r="W5" i="19"/>
  <c r="AE5" i="19"/>
  <c r="AA73" i="19"/>
  <c r="AA81" i="19"/>
  <c r="AJ122" i="19"/>
  <c r="Y39" i="19"/>
  <c r="AG34" i="19"/>
  <c r="T21" i="19"/>
  <c r="Z29" i="19"/>
  <c r="AH29" i="19"/>
  <c r="AH34" i="19"/>
  <c r="Z39" i="19"/>
  <c r="AH39" i="19"/>
  <c r="AH49" i="19"/>
  <c r="F111" i="19"/>
  <c r="N111" i="19"/>
  <c r="AD111" i="19"/>
  <c r="V13" i="19"/>
  <c r="AD13" i="19"/>
  <c r="F29" i="19"/>
  <c r="V29" i="19"/>
  <c r="AD29" i="19"/>
  <c r="Y44" i="19"/>
  <c r="T49" i="19"/>
  <c r="AH116" i="19"/>
  <c r="AH21" i="19"/>
  <c r="AG39" i="19"/>
  <c r="AG44" i="19"/>
  <c r="AB49" i="19"/>
  <c r="X39" i="19"/>
  <c r="AF39" i="19"/>
  <c r="G49" i="19"/>
  <c r="W49" i="19"/>
  <c r="AE49" i="19"/>
  <c r="W54" i="19"/>
  <c r="AE54" i="19"/>
  <c r="AG101" i="19"/>
  <c r="Q106" i="19"/>
  <c r="Y106" i="19"/>
  <c r="AG106" i="19"/>
  <c r="AG111" i="19"/>
  <c r="V5" i="19"/>
  <c r="K5" i="19"/>
  <c r="S5" i="19"/>
  <c r="J5" i="19"/>
  <c r="R5" i="19"/>
  <c r="F5" i="19"/>
  <c r="D91" i="19"/>
  <c r="K81" i="19"/>
  <c r="G73" i="19"/>
  <c r="I44" i="19"/>
  <c r="I39" i="19"/>
  <c r="J21" i="19"/>
  <c r="N6" i="19"/>
  <c r="AA13" i="19"/>
  <c r="Q5" i="19"/>
  <c r="I5" i="19"/>
  <c r="O5" i="19"/>
  <c r="P5" i="19"/>
  <c r="L5" i="19"/>
  <c r="M5" i="19"/>
  <c r="T91" i="19"/>
  <c r="T116" i="19"/>
  <c r="P39" i="19"/>
  <c r="O58" i="19"/>
  <c r="O8" i="19"/>
  <c r="O6" i="19" s="1"/>
  <c r="O49" i="19"/>
  <c r="O54" i="19"/>
  <c r="P120" i="19"/>
  <c r="Q8" i="19"/>
  <c r="Q6" i="19" s="1"/>
  <c r="P29" i="19"/>
  <c r="P6" i="19"/>
  <c r="Q44" i="19"/>
  <c r="Q39" i="19"/>
  <c r="R39" i="19"/>
  <c r="R101" i="19"/>
  <c r="R115" i="19"/>
  <c r="R116" i="19" s="1"/>
  <c r="R8" i="19"/>
  <c r="R6" i="19" s="1"/>
  <c r="R21" i="19"/>
  <c r="R29" i="19"/>
  <c r="S81" i="19"/>
  <c r="S73" i="19"/>
  <c r="S116" i="19"/>
  <c r="S6" i="19"/>
  <c r="S7" i="19" s="1"/>
  <c r="S54" i="19"/>
  <c r="O73" i="19"/>
  <c r="N13" i="19"/>
  <c r="L49" i="19"/>
  <c r="M6" i="19"/>
  <c r="J101" i="19"/>
  <c r="J39" i="19"/>
  <c r="J6" i="19"/>
  <c r="J29" i="19"/>
  <c r="K73" i="19"/>
  <c r="L6" i="19"/>
  <c r="K54" i="19"/>
  <c r="K6" i="19"/>
  <c r="I106" i="19"/>
  <c r="I116" i="19"/>
  <c r="H6" i="19"/>
  <c r="H29" i="19"/>
  <c r="G54" i="19"/>
  <c r="G6" i="19"/>
  <c r="G5" i="19"/>
  <c r="F13" i="19"/>
  <c r="F44" i="19"/>
  <c r="F6" i="19"/>
  <c r="F54" i="19"/>
  <c r="AI38" i="19"/>
  <c r="E86" i="19"/>
  <c r="AI80" i="19"/>
  <c r="D49" i="19"/>
  <c r="Z13" i="19"/>
  <c r="AE21" i="19"/>
  <c r="I49" i="19"/>
  <c r="X73" i="19"/>
  <c r="X81" i="19"/>
  <c r="AC106" i="19"/>
  <c r="S13" i="19"/>
  <c r="T34" i="19"/>
  <c r="G13" i="19"/>
  <c r="O13" i="19"/>
  <c r="W13" i="19"/>
  <c r="AE13" i="19"/>
  <c r="E21" i="19"/>
  <c r="M21" i="19"/>
  <c r="U21" i="19"/>
  <c r="AC21" i="19"/>
  <c r="AG29" i="19"/>
  <c r="E68" i="19"/>
  <c r="M68" i="19"/>
  <c r="U68" i="19"/>
  <c r="AC68" i="19"/>
  <c r="E73" i="19"/>
  <c r="M73" i="19"/>
  <c r="U73" i="19"/>
  <c r="AC73" i="19"/>
  <c r="E81" i="19"/>
  <c r="M81" i="19"/>
  <c r="U81" i="19"/>
  <c r="AC81" i="19"/>
  <c r="U116" i="19"/>
  <c r="AC116" i="19"/>
  <c r="J13" i="19"/>
  <c r="O21" i="19"/>
  <c r="T29" i="19"/>
  <c r="S34" i="19"/>
  <c r="Y49" i="19"/>
  <c r="H81" i="19"/>
  <c r="E106" i="19"/>
  <c r="Z49" i="19"/>
  <c r="U5" i="19"/>
  <c r="AC5" i="19"/>
  <c r="Q13" i="19"/>
  <c r="AA29" i="19"/>
  <c r="AJ103" i="19"/>
  <c r="AJ104" i="19" s="1"/>
  <c r="S106" i="19"/>
  <c r="AA106" i="19"/>
  <c r="AI110" i="19"/>
  <c r="AA116" i="19"/>
  <c r="D29" i="19"/>
  <c r="S44" i="19"/>
  <c r="J49" i="19"/>
  <c r="I54" i="19"/>
  <c r="Q54" i="19"/>
  <c r="AG54" i="19"/>
  <c r="AG68" i="19"/>
  <c r="AG73" i="19"/>
  <c r="AG81" i="19"/>
  <c r="Y86" i="19"/>
  <c r="AG86" i="19"/>
  <c r="J91" i="19"/>
  <c r="R91" i="19"/>
  <c r="AH91" i="19"/>
  <c r="AH13" i="19"/>
  <c r="G21" i="19"/>
  <c r="L29" i="19"/>
  <c r="K34" i="19"/>
  <c r="Q49" i="19"/>
  <c r="H73" i="19"/>
  <c r="U106" i="19"/>
  <c r="AC29" i="19"/>
  <c r="L34" i="19"/>
  <c r="K44" i="19"/>
  <c r="Y5" i="19"/>
  <c r="AG5" i="19"/>
  <c r="AG7" i="19" s="1"/>
  <c r="AG21" i="19"/>
  <c r="V34" i="19"/>
  <c r="AD34" i="19"/>
  <c r="D44" i="19"/>
  <c r="L44" i="19"/>
  <c r="T44" i="19"/>
  <c r="AB44" i="19"/>
  <c r="AH54" i="19"/>
  <c r="AA54" i="19"/>
  <c r="AI62" i="19"/>
  <c r="AI63" i="19" s="1"/>
  <c r="AH68" i="19"/>
  <c r="AH73" i="19"/>
  <c r="AH81" i="19"/>
  <c r="J86" i="19"/>
  <c r="R86" i="19"/>
  <c r="AH86" i="19"/>
  <c r="L91" i="19"/>
  <c r="G106" i="19"/>
  <c r="O106" i="19"/>
  <c r="W106" i="19"/>
  <c r="AE106" i="19"/>
  <c r="G111" i="19"/>
  <c r="O111" i="19"/>
  <c r="W111" i="19"/>
  <c r="AE111" i="19"/>
  <c r="E116" i="19"/>
  <c r="AI9" i="19"/>
  <c r="R13" i="19"/>
  <c r="W21" i="19"/>
  <c r="AB29" i="19"/>
  <c r="AA34" i="19"/>
  <c r="AH44" i="19"/>
  <c r="AG49" i="19"/>
  <c r="AF73" i="19"/>
  <c r="P81" i="19"/>
  <c r="AG91" i="19"/>
  <c r="K13" i="19"/>
  <c r="AB34" i="19"/>
  <c r="AA44" i="19"/>
  <c r="Y54" i="19"/>
  <c r="D68" i="19"/>
  <c r="AB68" i="19"/>
  <c r="S86" i="19"/>
  <c r="P73" i="19"/>
  <c r="AF81" i="19"/>
  <c r="M106" i="19"/>
  <c r="D34" i="19"/>
  <c r="AA5" i="19"/>
  <c r="G116" i="19"/>
  <c r="Q116" i="19"/>
  <c r="Y116" i="19"/>
  <c r="AG116" i="19"/>
  <c r="F116" i="19"/>
  <c r="P116" i="19"/>
  <c r="X116" i="19"/>
  <c r="AF116" i="19"/>
  <c r="D116" i="19"/>
  <c r="AD116" i="19"/>
  <c r="O116" i="19"/>
  <c r="W116" i="19"/>
  <c r="AE116" i="19"/>
  <c r="L116" i="19"/>
  <c r="V116" i="19"/>
  <c r="I111" i="19"/>
  <c r="Q111" i="19"/>
  <c r="Y111" i="19"/>
  <c r="K111" i="19"/>
  <c r="S111" i="19"/>
  <c r="AA111" i="19"/>
  <c r="H116" i="19"/>
  <c r="Z116" i="19"/>
  <c r="E111" i="19"/>
  <c r="M111" i="19"/>
  <c r="U111" i="19"/>
  <c r="AC111" i="19"/>
  <c r="V111" i="19"/>
  <c r="K116" i="19"/>
  <c r="D106" i="19"/>
  <c r="L106" i="19"/>
  <c r="T106" i="19"/>
  <c r="AB106" i="19"/>
  <c r="D111" i="19"/>
  <c r="T111" i="19"/>
  <c r="AB111" i="19"/>
  <c r="F106" i="19"/>
  <c r="N106" i="19"/>
  <c r="V106" i="19"/>
  <c r="AD106" i="19"/>
  <c r="H106" i="19"/>
  <c r="P106" i="19"/>
  <c r="X106" i="19"/>
  <c r="AF106" i="19"/>
  <c r="H111" i="19"/>
  <c r="P111" i="19"/>
  <c r="X111" i="19"/>
  <c r="AF111" i="19"/>
  <c r="J106" i="19"/>
  <c r="R106" i="19"/>
  <c r="Z106" i="19"/>
  <c r="J111" i="19"/>
  <c r="R111" i="19"/>
  <c r="Z111" i="19"/>
  <c r="AI100" i="19"/>
  <c r="K101" i="19"/>
  <c r="S101" i="19"/>
  <c r="AA101" i="19"/>
  <c r="D101" i="19"/>
  <c r="L101" i="19"/>
  <c r="T101" i="19"/>
  <c r="AB101" i="19"/>
  <c r="F101" i="19"/>
  <c r="N101" i="19"/>
  <c r="V101" i="19"/>
  <c r="AD101" i="19"/>
  <c r="H101" i="19"/>
  <c r="P101" i="19"/>
  <c r="X101" i="19"/>
  <c r="AF101" i="19"/>
  <c r="G101" i="19"/>
  <c r="O101" i="19"/>
  <c r="W101" i="19"/>
  <c r="AE101" i="19"/>
  <c r="I101" i="19"/>
  <c r="Q101" i="19"/>
  <c r="Y101" i="19"/>
  <c r="Z91" i="19"/>
  <c r="Z86" i="19"/>
  <c r="AB91" i="19"/>
  <c r="AA86" i="19"/>
  <c r="AC86" i="19"/>
  <c r="F91" i="19"/>
  <c r="N91" i="19"/>
  <c r="V91" i="19"/>
  <c r="AD91" i="19"/>
  <c r="G91" i="19"/>
  <c r="O91" i="19"/>
  <c r="W91" i="19"/>
  <c r="AE91" i="19"/>
  <c r="Y91" i="19"/>
  <c r="AI90" i="19"/>
  <c r="AA91" i="19"/>
  <c r="H91" i="19"/>
  <c r="P91" i="19"/>
  <c r="I86" i="19"/>
  <c r="Q86" i="19"/>
  <c r="I91" i="19"/>
  <c r="Q91" i="19"/>
  <c r="K91" i="19"/>
  <c r="D86" i="19"/>
  <c r="M86" i="19"/>
  <c r="U86" i="19"/>
  <c r="S91" i="19"/>
  <c r="D81" i="19"/>
  <c r="L81" i="19"/>
  <c r="T81" i="19"/>
  <c r="AB81" i="19"/>
  <c r="L86" i="19"/>
  <c r="T86" i="19"/>
  <c r="AB86" i="19"/>
  <c r="F81" i="19"/>
  <c r="N81" i="19"/>
  <c r="V81" i="19"/>
  <c r="AD81" i="19"/>
  <c r="O86" i="19"/>
  <c r="W86" i="19"/>
  <c r="AE86" i="19"/>
  <c r="H86" i="19"/>
  <c r="P86" i="19"/>
  <c r="X86" i="19"/>
  <c r="AF86" i="19"/>
  <c r="AE73" i="19"/>
  <c r="AI67" i="19"/>
  <c r="AJ70" i="19"/>
  <c r="AJ71" i="19" s="1"/>
  <c r="I73" i="19"/>
  <c r="Q73" i="19"/>
  <c r="I81" i="19"/>
  <c r="Q81" i="19"/>
  <c r="Y81" i="19"/>
  <c r="Y73" i="19"/>
  <c r="J73" i="19"/>
  <c r="R73" i="19"/>
  <c r="Z73" i="19"/>
  <c r="J81" i="19"/>
  <c r="R81" i="19"/>
  <c r="Z81" i="19"/>
  <c r="D73" i="19"/>
  <c r="L73" i="19"/>
  <c r="T73" i="19"/>
  <c r="AB73" i="19"/>
  <c r="F73" i="19"/>
  <c r="N73" i="19"/>
  <c r="V73" i="19"/>
  <c r="AD73" i="19"/>
  <c r="J68" i="19"/>
  <c r="R68" i="19"/>
  <c r="Z68" i="19"/>
  <c r="L68" i="19"/>
  <c r="T68" i="19"/>
  <c r="K68" i="19"/>
  <c r="S68" i="19"/>
  <c r="AA68" i="19"/>
  <c r="G68" i="19"/>
  <c r="O68" i="19"/>
  <c r="W68" i="19"/>
  <c r="AE68" i="19"/>
  <c r="F68" i="19"/>
  <c r="V68" i="19"/>
  <c r="H68" i="19"/>
  <c r="P68" i="19"/>
  <c r="X68" i="19"/>
  <c r="AF68" i="19"/>
  <c r="N68" i="19"/>
  <c r="AD68" i="19"/>
  <c r="Q68" i="19"/>
  <c r="Y68" i="19"/>
  <c r="J54" i="19"/>
  <c r="R54" i="19"/>
  <c r="Z54" i="19"/>
  <c r="H54" i="19"/>
  <c r="P54" i="19"/>
  <c r="X54" i="19"/>
  <c r="AF54" i="19"/>
  <c r="E54" i="19"/>
  <c r="M54" i="19"/>
  <c r="U54" i="19"/>
  <c r="AC54" i="19"/>
  <c r="AI53" i="19"/>
  <c r="AI54" i="19" s="1"/>
  <c r="AC58" i="19"/>
  <c r="M58" i="19"/>
  <c r="U58" i="19"/>
  <c r="AD58" i="19"/>
  <c r="F58" i="19"/>
  <c r="AI48" i="19"/>
  <c r="AI49" i="19" s="1"/>
  <c r="E44" i="19"/>
  <c r="M44" i="19"/>
  <c r="U44" i="19"/>
  <c r="AC44" i="19"/>
  <c r="AJ46" i="19"/>
  <c r="AJ47" i="19" s="1"/>
  <c r="K49" i="19"/>
  <c r="S49" i="19"/>
  <c r="AA49" i="19"/>
  <c r="G44" i="19"/>
  <c r="AE44" i="19"/>
  <c r="E49" i="19"/>
  <c r="M49" i="19"/>
  <c r="AC49" i="19"/>
  <c r="O44" i="19"/>
  <c r="W44" i="19"/>
  <c r="U49" i="19"/>
  <c r="H44" i="19"/>
  <c r="P44" i="19"/>
  <c r="X44" i="19"/>
  <c r="AF44" i="19"/>
  <c r="F49" i="19"/>
  <c r="N49" i="19"/>
  <c r="V49" i="19"/>
  <c r="AD49" i="19"/>
  <c r="J44" i="19"/>
  <c r="R44" i="19"/>
  <c r="Z44" i="19"/>
  <c r="H49" i="19"/>
  <c r="P49" i="19"/>
  <c r="X49" i="19"/>
  <c r="AF49" i="19"/>
  <c r="T39" i="19"/>
  <c r="F39" i="19"/>
  <c r="N39" i="19"/>
  <c r="V39" i="19"/>
  <c r="AD39" i="19"/>
  <c r="AJ41" i="19"/>
  <c r="AJ42" i="19" s="1"/>
  <c r="AB6" i="19"/>
  <c r="I34" i="19"/>
  <c r="Y34" i="19"/>
  <c r="O39" i="19"/>
  <c r="AE39" i="19"/>
  <c r="H39" i="19"/>
  <c r="Q34" i="19"/>
  <c r="G39" i="19"/>
  <c r="W39" i="19"/>
  <c r="E34" i="19"/>
  <c r="M34" i="19"/>
  <c r="U34" i="19"/>
  <c r="AC34" i="19"/>
  <c r="K39" i="19"/>
  <c r="S39" i="19"/>
  <c r="AA39" i="19"/>
  <c r="F34" i="19"/>
  <c r="N34" i="19"/>
  <c r="D39" i="19"/>
  <c r="L39" i="19"/>
  <c r="AB39" i="19"/>
  <c r="E39" i="19"/>
  <c r="M39" i="19"/>
  <c r="U39" i="19"/>
  <c r="AC39" i="19"/>
  <c r="H34" i="19"/>
  <c r="P34" i="19"/>
  <c r="X34" i="19"/>
  <c r="AF34" i="19"/>
  <c r="K29" i="19"/>
  <c r="J34" i="19"/>
  <c r="R34" i="19"/>
  <c r="Z34" i="19"/>
  <c r="X6" i="19"/>
  <c r="AF6" i="19"/>
  <c r="E29" i="19"/>
  <c r="M29" i="19"/>
  <c r="U29" i="19"/>
  <c r="AB5" i="19"/>
  <c r="G34" i="19"/>
  <c r="O34" i="19"/>
  <c r="W34" i="19"/>
  <c r="AE34" i="19"/>
  <c r="D21" i="19"/>
  <c r="L21" i="19"/>
  <c r="AB21" i="19"/>
  <c r="G29" i="19"/>
  <c r="O29" i="19"/>
  <c r="W29" i="19"/>
  <c r="AE29" i="19"/>
  <c r="S21" i="19"/>
  <c r="AD6" i="19"/>
  <c r="F21" i="19"/>
  <c r="N21" i="19"/>
  <c r="V21" i="19"/>
  <c r="AD21" i="19"/>
  <c r="I29" i="19"/>
  <c r="Q29" i="19"/>
  <c r="Y29" i="19"/>
  <c r="AI28" i="19"/>
  <c r="AI29" i="19" s="1"/>
  <c r="AJ26" i="19"/>
  <c r="AJ27" i="19" s="1"/>
  <c r="K21" i="19"/>
  <c r="AA21" i="19"/>
  <c r="H21" i="19"/>
  <c r="AF21" i="19"/>
  <c r="E13" i="19"/>
  <c r="M13" i="19"/>
  <c r="U13" i="19"/>
  <c r="AC13" i="19"/>
  <c r="I21" i="19"/>
  <c r="Q21" i="19"/>
  <c r="Y21" i="19"/>
  <c r="X21" i="19"/>
  <c r="AI20" i="19"/>
  <c r="AI21" i="19" s="1"/>
  <c r="P21" i="19"/>
  <c r="I13" i="19"/>
  <c r="H13" i="19"/>
  <c r="X13" i="19"/>
  <c r="Z6" i="19"/>
  <c r="D5" i="19"/>
  <c r="AI12" i="19"/>
  <c r="AI13" i="19" s="1"/>
  <c r="AA6" i="19"/>
  <c r="AJ10" i="19"/>
  <c r="AJ11" i="19" s="1"/>
  <c r="Y6" i="19"/>
  <c r="P13" i="19"/>
  <c r="AF13" i="19"/>
  <c r="AI4" i="19"/>
  <c r="AJ4" i="19" s="1"/>
  <c r="AJ5" i="19" s="1"/>
  <c r="D13" i="19"/>
  <c r="L13" i="19"/>
  <c r="T13" i="19"/>
  <c r="AB13" i="19"/>
  <c r="AE6" i="19"/>
  <c r="U91" i="19"/>
  <c r="AD5" i="19"/>
  <c r="E6" i="19"/>
  <c r="AC6" i="19"/>
  <c r="AJ22" i="19"/>
  <c r="E91" i="19"/>
  <c r="AJ14" i="19"/>
  <c r="AJ31" i="19"/>
  <c r="AJ32" i="19" s="1"/>
  <c r="G81" i="19"/>
  <c r="O81" i="19"/>
  <c r="W81" i="19"/>
  <c r="AE81" i="19"/>
  <c r="AC91" i="19"/>
  <c r="X5" i="19"/>
  <c r="AF5" i="19"/>
  <c r="AI33" i="19"/>
  <c r="AI34" i="19" s="1"/>
  <c r="F86" i="19"/>
  <c r="AI37" i="19"/>
  <c r="AJ36" i="19"/>
  <c r="AJ37" i="19" s="1"/>
  <c r="E5" i="19"/>
  <c r="AJ30" i="19"/>
  <c r="M91" i="19"/>
  <c r="AJ18" i="19"/>
  <c r="AJ19" i="19" s="1"/>
  <c r="E101" i="19"/>
  <c r="M101" i="19"/>
  <c r="U101" i="19"/>
  <c r="AC101" i="19"/>
  <c r="M116" i="19"/>
  <c r="Z5" i="19"/>
  <c r="AH5" i="19"/>
  <c r="AH7" i="19" s="1"/>
  <c r="AI72" i="19"/>
  <c r="AI73" i="19" s="1"/>
  <c r="AJ74" i="19"/>
  <c r="AI105" i="19"/>
  <c r="AI106" i="19" s="1"/>
  <c r="AJ107" i="19"/>
  <c r="D54" i="19"/>
  <c r="L54" i="19"/>
  <c r="T54" i="19"/>
  <c r="P58" i="19"/>
  <c r="X58" i="19"/>
  <c r="N86" i="19"/>
  <c r="V86" i="19"/>
  <c r="AD86" i="19"/>
  <c r="AI43" i="19"/>
  <c r="AI44" i="19" s="1"/>
  <c r="AJ55" i="19"/>
  <c r="AI57" i="19"/>
  <c r="R58" i="19"/>
  <c r="Z58" i="19"/>
  <c r="AJ60" i="19"/>
  <c r="AJ61" i="19" s="1"/>
  <c r="AJ64" i="19"/>
  <c r="AJ78" i="19"/>
  <c r="AJ79" i="19" s="1"/>
  <c r="AI79" i="19"/>
  <c r="AI83" i="19"/>
  <c r="AJ108" i="19"/>
  <c r="AJ109" i="19" s="1"/>
  <c r="AI109" i="19"/>
  <c r="AI113" i="19"/>
  <c r="AJ65" i="19"/>
  <c r="AJ66" i="19" s="1"/>
  <c r="AI66" i="19"/>
  <c r="AJ88" i="19"/>
  <c r="AJ89" i="19" s="1"/>
  <c r="AI89" i="19"/>
  <c r="AJ98" i="19"/>
  <c r="AJ99" i="19" s="1"/>
  <c r="AI99" i="19"/>
  <c r="AJ51" i="19"/>
  <c r="AJ52" i="19" s="1"/>
  <c r="K7" i="19" l="1"/>
  <c r="W7" i="19"/>
  <c r="AE7" i="19"/>
  <c r="H7" i="19"/>
  <c r="F7" i="19"/>
  <c r="N7" i="19"/>
  <c r="U7" i="19"/>
  <c r="AA7" i="19"/>
  <c r="J7" i="19"/>
  <c r="R7" i="19"/>
  <c r="V7" i="19"/>
  <c r="Q7" i="19"/>
  <c r="G7" i="19"/>
  <c r="O7" i="19"/>
  <c r="P7" i="19"/>
  <c r="L7" i="19"/>
  <c r="M7" i="19"/>
  <c r="AJ48" i="19"/>
  <c r="AJ49" i="19" s="1"/>
  <c r="AI81" i="19"/>
  <c r="AJ105" i="19"/>
  <c r="AJ106" i="19" s="1"/>
  <c r="AI39" i="19"/>
  <c r="AI111" i="19"/>
  <c r="AJ12" i="19"/>
  <c r="AJ13" i="19" s="1"/>
  <c r="AI91" i="19"/>
  <c r="AJ28" i="19"/>
  <c r="AJ29" i="19" s="1"/>
  <c r="AJ43" i="19"/>
  <c r="AJ44" i="19" s="1"/>
  <c r="Y7" i="19"/>
  <c r="AC7" i="19"/>
  <c r="AI101" i="19"/>
  <c r="AI68" i="19"/>
  <c r="AJ72" i="19"/>
  <c r="AJ73" i="19" s="1"/>
  <c r="AB7" i="19"/>
  <c r="AI5" i="19"/>
  <c r="AF7" i="19"/>
  <c r="X7" i="19"/>
  <c r="AD7" i="19"/>
  <c r="Z7" i="19"/>
  <c r="E7" i="19"/>
  <c r="AJ110" i="19"/>
  <c r="AJ111" i="19" s="1"/>
  <c r="AJ38" i="19"/>
  <c r="AJ39" i="19" s="1"/>
  <c r="AJ20" i="19"/>
  <c r="AJ21" i="19" s="1"/>
  <c r="AJ90" i="19"/>
  <c r="AJ91" i="19" s="1"/>
  <c r="G85" i="19"/>
  <c r="G86" i="19" s="1"/>
  <c r="N116" i="19"/>
  <c r="AJ33" i="19"/>
  <c r="AJ34" i="19" s="1"/>
  <c r="AJ62" i="19"/>
  <c r="AJ63" i="19" s="1"/>
  <c r="AJ100" i="19"/>
  <c r="AJ101" i="19" s="1"/>
  <c r="AI117" i="19"/>
  <c r="AJ80" i="19"/>
  <c r="AJ81" i="19" s="1"/>
  <c r="AI84" i="19"/>
  <c r="AJ83" i="19"/>
  <c r="AJ84" i="19" s="1"/>
  <c r="AI114" i="19"/>
  <c r="AJ113" i="19"/>
  <c r="AJ114" i="19" s="1"/>
  <c r="AI87" i="19"/>
  <c r="AJ57" i="19"/>
  <c r="AJ53" i="19"/>
  <c r="AJ54" i="19" s="1"/>
  <c r="AJ67" i="19"/>
  <c r="AJ68" i="19" s="1"/>
  <c r="AJ118" i="19" l="1"/>
  <c r="AJ117" i="19"/>
  <c r="AJ115" i="19" s="1"/>
  <c r="AJ116" i="19" s="1"/>
  <c r="AI115" i="19"/>
  <c r="AI116" i="19" s="1"/>
  <c r="AI85" i="19"/>
  <c r="AI86" i="19" s="1"/>
  <c r="AJ87" i="19"/>
  <c r="AJ85" i="19" s="1"/>
  <c r="AJ86" i="19" s="1"/>
  <c r="AI1" i="19"/>
  <c r="AJ1" i="19" s="1"/>
  <c r="AJ2" i="19" s="1"/>
  <c r="AK2" i="19" s="1"/>
  <c r="K6" i="16" l="1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G5" i="16" l="1"/>
  <c r="I21" i="16"/>
  <c r="E21" i="16"/>
  <c r="C5" i="16"/>
  <c r="K5" i="16" s="1"/>
  <c r="K22" i="16" s="1"/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E20" i="16"/>
  <c r="H22" i="16"/>
  <c r="G22" i="16"/>
  <c r="D22" i="16"/>
  <c r="C22" i="16"/>
  <c r="I22" i="16" l="1"/>
  <c r="E22" i="16"/>
  <c r="AH111" i="8" l="1"/>
  <c r="AH123" i="8"/>
  <c r="AG111" i="8"/>
  <c r="AG123" i="8"/>
  <c r="AF111" i="8"/>
  <c r="AF123" i="8"/>
  <c r="AF129" i="8"/>
  <c r="AG129" i="8"/>
  <c r="AH129" i="8"/>
  <c r="AH117" i="8"/>
  <c r="AG117" i="8"/>
  <c r="AF117" i="8"/>
  <c r="AF135" i="8"/>
  <c r="AG135" i="8"/>
  <c r="AH135" i="8"/>
  <c r="AH99" i="8"/>
  <c r="AG99" i="8"/>
  <c r="AF99" i="8"/>
  <c r="AF78" i="8"/>
  <c r="AG78" i="8"/>
  <c r="AH78" i="8"/>
  <c r="AH105" i="8"/>
  <c r="AG105" i="8"/>
  <c r="AF105" i="8"/>
  <c r="AH93" i="8"/>
  <c r="AG93" i="8"/>
  <c r="AF93" i="8"/>
  <c r="AH84" i="8"/>
  <c r="AG84" i="8"/>
  <c r="AF84" i="8"/>
  <c r="AE84" i="8"/>
  <c r="AE111" i="8"/>
  <c r="AE123" i="8"/>
  <c r="AE129" i="8"/>
  <c r="AE117" i="8"/>
  <c r="AE135" i="8"/>
  <c r="AE99" i="8"/>
  <c r="AE78" i="8"/>
  <c r="AE105" i="8"/>
  <c r="AE93" i="8"/>
  <c r="AD84" i="8"/>
  <c r="AD111" i="8"/>
  <c r="AD123" i="8"/>
  <c r="AD129" i="8"/>
  <c r="AD117" i="8"/>
  <c r="AD135" i="8"/>
  <c r="AD99" i="8"/>
  <c r="AD78" i="8"/>
  <c r="AD105" i="8"/>
  <c r="AD93" i="8"/>
  <c r="AC84" i="8"/>
  <c r="AC111" i="8"/>
  <c r="AC123" i="8"/>
  <c r="AC129" i="8"/>
  <c r="AC117" i="8"/>
  <c r="AC135" i="8"/>
  <c r="AC99" i="8"/>
  <c r="AC78" i="8"/>
  <c r="AC105" i="8"/>
  <c r="AC93" i="8"/>
  <c r="AC33" i="8"/>
  <c r="AC24" i="8"/>
  <c r="AC15" i="8"/>
  <c r="AC52" i="8"/>
  <c r="AC53" i="8" s="1"/>
  <c r="AC51" i="8"/>
  <c r="AC39" i="8"/>
  <c r="AC45" i="8"/>
  <c r="AD33" i="8"/>
  <c r="AD24" i="8"/>
  <c r="AD15" i="8"/>
  <c r="AD9" i="8" s="1"/>
  <c r="AD52" i="8"/>
  <c r="AD53" i="8" s="1"/>
  <c r="AD51" i="8"/>
  <c r="AD39" i="8"/>
  <c r="AD45" i="8"/>
  <c r="AE33" i="8"/>
  <c r="AE24" i="8"/>
  <c r="AE15" i="8"/>
  <c r="AE9" i="8" s="1"/>
  <c r="AE52" i="8"/>
  <c r="AE53" i="8" s="1"/>
  <c r="AE51" i="8"/>
  <c r="AE39" i="8"/>
  <c r="AE45" i="8"/>
  <c r="AF33" i="8"/>
  <c r="AF24" i="8"/>
  <c r="AF15" i="8"/>
  <c r="AF9" i="8" s="1"/>
  <c r="AF53" i="8"/>
  <c r="AF52" i="8"/>
  <c r="AF51" i="8"/>
  <c r="AF39" i="8"/>
  <c r="AF45" i="8"/>
  <c r="AG33" i="8"/>
  <c r="AG24" i="8"/>
  <c r="AG15" i="8"/>
  <c r="AG9" i="8" s="1"/>
  <c r="AG52" i="8"/>
  <c r="AG53" i="8" s="1"/>
  <c r="AG51" i="8"/>
  <c r="AG39" i="8"/>
  <c r="AG45" i="8"/>
  <c r="AG67" i="8"/>
  <c r="AH33" i="8"/>
  <c r="AH24" i="8"/>
  <c r="AH15" i="8"/>
  <c r="AH9" i="8" s="1"/>
  <c r="AH53" i="8"/>
  <c r="AH52" i="8"/>
  <c r="AH51" i="8"/>
  <c r="AH39" i="8"/>
  <c r="AH45" i="8"/>
  <c r="AH67" i="8"/>
  <c r="X56" i="8"/>
  <c r="Y56" i="8"/>
  <c r="Z56" i="8"/>
  <c r="AA56" i="8"/>
  <c r="AB56" i="8"/>
  <c r="AC56" i="8"/>
  <c r="AD56" i="8"/>
  <c r="AE56" i="8"/>
  <c r="AF56" i="8"/>
  <c r="AG56" i="8"/>
  <c r="AH56" i="8"/>
  <c r="W56" i="8"/>
  <c r="AH138" i="8"/>
  <c r="AH101" i="8"/>
  <c r="AH102" i="8"/>
  <c r="AH103" i="8"/>
  <c r="AI100" i="8"/>
  <c r="AI104" i="8"/>
  <c r="AH35" i="8"/>
  <c r="AH36" i="8"/>
  <c r="AH37" i="8"/>
  <c r="AH11" i="8"/>
  <c r="AH12" i="8"/>
  <c r="AH4" i="8"/>
  <c r="AH8" i="8"/>
  <c r="AI10" i="8"/>
  <c r="AI14" i="8"/>
  <c r="AH20" i="8"/>
  <c r="AH21" i="8"/>
  <c r="AH22" i="8" s="1"/>
  <c r="AI19" i="8"/>
  <c r="AI23" i="8"/>
  <c r="AI38" i="8"/>
  <c r="AI34" i="8"/>
  <c r="AH41" i="8"/>
  <c r="AH42" i="8"/>
  <c r="AH43" i="8"/>
  <c r="AI44" i="8"/>
  <c r="AI40" i="8"/>
  <c r="AH125" i="8"/>
  <c r="AH127" i="8" s="1"/>
  <c r="AH126" i="8"/>
  <c r="AI124" i="8"/>
  <c r="AI128" i="8"/>
  <c r="AH131" i="8"/>
  <c r="AH133" i="8" s="1"/>
  <c r="AH132" i="8"/>
  <c r="AI130" i="8"/>
  <c r="AI134" i="8"/>
  <c r="AH74" i="8"/>
  <c r="AH75" i="8"/>
  <c r="AH76" i="8" s="1"/>
  <c r="AI73" i="8"/>
  <c r="AI77" i="8"/>
  <c r="AH119" i="8"/>
  <c r="AH120" i="8"/>
  <c r="AH121" i="8"/>
  <c r="AI118" i="8"/>
  <c r="AI122" i="8"/>
  <c r="AH113" i="8"/>
  <c r="AH114" i="8"/>
  <c r="AH115" i="8" s="1"/>
  <c r="AI112" i="8"/>
  <c r="AI116" i="8"/>
  <c r="AH89" i="8"/>
  <c r="AH91" i="8" s="1"/>
  <c r="AH90" i="8"/>
  <c r="AI88" i="8"/>
  <c r="AI92" i="8"/>
  <c r="AH69" i="8"/>
  <c r="AH71" i="8" s="1"/>
  <c r="AH70" i="8"/>
  <c r="AI68" i="8"/>
  <c r="AI72" i="8"/>
  <c r="AH47" i="8"/>
  <c r="AH48" i="8"/>
  <c r="AH49" i="8" s="1"/>
  <c r="AI50" i="8"/>
  <c r="AI46" i="8"/>
  <c r="AH107" i="8"/>
  <c r="AH108" i="8"/>
  <c r="AI106" i="8"/>
  <c r="AI110" i="8"/>
  <c r="AH29" i="8"/>
  <c r="AH31" i="8" s="1"/>
  <c r="AH30" i="8"/>
  <c r="AI28" i="8"/>
  <c r="AI32" i="8"/>
  <c r="AH66" i="8"/>
  <c r="AH55" i="8"/>
  <c r="AH57" i="8"/>
  <c r="AI54" i="8"/>
  <c r="AH60" i="8"/>
  <c r="AH62" i="8" s="1"/>
  <c r="AH61" i="8"/>
  <c r="AI59" i="8"/>
  <c r="AI83" i="8"/>
  <c r="AI79" i="8"/>
  <c r="AH80" i="8"/>
  <c r="AH82" i="8" s="1"/>
  <c r="AH81" i="8"/>
  <c r="AH95" i="8"/>
  <c r="AH97" i="8" s="1"/>
  <c r="AH96" i="8"/>
  <c r="AI94" i="8"/>
  <c r="AI98" i="8"/>
  <c r="AG138" i="8"/>
  <c r="AG4" i="8"/>
  <c r="AG8" i="8"/>
  <c r="AG66" i="8"/>
  <c r="AF4" i="8"/>
  <c r="AF8" i="8"/>
  <c r="AF138" i="8"/>
  <c r="AF66" i="8"/>
  <c r="AF67" i="8" s="1"/>
  <c r="AE4" i="8"/>
  <c r="AE8" i="8"/>
  <c r="AE101" i="8"/>
  <c r="AE66" i="8"/>
  <c r="AE67" i="8" s="1"/>
  <c r="AE138" i="8" l="1"/>
  <c r="AH109" i="8"/>
  <c r="AH13" i="8"/>
  <c r="AH6" i="8"/>
  <c r="AG6" i="8"/>
  <c r="AF6" i="8"/>
  <c r="AE6" i="8"/>
  <c r="AD66" i="8"/>
  <c r="AD67" i="8" s="1"/>
  <c r="AD4" i="8"/>
  <c r="AD8" i="8"/>
  <c r="AD138" i="8"/>
  <c r="AC138" i="8"/>
  <c r="AC4" i="8"/>
  <c r="AC9" i="8"/>
  <c r="AC66" i="8"/>
  <c r="AC67" i="8" s="1"/>
  <c r="AB33" i="8"/>
  <c r="AB24" i="8"/>
  <c r="AB15" i="8"/>
  <c r="AB53" i="8"/>
  <c r="AB52" i="8"/>
  <c r="AB51" i="8"/>
  <c r="AB39" i="8"/>
  <c r="AB45" i="8"/>
  <c r="AB67" i="8"/>
  <c r="AB84" i="8"/>
  <c r="AB111" i="8"/>
  <c r="AB123" i="8"/>
  <c r="AB129" i="8"/>
  <c r="AB117" i="8"/>
  <c r="AB135" i="8"/>
  <c r="AB99" i="8"/>
  <c r="AB78" i="8"/>
  <c r="AB93" i="8"/>
  <c r="AB66" i="8"/>
  <c r="AB8" i="8" s="1"/>
  <c r="AB4" i="8"/>
  <c r="AB9" i="8"/>
  <c r="V9" i="8"/>
  <c r="Y51" i="8"/>
  <c r="Y45" i="8"/>
  <c r="X51" i="8"/>
  <c r="X45" i="8"/>
  <c r="W51" i="8"/>
  <c r="W45" i="8"/>
  <c r="V33" i="8"/>
  <c r="V24" i="8"/>
  <c r="V15" i="8"/>
  <c r="V53" i="8"/>
  <c r="V52" i="8"/>
  <c r="V51" i="8"/>
  <c r="V39" i="8"/>
  <c r="V45" i="8"/>
  <c r="W33" i="8"/>
  <c r="W24" i="8"/>
  <c r="W15" i="8"/>
  <c r="W9" i="8" s="1"/>
  <c r="W52" i="8"/>
  <c r="W53" i="8" s="1"/>
  <c r="W39" i="8"/>
  <c r="X33" i="8"/>
  <c r="X24" i="8"/>
  <c r="X15" i="8"/>
  <c r="X9" i="8" s="1"/>
  <c r="X53" i="8"/>
  <c r="X52" i="8"/>
  <c r="X39" i="8"/>
  <c r="Y33" i="8"/>
  <c r="Y24" i="8"/>
  <c r="Y15" i="8"/>
  <c r="Y9" i="8" s="1"/>
  <c r="Y52" i="8"/>
  <c r="Y53" i="8" s="1"/>
  <c r="Y39" i="8"/>
  <c r="AB138" i="8" l="1"/>
  <c r="AC8" i="8"/>
  <c r="AC6" i="8" s="1"/>
  <c r="AD6" i="8"/>
  <c r="AB6" i="8"/>
  <c r="Z33" i="8"/>
  <c r="Z24" i="8"/>
  <c r="Z15" i="8"/>
  <c r="Z9" i="8" s="1"/>
  <c r="Z53" i="8"/>
  <c r="Z52" i="8"/>
  <c r="Z51" i="8"/>
  <c r="Z39" i="8"/>
  <c r="Z45" i="8"/>
  <c r="Z67" i="8"/>
  <c r="AA67" i="8"/>
  <c r="AA52" i="8"/>
  <c r="AA53" i="8" s="1"/>
  <c r="AA45" i="8"/>
  <c r="AA39" i="8"/>
  <c r="AA51" i="8"/>
  <c r="AA15" i="8"/>
  <c r="AA9" i="8" s="1"/>
  <c r="AA24" i="8"/>
  <c r="AA33" i="8"/>
  <c r="AA84" i="8"/>
  <c r="AA111" i="8"/>
  <c r="AA123" i="8"/>
  <c r="AA129" i="8"/>
  <c r="AA117" i="8"/>
  <c r="AA135" i="8"/>
  <c r="AA99" i="8"/>
  <c r="AA78" i="8"/>
  <c r="AA105" i="8"/>
  <c r="AA93" i="8"/>
  <c r="Z84" i="8"/>
  <c r="Z111" i="8"/>
  <c r="Z123" i="8"/>
  <c r="Z129" i="8"/>
  <c r="Z117" i="8"/>
  <c r="Z135" i="8"/>
  <c r="Z99" i="8"/>
  <c r="Z78" i="8"/>
  <c r="Z105" i="8"/>
  <c r="Z93" i="8"/>
  <c r="Y84" i="8"/>
  <c r="Y111" i="8"/>
  <c r="Y123" i="8"/>
  <c r="Y129" i="8"/>
  <c r="Y117" i="8"/>
  <c r="Y135" i="8"/>
  <c r="Y99" i="8"/>
  <c r="Y78" i="8"/>
  <c r="Y105" i="8"/>
  <c r="Y93" i="8"/>
  <c r="X84" i="8"/>
  <c r="X111" i="8"/>
  <c r="X123" i="8"/>
  <c r="X129" i="8"/>
  <c r="X117" i="8"/>
  <c r="X135" i="8"/>
  <c r="X99" i="8"/>
  <c r="X78" i="8"/>
  <c r="X105" i="8"/>
  <c r="X93" i="8"/>
  <c r="W123" i="8"/>
  <c r="W129" i="8"/>
  <c r="W117" i="8"/>
  <c r="W135" i="8"/>
  <c r="W99" i="8"/>
  <c r="W78" i="8"/>
  <c r="W105" i="8"/>
  <c r="W93" i="8"/>
  <c r="W111" i="8"/>
  <c r="W84" i="8"/>
  <c r="V84" i="8"/>
  <c r="V111" i="8"/>
  <c r="V123" i="8"/>
  <c r="V129" i="8"/>
  <c r="V117" i="8"/>
  <c r="V135" i="8"/>
  <c r="V99" i="8"/>
  <c r="V78" i="8"/>
  <c r="V105" i="8"/>
  <c r="V93" i="8"/>
  <c r="AA66" i="8"/>
  <c r="AA138" i="8" s="1"/>
  <c r="AA4" i="8"/>
  <c r="AA8" i="8"/>
  <c r="Z138" i="8"/>
  <c r="Z66" i="8"/>
  <c r="Z8" i="8" s="1"/>
  <c r="Z4" i="8"/>
  <c r="Y4" i="8"/>
  <c r="Y66" i="8"/>
  <c r="Y67" i="8" s="1"/>
  <c r="X8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X138" i="8"/>
  <c r="X66" i="8"/>
  <c r="X67" i="8" s="1"/>
  <c r="W66" i="8"/>
  <c r="W8" i="8"/>
  <c r="V66" i="8"/>
  <c r="V67" i="8" s="1"/>
  <c r="N105" i="8"/>
  <c r="O84" i="8"/>
  <c r="O111" i="8"/>
  <c r="O123" i="8"/>
  <c r="O129" i="8"/>
  <c r="O117" i="8"/>
  <c r="O99" i="8"/>
  <c r="O78" i="8"/>
  <c r="O105" i="8"/>
  <c r="P84" i="8"/>
  <c r="P111" i="8"/>
  <c r="P123" i="8"/>
  <c r="P129" i="8"/>
  <c r="P117" i="8"/>
  <c r="P135" i="8"/>
  <c r="P99" i="8"/>
  <c r="P78" i="8"/>
  <c r="P105" i="8"/>
  <c r="P93" i="8"/>
  <c r="Q84" i="8"/>
  <c r="Q111" i="8"/>
  <c r="Q123" i="8"/>
  <c r="Q129" i="8"/>
  <c r="Q117" i="8"/>
  <c r="Q135" i="8"/>
  <c r="Q99" i="8"/>
  <c r="Q78" i="8"/>
  <c r="Q105" i="8"/>
  <c r="Q93" i="8"/>
  <c r="R84" i="8"/>
  <c r="R111" i="8"/>
  <c r="R123" i="8"/>
  <c r="R129" i="8"/>
  <c r="R117" i="8"/>
  <c r="R135" i="8"/>
  <c r="R99" i="8"/>
  <c r="R78" i="8"/>
  <c r="R105" i="8"/>
  <c r="R93" i="8"/>
  <c r="S84" i="8"/>
  <c r="S111" i="8"/>
  <c r="S123" i="8"/>
  <c r="S129" i="8"/>
  <c r="S117" i="8"/>
  <c r="S135" i="8"/>
  <c r="S99" i="8"/>
  <c r="S78" i="8"/>
  <c r="S105" i="8"/>
  <c r="S93" i="8"/>
  <c r="T84" i="8"/>
  <c r="T111" i="8"/>
  <c r="T123" i="8"/>
  <c r="T129" i="8"/>
  <c r="T117" i="8"/>
  <c r="T135" i="8"/>
  <c r="T99" i="8"/>
  <c r="T78" i="8"/>
  <c r="T105" i="8"/>
  <c r="T93" i="8"/>
  <c r="U84" i="8"/>
  <c r="U111" i="8"/>
  <c r="U123" i="8"/>
  <c r="U129" i="8"/>
  <c r="U117" i="8"/>
  <c r="U135" i="8"/>
  <c r="U99" i="8"/>
  <c r="U78" i="8"/>
  <c r="U105" i="8"/>
  <c r="U93" i="8"/>
  <c r="U39" i="8"/>
  <c r="U33" i="8"/>
  <c r="U24" i="8"/>
  <c r="U15" i="8"/>
  <c r="U52" i="8"/>
  <c r="U53" i="8" s="1"/>
  <c r="U51" i="8"/>
  <c r="U45" i="8"/>
  <c r="U67" i="8"/>
  <c r="U132" i="8"/>
  <c r="U131" i="8"/>
  <c r="U133" i="8" s="1"/>
  <c r="U126" i="8"/>
  <c r="U125" i="8"/>
  <c r="U127" i="8" s="1"/>
  <c r="U120" i="8"/>
  <c r="U119" i="8"/>
  <c r="U121" i="8" s="1"/>
  <c r="U114" i="8"/>
  <c r="U115" i="8" s="1"/>
  <c r="U113" i="8"/>
  <c r="U108" i="8"/>
  <c r="U107" i="8"/>
  <c r="U102" i="8"/>
  <c r="U101" i="8"/>
  <c r="U103" i="8" s="1"/>
  <c r="U96" i="8"/>
  <c r="U95" i="8"/>
  <c r="U97" i="8" s="1"/>
  <c r="U90" i="8"/>
  <c r="U89" i="8"/>
  <c r="U91" i="8" s="1"/>
  <c r="U81" i="8"/>
  <c r="U80" i="8"/>
  <c r="U82" i="8" s="1"/>
  <c r="U75" i="8"/>
  <c r="U74" i="8"/>
  <c r="U76" i="8" s="1"/>
  <c r="U70" i="8"/>
  <c r="U71" i="8" s="1"/>
  <c r="U69" i="8"/>
  <c r="U66" i="8"/>
  <c r="U138" i="8" s="1"/>
  <c r="U64" i="8"/>
  <c r="U61" i="8"/>
  <c r="U60" i="8"/>
  <c r="U62" i="8" s="1"/>
  <c r="U56" i="8"/>
  <c r="U55" i="8"/>
  <c r="U57" i="8" s="1"/>
  <c r="U48" i="8"/>
  <c r="U49" i="8" s="1"/>
  <c r="U47" i="8"/>
  <c r="U42" i="8"/>
  <c r="U41" i="8"/>
  <c r="U36" i="8"/>
  <c r="U35" i="8"/>
  <c r="U30" i="8"/>
  <c r="U29" i="8"/>
  <c r="U22" i="8"/>
  <c r="U21" i="8"/>
  <c r="U20" i="8"/>
  <c r="U12" i="8"/>
  <c r="U11" i="8"/>
  <c r="U13" i="8" s="1"/>
  <c r="Q33" i="8"/>
  <c r="Q24" i="8"/>
  <c r="Q15" i="8"/>
  <c r="Q52" i="8"/>
  <c r="Q53" i="8" s="1"/>
  <c r="Q51" i="8"/>
  <c r="Q39" i="8"/>
  <c r="Q45" i="8"/>
  <c r="P33" i="8"/>
  <c r="P24" i="8"/>
  <c r="P15" i="8"/>
  <c r="P53" i="8"/>
  <c r="P52" i="8"/>
  <c r="P51" i="8"/>
  <c r="P39" i="8"/>
  <c r="P45" i="8"/>
  <c r="O33" i="8"/>
  <c r="O24" i="8"/>
  <c r="O15" i="8"/>
  <c r="O39" i="8"/>
  <c r="O45" i="8"/>
  <c r="R45" i="8"/>
  <c r="R39" i="8"/>
  <c r="R15" i="8"/>
  <c r="R24" i="8"/>
  <c r="R33" i="8"/>
  <c r="S33" i="8"/>
  <c r="S24" i="8"/>
  <c r="S15" i="8"/>
  <c r="S39" i="8"/>
  <c r="S45" i="8"/>
  <c r="S67" i="8"/>
  <c r="T33" i="8"/>
  <c r="T24" i="8"/>
  <c r="T15" i="8"/>
  <c r="T52" i="8"/>
  <c r="T53" i="8" s="1"/>
  <c r="T51" i="8"/>
  <c r="T39" i="8"/>
  <c r="T45" i="8"/>
  <c r="O60" i="8"/>
  <c r="U8" i="8" l="1"/>
  <c r="U37" i="8"/>
  <c r="Y138" i="8"/>
  <c r="W138" i="8"/>
  <c r="W67" i="8"/>
  <c r="U43" i="8"/>
  <c r="Y8" i="8"/>
  <c r="Y6" i="8" s="1"/>
  <c r="U65" i="8"/>
  <c r="U109" i="8"/>
  <c r="U31" i="8"/>
  <c r="O9" i="8"/>
  <c r="R9" i="8"/>
  <c r="T9" i="8"/>
  <c r="AA6" i="8"/>
  <c r="Z6" i="8"/>
  <c r="X6" i="8"/>
  <c r="W6" i="8"/>
  <c r="V8" i="8"/>
  <c r="V6" i="8" s="1"/>
  <c r="V138" i="8"/>
  <c r="P9" i="8"/>
  <c r="Q9" i="8"/>
  <c r="S9" i="8"/>
  <c r="U9" i="8"/>
  <c r="U6" i="8"/>
  <c r="T66" i="8"/>
  <c r="R66" i="8"/>
  <c r="T8" i="8"/>
  <c r="R61" i="8"/>
  <c r="S61" i="8"/>
  <c r="T61" i="8"/>
  <c r="V61" i="8"/>
  <c r="W61" i="8"/>
  <c r="X61" i="8"/>
  <c r="Y61" i="8"/>
  <c r="Z61" i="8"/>
  <c r="AA61" i="8"/>
  <c r="AB61" i="8"/>
  <c r="AC61" i="8"/>
  <c r="AD61" i="8"/>
  <c r="AE61" i="8"/>
  <c r="AF61" i="8"/>
  <c r="AG61" i="8"/>
  <c r="R64" i="8"/>
  <c r="S8" i="8"/>
  <c r="S138" i="8"/>
  <c r="Q66" i="8"/>
  <c r="Q8" i="8"/>
  <c r="P66" i="8"/>
  <c r="P67" i="8" s="1"/>
  <c r="P74" i="8"/>
  <c r="P8" i="8"/>
  <c r="O138" i="8"/>
  <c r="N101" i="8"/>
  <c r="O101" i="8"/>
  <c r="P101" i="8"/>
  <c r="Q101" i="8"/>
  <c r="R101" i="8"/>
  <c r="S101" i="8"/>
  <c r="T101" i="8"/>
  <c r="V101" i="8"/>
  <c r="W101" i="8"/>
  <c r="X101" i="8"/>
  <c r="Y101" i="8"/>
  <c r="Z101" i="8"/>
  <c r="AA101" i="8"/>
  <c r="AA103" i="8" s="1"/>
  <c r="AB101" i="8"/>
  <c r="AB103" i="8" s="1"/>
  <c r="AC101" i="8"/>
  <c r="AD101" i="8"/>
  <c r="N102" i="8"/>
  <c r="O102" i="8"/>
  <c r="P102" i="8"/>
  <c r="Q102" i="8"/>
  <c r="Q103" i="8" s="1"/>
  <c r="R102" i="8"/>
  <c r="R103" i="8" s="1"/>
  <c r="S102" i="8"/>
  <c r="T102" i="8"/>
  <c r="V102" i="8"/>
  <c r="W102" i="8"/>
  <c r="X102" i="8"/>
  <c r="Y102" i="8"/>
  <c r="Y103" i="8" s="1"/>
  <c r="Z102" i="8"/>
  <c r="Z103" i="8" s="1"/>
  <c r="AA102" i="8"/>
  <c r="AB102" i="8"/>
  <c r="AC102" i="8"/>
  <c r="AC103" i="8" s="1"/>
  <c r="AD102" i="8"/>
  <c r="N103" i="8"/>
  <c r="O66" i="8"/>
  <c r="N67" i="8"/>
  <c r="N52" i="8"/>
  <c r="N53" i="8" s="1"/>
  <c r="N45" i="8"/>
  <c r="N39" i="8"/>
  <c r="N51" i="8"/>
  <c r="N15" i="8"/>
  <c r="N9" i="8" s="1"/>
  <c r="N24" i="8"/>
  <c r="N33" i="8"/>
  <c r="N84" i="8"/>
  <c r="N111" i="8"/>
  <c r="N123" i="8"/>
  <c r="N129" i="8"/>
  <c r="N117" i="8"/>
  <c r="N135" i="8"/>
  <c r="N99" i="8"/>
  <c r="N78" i="8"/>
  <c r="P103" i="8" l="1"/>
  <c r="P138" i="8"/>
  <c r="T67" i="8"/>
  <c r="T138" i="8"/>
  <c r="V103" i="8"/>
  <c r="R138" i="8"/>
  <c r="R67" i="8"/>
  <c r="O103" i="8"/>
  <c r="O8" i="8"/>
  <c r="O67" i="8"/>
  <c r="Q138" i="8"/>
  <c r="Q67" i="8"/>
  <c r="AD103" i="8"/>
  <c r="X103" i="8"/>
  <c r="W103" i="8"/>
  <c r="T103" i="8"/>
  <c r="R8" i="8"/>
  <c r="S103" i="8"/>
  <c r="N93" i="8"/>
  <c r="N138" i="8"/>
  <c r="N8" i="8"/>
  <c r="F53" i="8" l="1"/>
  <c r="F52" i="8"/>
  <c r="F45" i="8"/>
  <c r="F39" i="8"/>
  <c r="F51" i="8"/>
  <c r="F15" i="8"/>
  <c r="F9" i="8" s="1"/>
  <c r="F24" i="8"/>
  <c r="F33" i="8"/>
  <c r="G67" i="8"/>
  <c r="G52" i="8"/>
  <c r="G53" i="8" s="1"/>
  <c r="G45" i="8"/>
  <c r="G39" i="8"/>
  <c r="G51" i="8"/>
  <c r="G15" i="8"/>
  <c r="G9" i="8" s="1"/>
  <c r="G24" i="8"/>
  <c r="G33" i="8"/>
  <c r="H53" i="8"/>
  <c r="H52" i="8"/>
  <c r="H45" i="8"/>
  <c r="H39" i="8"/>
  <c r="H51" i="8"/>
  <c r="H15" i="8"/>
  <c r="H9" i="8" s="1"/>
  <c r="H24" i="8"/>
  <c r="H33" i="8"/>
  <c r="I33" i="8"/>
  <c r="I24" i="8"/>
  <c r="I15" i="8"/>
  <c r="I9" i="8" s="1"/>
  <c r="I52" i="8"/>
  <c r="I53" i="8" s="1"/>
  <c r="I51" i="8"/>
  <c r="I39" i="8"/>
  <c r="I45" i="8"/>
  <c r="I67" i="8"/>
  <c r="J52" i="8"/>
  <c r="J53" i="8" s="1"/>
  <c r="J45" i="8"/>
  <c r="J39" i="8"/>
  <c r="J51" i="8"/>
  <c r="J15" i="8"/>
  <c r="J9" i="8" s="1"/>
  <c r="J24" i="8"/>
  <c r="J33" i="8"/>
  <c r="K52" i="8"/>
  <c r="K53" i="8" s="1"/>
  <c r="K45" i="8"/>
  <c r="K39" i="8"/>
  <c r="K51" i="8"/>
  <c r="K15" i="8"/>
  <c r="K9" i="8" s="1"/>
  <c r="K24" i="8"/>
  <c r="K33" i="8"/>
  <c r="L52" i="8"/>
  <c r="L53" i="8" s="1"/>
  <c r="L45" i="8"/>
  <c r="L39" i="8"/>
  <c r="L51" i="8"/>
  <c r="L15" i="8"/>
  <c r="L9" i="8" s="1"/>
  <c r="L24" i="8"/>
  <c r="L33" i="8"/>
  <c r="M84" i="8"/>
  <c r="M111" i="8"/>
  <c r="M123" i="8"/>
  <c r="M129" i="8"/>
  <c r="M117" i="8"/>
  <c r="M135" i="8"/>
  <c r="M99" i="8"/>
  <c r="M78" i="8"/>
  <c r="M105" i="8"/>
  <c r="M93" i="8"/>
  <c r="L84" i="8"/>
  <c r="L111" i="8"/>
  <c r="L123" i="8"/>
  <c r="L129" i="8"/>
  <c r="L117" i="8"/>
  <c r="L135" i="8"/>
  <c r="L99" i="8"/>
  <c r="L78" i="8"/>
  <c r="L105" i="8"/>
  <c r="L93" i="8"/>
  <c r="K84" i="8"/>
  <c r="K111" i="8"/>
  <c r="K123" i="8"/>
  <c r="K129" i="8"/>
  <c r="K117" i="8"/>
  <c r="K135" i="8"/>
  <c r="K99" i="8"/>
  <c r="K78" i="8"/>
  <c r="K105" i="8"/>
  <c r="K93" i="8"/>
  <c r="J84" i="8"/>
  <c r="J111" i="8"/>
  <c r="J123" i="8"/>
  <c r="J129" i="8"/>
  <c r="J117" i="8"/>
  <c r="J135" i="8"/>
  <c r="J99" i="8"/>
  <c r="J78" i="8"/>
  <c r="J105" i="8"/>
  <c r="J93" i="8"/>
  <c r="I84" i="8"/>
  <c r="I111" i="8"/>
  <c r="I123" i="8"/>
  <c r="I129" i="8"/>
  <c r="I117" i="8"/>
  <c r="I135" i="8"/>
  <c r="I99" i="8"/>
  <c r="I78" i="8"/>
  <c r="I105" i="8"/>
  <c r="I93" i="8"/>
  <c r="H84" i="8"/>
  <c r="H111" i="8"/>
  <c r="G123" i="8"/>
  <c r="H123" i="8"/>
  <c r="H129" i="8"/>
  <c r="H117" i="8"/>
  <c r="H135" i="8"/>
  <c r="H99" i="8"/>
  <c r="G78" i="8"/>
  <c r="H78" i="8"/>
  <c r="H105" i="8"/>
  <c r="H93" i="8"/>
  <c r="G84" i="8"/>
  <c r="G111" i="8"/>
  <c r="G129" i="8"/>
  <c r="G117" i="8"/>
  <c r="G135" i="8"/>
  <c r="F135" i="8"/>
  <c r="G99" i="8"/>
  <c r="G105" i="8"/>
  <c r="G93" i="8"/>
  <c r="F84" i="8"/>
  <c r="F111" i="8"/>
  <c r="F123" i="8"/>
  <c r="F129" i="8"/>
  <c r="F117" i="8"/>
  <c r="F99" i="8"/>
  <c r="F78" i="8"/>
  <c r="F105" i="8"/>
  <c r="F93" i="8"/>
  <c r="E84" i="8"/>
  <c r="E111" i="8"/>
  <c r="E123" i="8"/>
  <c r="E129" i="8"/>
  <c r="E117" i="8"/>
  <c r="E135" i="8"/>
  <c r="E99" i="8"/>
  <c r="E78" i="8"/>
  <c r="E105" i="8"/>
  <c r="E93" i="8"/>
  <c r="D84" i="8"/>
  <c r="D111" i="8"/>
  <c r="D123" i="8"/>
  <c r="D129" i="8"/>
  <c r="D117" i="8"/>
  <c r="D135" i="8"/>
  <c r="D99" i="8"/>
  <c r="D78" i="8"/>
  <c r="D105" i="8"/>
  <c r="D93" i="8"/>
  <c r="M67" i="8"/>
  <c r="M52" i="8"/>
  <c r="M53" i="8" s="1"/>
  <c r="M45" i="8"/>
  <c r="M39" i="8"/>
  <c r="M51" i="8"/>
  <c r="M15" i="8"/>
  <c r="M9" i="8" s="1"/>
  <c r="M24" i="8"/>
  <c r="M33" i="8"/>
  <c r="M66" i="8"/>
  <c r="M138" i="8"/>
  <c r="M8" i="8"/>
  <c r="L138" i="8"/>
  <c r="L66" i="8"/>
  <c r="L67" i="8" s="1"/>
  <c r="L5" i="8"/>
  <c r="J138" i="8"/>
  <c r="K66" i="8"/>
  <c r="K138" i="8" s="1"/>
  <c r="J66" i="8"/>
  <c r="J67" i="8" s="1"/>
  <c r="K8" i="8"/>
  <c r="D56" i="8"/>
  <c r="AI63" i="8"/>
  <c r="AJ63" i="8" s="1"/>
  <c r="AI60" i="8"/>
  <c r="AJ54" i="8"/>
  <c r="AJ55" i="8" s="1"/>
  <c r="AI58" i="8"/>
  <c r="AJ58" i="8" s="1"/>
  <c r="J8" i="8"/>
  <c r="I138" i="8"/>
  <c r="I66" i="8"/>
  <c r="I8" i="8"/>
  <c r="H66" i="8"/>
  <c r="H8" i="8" s="1"/>
  <c r="H138" i="8"/>
  <c r="G66" i="8"/>
  <c r="G8" i="8" s="1"/>
  <c r="E33" i="8"/>
  <c r="E24" i="8"/>
  <c r="E15" i="8"/>
  <c r="E9" i="8" s="1"/>
  <c r="E52" i="8"/>
  <c r="E53" i="8" s="1"/>
  <c r="E51" i="8"/>
  <c r="E39" i="8"/>
  <c r="AI39" i="8" s="1"/>
  <c r="E45" i="8"/>
  <c r="D33" i="8"/>
  <c r="D24" i="8"/>
  <c r="D15" i="8"/>
  <c r="D9" i="8" s="1"/>
  <c r="D52" i="8"/>
  <c r="D53" i="8" s="1"/>
  <c r="D51" i="8"/>
  <c r="D39" i="8"/>
  <c r="D45" i="8"/>
  <c r="F66" i="8"/>
  <c r="F8" i="8" s="1"/>
  <c r="F64" i="8"/>
  <c r="F65" i="8" s="1"/>
  <c r="G64" i="8"/>
  <c r="H64" i="8"/>
  <c r="I64" i="8"/>
  <c r="J64" i="8"/>
  <c r="J65" i="8" s="1"/>
  <c r="K64" i="8"/>
  <c r="K65" i="8" s="1"/>
  <c r="L64" i="8"/>
  <c r="M64" i="8"/>
  <c r="M65" i="8" s="1"/>
  <c r="O64" i="8"/>
  <c r="O65" i="8" s="1"/>
  <c r="P64" i="8"/>
  <c r="Q64" i="8"/>
  <c r="Q65" i="8" s="1"/>
  <c r="R65" i="8"/>
  <c r="S64" i="8"/>
  <c r="S65" i="8" s="1"/>
  <c r="T64" i="8"/>
  <c r="T56" i="8" s="1"/>
  <c r="V64" i="8"/>
  <c r="V65" i="8" s="1"/>
  <c r="W64" i="8"/>
  <c r="W65" i="8" s="1"/>
  <c r="X64" i="8"/>
  <c r="X65" i="8" s="1"/>
  <c r="Y64" i="8"/>
  <c r="Z64" i="8"/>
  <c r="AA64" i="8"/>
  <c r="AB64" i="8"/>
  <c r="AC64" i="8"/>
  <c r="AD64" i="8"/>
  <c r="AE64" i="8"/>
  <c r="AF64" i="8"/>
  <c r="AG64" i="8"/>
  <c r="AH64" i="8"/>
  <c r="AH65" i="8" s="1"/>
  <c r="D36" i="8"/>
  <c r="D48" i="8"/>
  <c r="E48" i="8"/>
  <c r="F48" i="8"/>
  <c r="G48" i="8"/>
  <c r="H48" i="8"/>
  <c r="I48" i="8"/>
  <c r="J48" i="8"/>
  <c r="K48" i="8"/>
  <c r="L48" i="8"/>
  <c r="M48" i="8"/>
  <c r="O48" i="8"/>
  <c r="P48" i="8"/>
  <c r="Q48" i="8"/>
  <c r="R48" i="8"/>
  <c r="S48" i="8"/>
  <c r="T48" i="8"/>
  <c r="V48" i="8"/>
  <c r="W48" i="8"/>
  <c r="X48" i="8"/>
  <c r="Y48" i="8"/>
  <c r="Z48" i="8"/>
  <c r="AA48" i="8"/>
  <c r="AB48" i="8"/>
  <c r="AC48" i="8"/>
  <c r="AD48" i="8"/>
  <c r="AE48" i="8"/>
  <c r="AF48" i="8"/>
  <c r="AG48" i="8"/>
  <c r="D102" i="8"/>
  <c r="E61" i="8"/>
  <c r="F61" i="8"/>
  <c r="G61" i="8"/>
  <c r="H61" i="8"/>
  <c r="I61" i="8"/>
  <c r="J61" i="8"/>
  <c r="K61" i="8"/>
  <c r="L61" i="8"/>
  <c r="M61" i="8"/>
  <c r="O61" i="8"/>
  <c r="P61" i="8"/>
  <c r="Q61" i="8"/>
  <c r="E66" i="8"/>
  <c r="E138" i="8" s="1"/>
  <c r="E64" i="8"/>
  <c r="D66" i="8"/>
  <c r="D61" i="8"/>
  <c r="D64" i="8"/>
  <c r="D101" i="8"/>
  <c r="D47" i="8"/>
  <c r="P65" i="8"/>
  <c r="AJ149" i="8"/>
  <c r="AJ148" i="8"/>
  <c r="AJ147" i="8"/>
  <c r="AJ146" i="8"/>
  <c r="AJ145" i="8"/>
  <c r="AJ144" i="8"/>
  <c r="AJ143" i="8"/>
  <c r="AI142" i="8"/>
  <c r="AJ142" i="8" s="1"/>
  <c r="AI141" i="8"/>
  <c r="AJ140" i="8" s="1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T132" i="8"/>
  <c r="S132" i="8"/>
  <c r="R132" i="8"/>
  <c r="Q132" i="8"/>
  <c r="P132" i="8"/>
  <c r="O132" i="8"/>
  <c r="M132" i="8"/>
  <c r="L132" i="8"/>
  <c r="K132" i="8"/>
  <c r="J132" i="8"/>
  <c r="I132" i="8"/>
  <c r="H132" i="8"/>
  <c r="G132" i="8"/>
  <c r="F132" i="8"/>
  <c r="E132" i="8"/>
  <c r="D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T131" i="8"/>
  <c r="S131" i="8"/>
  <c r="R131" i="8"/>
  <c r="Q131" i="8"/>
  <c r="P131" i="8"/>
  <c r="O131" i="8"/>
  <c r="M131" i="8"/>
  <c r="L131" i="8"/>
  <c r="K131" i="8"/>
  <c r="J131" i="8"/>
  <c r="I131" i="8"/>
  <c r="H131" i="8"/>
  <c r="G131" i="8"/>
  <c r="F131" i="8"/>
  <c r="E131" i="8"/>
  <c r="D131" i="8"/>
  <c r="AI131" i="8"/>
  <c r="AJ128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T126" i="8"/>
  <c r="S126" i="8"/>
  <c r="R126" i="8"/>
  <c r="Q126" i="8"/>
  <c r="P126" i="8"/>
  <c r="O126" i="8"/>
  <c r="M126" i="8"/>
  <c r="L126" i="8"/>
  <c r="K126" i="8"/>
  <c r="J126" i="8"/>
  <c r="I126" i="8"/>
  <c r="H126" i="8"/>
  <c r="G126" i="8"/>
  <c r="F126" i="8"/>
  <c r="E126" i="8"/>
  <c r="D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T125" i="8"/>
  <c r="S125" i="8"/>
  <c r="R125" i="8"/>
  <c r="Q125" i="8"/>
  <c r="P125" i="8"/>
  <c r="O125" i="8"/>
  <c r="M125" i="8"/>
  <c r="L125" i="8"/>
  <c r="K125" i="8"/>
  <c r="J125" i="8"/>
  <c r="I125" i="8"/>
  <c r="H125" i="8"/>
  <c r="G125" i="8"/>
  <c r="G127" i="8" s="1"/>
  <c r="F125" i="8"/>
  <c r="E125" i="8"/>
  <c r="D125" i="8"/>
  <c r="AJ124" i="8"/>
  <c r="AJ125" i="8" s="1"/>
  <c r="AJ122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T120" i="8"/>
  <c r="S120" i="8"/>
  <c r="R120" i="8"/>
  <c r="Q120" i="8"/>
  <c r="P120" i="8"/>
  <c r="O120" i="8"/>
  <c r="M120" i="8"/>
  <c r="L120" i="8"/>
  <c r="K120" i="8"/>
  <c r="J120" i="8"/>
  <c r="I120" i="8"/>
  <c r="H120" i="8"/>
  <c r="G120" i="8"/>
  <c r="F120" i="8"/>
  <c r="E120" i="8"/>
  <c r="D120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T119" i="8"/>
  <c r="S119" i="8"/>
  <c r="R119" i="8"/>
  <c r="Q119" i="8"/>
  <c r="P119" i="8"/>
  <c r="O119" i="8"/>
  <c r="M119" i="8"/>
  <c r="L119" i="8"/>
  <c r="K119" i="8"/>
  <c r="J119" i="8"/>
  <c r="I119" i="8"/>
  <c r="H119" i="8"/>
  <c r="G119" i="8"/>
  <c r="F119" i="8"/>
  <c r="E119" i="8"/>
  <c r="D119" i="8"/>
  <c r="AI119" i="8"/>
  <c r="AJ116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T114" i="8"/>
  <c r="S114" i="8"/>
  <c r="R114" i="8"/>
  <c r="Q114" i="8"/>
  <c r="P114" i="8"/>
  <c r="O114" i="8"/>
  <c r="M114" i="8"/>
  <c r="L114" i="8"/>
  <c r="K114" i="8"/>
  <c r="J114" i="8"/>
  <c r="I114" i="8"/>
  <c r="H114" i="8"/>
  <c r="G114" i="8"/>
  <c r="F114" i="8"/>
  <c r="E114" i="8"/>
  <c r="D114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T113" i="8"/>
  <c r="S113" i="8"/>
  <c r="R113" i="8"/>
  <c r="Q113" i="8"/>
  <c r="P113" i="8"/>
  <c r="O113" i="8"/>
  <c r="M113" i="8"/>
  <c r="L113" i="8"/>
  <c r="K113" i="8"/>
  <c r="J113" i="8"/>
  <c r="I113" i="8"/>
  <c r="H113" i="8"/>
  <c r="G113" i="8"/>
  <c r="F113" i="8"/>
  <c r="E113" i="8"/>
  <c r="D113" i="8"/>
  <c r="AJ112" i="8"/>
  <c r="AJ113" i="8" s="1"/>
  <c r="AJ110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T108" i="8"/>
  <c r="S108" i="8"/>
  <c r="R108" i="8"/>
  <c r="Q108" i="8"/>
  <c r="P108" i="8"/>
  <c r="O108" i="8"/>
  <c r="M108" i="8"/>
  <c r="L108" i="8"/>
  <c r="K108" i="8"/>
  <c r="J108" i="8"/>
  <c r="I108" i="8"/>
  <c r="H108" i="8"/>
  <c r="G108" i="8"/>
  <c r="F108" i="8"/>
  <c r="E108" i="8"/>
  <c r="D108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T107" i="8"/>
  <c r="S107" i="8"/>
  <c r="R107" i="8"/>
  <c r="Q107" i="8"/>
  <c r="P107" i="8"/>
  <c r="O107" i="8"/>
  <c r="M107" i="8"/>
  <c r="L107" i="8"/>
  <c r="K107" i="8"/>
  <c r="J107" i="8"/>
  <c r="I107" i="8"/>
  <c r="H107" i="8"/>
  <c r="G107" i="8"/>
  <c r="F107" i="8"/>
  <c r="E107" i="8"/>
  <c r="D107" i="8"/>
  <c r="AI107" i="8"/>
  <c r="AJ104" i="8"/>
  <c r="AG102" i="8"/>
  <c r="AF102" i="8"/>
  <c r="AE102" i="8"/>
  <c r="M102" i="8"/>
  <c r="L102" i="8"/>
  <c r="K102" i="8"/>
  <c r="J102" i="8"/>
  <c r="I102" i="8"/>
  <c r="H102" i="8"/>
  <c r="G102" i="8"/>
  <c r="F102" i="8"/>
  <c r="E102" i="8"/>
  <c r="AG101" i="8"/>
  <c r="AF101" i="8"/>
  <c r="M101" i="8"/>
  <c r="L101" i="8"/>
  <c r="K101" i="8"/>
  <c r="J101" i="8"/>
  <c r="I101" i="8"/>
  <c r="H101" i="8"/>
  <c r="G101" i="8"/>
  <c r="F101" i="8"/>
  <c r="E101" i="8"/>
  <c r="AJ100" i="8"/>
  <c r="AJ101" i="8" s="1"/>
  <c r="AJ98" i="8"/>
  <c r="AG96" i="8"/>
  <c r="AF96" i="8"/>
  <c r="AE96" i="8"/>
  <c r="AD96" i="8"/>
  <c r="AC96" i="8"/>
  <c r="AB96" i="8"/>
  <c r="AA96" i="8"/>
  <c r="Z96" i="8"/>
  <c r="Y96" i="8"/>
  <c r="X96" i="8"/>
  <c r="W96" i="8"/>
  <c r="V96" i="8"/>
  <c r="T96" i="8"/>
  <c r="S96" i="8"/>
  <c r="R96" i="8"/>
  <c r="Q96" i="8"/>
  <c r="P96" i="8"/>
  <c r="O96" i="8"/>
  <c r="M96" i="8"/>
  <c r="L96" i="8"/>
  <c r="K96" i="8"/>
  <c r="J96" i="8"/>
  <c r="I96" i="8"/>
  <c r="H96" i="8"/>
  <c r="G96" i="8"/>
  <c r="F96" i="8"/>
  <c r="E96" i="8"/>
  <c r="D96" i="8"/>
  <c r="AG95" i="8"/>
  <c r="AF95" i="8"/>
  <c r="AE95" i="8"/>
  <c r="AD95" i="8"/>
  <c r="AC95" i="8"/>
  <c r="AB95" i="8"/>
  <c r="AA95" i="8"/>
  <c r="Z95" i="8"/>
  <c r="Y95" i="8"/>
  <c r="X95" i="8"/>
  <c r="W95" i="8"/>
  <c r="V95" i="8"/>
  <c r="T95" i="8"/>
  <c r="S95" i="8"/>
  <c r="R95" i="8"/>
  <c r="Q95" i="8"/>
  <c r="P95" i="8"/>
  <c r="O95" i="8"/>
  <c r="M95" i="8"/>
  <c r="L95" i="8"/>
  <c r="K95" i="8"/>
  <c r="J95" i="8"/>
  <c r="I95" i="8"/>
  <c r="H95" i="8"/>
  <c r="G95" i="8"/>
  <c r="F95" i="8"/>
  <c r="E95" i="8"/>
  <c r="D95" i="8"/>
  <c r="AI95" i="8"/>
  <c r="AI93" i="8"/>
  <c r="AJ92" i="8"/>
  <c r="AG90" i="8"/>
  <c r="AF90" i="8"/>
  <c r="AE90" i="8"/>
  <c r="AD90" i="8"/>
  <c r="AC90" i="8"/>
  <c r="AB90" i="8"/>
  <c r="AA90" i="8"/>
  <c r="Z90" i="8"/>
  <c r="Y90" i="8"/>
  <c r="X90" i="8"/>
  <c r="W90" i="8"/>
  <c r="V90" i="8"/>
  <c r="T90" i="8"/>
  <c r="S90" i="8"/>
  <c r="R90" i="8"/>
  <c r="Q90" i="8"/>
  <c r="P90" i="8"/>
  <c r="O90" i="8"/>
  <c r="M90" i="8"/>
  <c r="L90" i="8"/>
  <c r="K90" i="8"/>
  <c r="J90" i="8"/>
  <c r="I90" i="8"/>
  <c r="H90" i="8"/>
  <c r="G90" i="8"/>
  <c r="F90" i="8"/>
  <c r="E90" i="8"/>
  <c r="D90" i="8"/>
  <c r="AG89" i="8"/>
  <c r="AF89" i="8"/>
  <c r="AE89" i="8"/>
  <c r="AD89" i="8"/>
  <c r="AC89" i="8"/>
  <c r="AB89" i="8"/>
  <c r="AA89" i="8"/>
  <c r="Z89" i="8"/>
  <c r="Y89" i="8"/>
  <c r="X89" i="8"/>
  <c r="W89" i="8"/>
  <c r="V89" i="8"/>
  <c r="T89" i="8"/>
  <c r="S89" i="8"/>
  <c r="R89" i="8"/>
  <c r="Q89" i="8"/>
  <c r="P89" i="8"/>
  <c r="O89" i="8"/>
  <c r="M89" i="8"/>
  <c r="L89" i="8"/>
  <c r="K89" i="8"/>
  <c r="J89" i="8"/>
  <c r="I89" i="8"/>
  <c r="H89" i="8"/>
  <c r="G89" i="8"/>
  <c r="F89" i="8"/>
  <c r="E89" i="8"/>
  <c r="D89" i="8"/>
  <c r="AJ88" i="8"/>
  <c r="AJ89" i="8" s="1"/>
  <c r="AJ83" i="8"/>
  <c r="AG81" i="8"/>
  <c r="AF81" i="8"/>
  <c r="AE81" i="8"/>
  <c r="AD81" i="8"/>
  <c r="AC81" i="8"/>
  <c r="AB81" i="8"/>
  <c r="AA81" i="8"/>
  <c r="Z81" i="8"/>
  <c r="Y81" i="8"/>
  <c r="X81" i="8"/>
  <c r="W81" i="8"/>
  <c r="V81" i="8"/>
  <c r="T81" i="8"/>
  <c r="S81" i="8"/>
  <c r="R81" i="8"/>
  <c r="Q81" i="8"/>
  <c r="P81" i="8"/>
  <c r="O81" i="8"/>
  <c r="M81" i="8"/>
  <c r="L81" i="8"/>
  <c r="K81" i="8"/>
  <c r="J81" i="8"/>
  <c r="I81" i="8"/>
  <c r="H81" i="8"/>
  <c r="G81" i="8"/>
  <c r="F81" i="8"/>
  <c r="E81" i="8"/>
  <c r="D81" i="8"/>
  <c r="AG80" i="8"/>
  <c r="AF80" i="8"/>
  <c r="AE80" i="8"/>
  <c r="AD80" i="8"/>
  <c r="AC80" i="8"/>
  <c r="AB80" i="8"/>
  <c r="AA80" i="8"/>
  <c r="Z80" i="8"/>
  <c r="Y80" i="8"/>
  <c r="X80" i="8"/>
  <c r="W80" i="8"/>
  <c r="V80" i="8"/>
  <c r="T80" i="8"/>
  <c r="S80" i="8"/>
  <c r="R80" i="8"/>
  <c r="Q80" i="8"/>
  <c r="P80" i="8"/>
  <c r="O80" i="8"/>
  <c r="M80" i="8"/>
  <c r="L80" i="8"/>
  <c r="K80" i="8"/>
  <c r="J80" i="8"/>
  <c r="I80" i="8"/>
  <c r="H80" i="8"/>
  <c r="G80" i="8"/>
  <c r="F80" i="8"/>
  <c r="E80" i="8"/>
  <c r="D80" i="8"/>
  <c r="D82" i="8" s="1"/>
  <c r="AI80" i="8"/>
  <c r="AJ77" i="8"/>
  <c r="AG75" i="8"/>
  <c r="AF75" i="8"/>
  <c r="AE75" i="8"/>
  <c r="AD75" i="8"/>
  <c r="AC75" i="8"/>
  <c r="AB75" i="8"/>
  <c r="AA75" i="8"/>
  <c r="Z75" i="8"/>
  <c r="Y75" i="8"/>
  <c r="X75" i="8"/>
  <c r="W75" i="8"/>
  <c r="V75" i="8"/>
  <c r="T75" i="8"/>
  <c r="S75" i="8"/>
  <c r="R75" i="8"/>
  <c r="Q75" i="8"/>
  <c r="P75" i="8"/>
  <c r="P76" i="8" s="1"/>
  <c r="O75" i="8"/>
  <c r="M75" i="8"/>
  <c r="L75" i="8"/>
  <c r="K75" i="8"/>
  <c r="J75" i="8"/>
  <c r="I75" i="8"/>
  <c r="H75" i="8"/>
  <c r="G75" i="8"/>
  <c r="F75" i="8"/>
  <c r="E75" i="8"/>
  <c r="D75" i="8"/>
  <c r="AG74" i="8"/>
  <c r="AF74" i="8"/>
  <c r="AE74" i="8"/>
  <c r="AD74" i="8"/>
  <c r="AC74" i="8"/>
  <c r="AB74" i="8"/>
  <c r="AA74" i="8"/>
  <c r="Z74" i="8"/>
  <c r="Y74" i="8"/>
  <c r="X74" i="8"/>
  <c r="W74" i="8"/>
  <c r="V74" i="8"/>
  <c r="T74" i="8"/>
  <c r="S74" i="8"/>
  <c r="R74" i="8"/>
  <c r="Q74" i="8"/>
  <c r="O74" i="8"/>
  <c r="M74" i="8"/>
  <c r="L74" i="8"/>
  <c r="K74" i="8"/>
  <c r="J74" i="8"/>
  <c r="I74" i="8"/>
  <c r="H74" i="8"/>
  <c r="G74" i="8"/>
  <c r="F74" i="8"/>
  <c r="E74" i="8"/>
  <c r="D74" i="8"/>
  <c r="AJ73" i="8"/>
  <c r="AJ74" i="8" s="1"/>
  <c r="AJ72" i="8"/>
  <c r="AG70" i="8"/>
  <c r="AF70" i="8"/>
  <c r="AE70" i="8"/>
  <c r="AD70" i="8"/>
  <c r="AC70" i="8"/>
  <c r="AB70" i="8"/>
  <c r="AA70" i="8"/>
  <c r="Z70" i="8"/>
  <c r="Y70" i="8"/>
  <c r="X70" i="8"/>
  <c r="W70" i="8"/>
  <c r="V70" i="8"/>
  <c r="T70" i="8"/>
  <c r="S70" i="8"/>
  <c r="R70" i="8"/>
  <c r="Q70" i="8"/>
  <c r="P70" i="8"/>
  <c r="O70" i="8"/>
  <c r="M70" i="8"/>
  <c r="L70" i="8"/>
  <c r="K70" i="8"/>
  <c r="J70" i="8"/>
  <c r="I70" i="8"/>
  <c r="H70" i="8"/>
  <c r="G70" i="8"/>
  <c r="F70" i="8"/>
  <c r="E70" i="8"/>
  <c r="D70" i="8"/>
  <c r="AG69" i="8"/>
  <c r="AF69" i="8"/>
  <c r="AE69" i="8"/>
  <c r="AD69" i="8"/>
  <c r="AC69" i="8"/>
  <c r="AB69" i="8"/>
  <c r="AA69" i="8"/>
  <c r="Z69" i="8"/>
  <c r="Y69" i="8"/>
  <c r="X69" i="8"/>
  <c r="W69" i="8"/>
  <c r="V69" i="8"/>
  <c r="T69" i="8"/>
  <c r="S69" i="8"/>
  <c r="R69" i="8"/>
  <c r="Q69" i="8"/>
  <c r="P69" i="8"/>
  <c r="O69" i="8"/>
  <c r="M69" i="8"/>
  <c r="L69" i="8"/>
  <c r="K69" i="8"/>
  <c r="J69" i="8"/>
  <c r="I69" i="8"/>
  <c r="H69" i="8"/>
  <c r="G69" i="8"/>
  <c r="F69" i="8"/>
  <c r="E69" i="8"/>
  <c r="D69" i="8"/>
  <c r="AI69" i="8"/>
  <c r="AF65" i="8"/>
  <c r="AG60" i="8"/>
  <c r="AG62" i="8" s="1"/>
  <c r="AF60" i="8"/>
  <c r="AF62" i="8" s="1"/>
  <c r="AE60" i="8"/>
  <c r="AE62" i="8" s="1"/>
  <c r="AD60" i="8"/>
  <c r="AD62" i="8" s="1"/>
  <c r="AC60" i="8"/>
  <c r="AC62" i="8" s="1"/>
  <c r="AB60" i="8"/>
  <c r="AB62" i="8" s="1"/>
  <c r="AA60" i="8"/>
  <c r="AA62" i="8" s="1"/>
  <c r="Z60" i="8"/>
  <c r="Z62" i="8" s="1"/>
  <c r="Y60" i="8"/>
  <c r="Y62" i="8" s="1"/>
  <c r="X60" i="8"/>
  <c r="X62" i="8" s="1"/>
  <c r="W60" i="8"/>
  <c r="W62" i="8" s="1"/>
  <c r="V60" i="8"/>
  <c r="V62" i="8" s="1"/>
  <c r="T60" i="8"/>
  <c r="T62" i="8" s="1"/>
  <c r="S60" i="8"/>
  <c r="S62" i="8" s="1"/>
  <c r="R60" i="8"/>
  <c r="R62" i="8" s="1"/>
  <c r="Q60" i="8"/>
  <c r="Q62" i="8" s="1"/>
  <c r="P60" i="8"/>
  <c r="P62" i="8" s="1"/>
  <c r="M60" i="8"/>
  <c r="L60" i="8"/>
  <c r="L62" i="8" s="1"/>
  <c r="K60" i="8"/>
  <c r="K62" i="8" s="1"/>
  <c r="J60" i="8"/>
  <c r="I60" i="8"/>
  <c r="I62" i="8" s="1"/>
  <c r="H60" i="8"/>
  <c r="G60" i="8"/>
  <c r="F60" i="8"/>
  <c r="E60" i="8"/>
  <c r="D60" i="8"/>
  <c r="D62" i="8" s="1"/>
  <c r="R56" i="8"/>
  <c r="P56" i="8"/>
  <c r="M56" i="8"/>
  <c r="I56" i="8"/>
  <c r="F56" i="8"/>
  <c r="AG55" i="8"/>
  <c r="AF55" i="8"/>
  <c r="AE55" i="8"/>
  <c r="AD55" i="8"/>
  <c r="AC55" i="8"/>
  <c r="AB55" i="8"/>
  <c r="AA55" i="8"/>
  <c r="Z55" i="8"/>
  <c r="Y55" i="8"/>
  <c r="X55" i="8"/>
  <c r="W55" i="8"/>
  <c r="V55" i="8"/>
  <c r="T55" i="8"/>
  <c r="S55" i="8"/>
  <c r="R55" i="8"/>
  <c r="Q55" i="8"/>
  <c r="P55" i="8"/>
  <c r="O55" i="8"/>
  <c r="M55" i="8"/>
  <c r="L55" i="8"/>
  <c r="K55" i="8"/>
  <c r="J55" i="8"/>
  <c r="I55" i="8"/>
  <c r="H55" i="8"/>
  <c r="G55" i="8"/>
  <c r="F55" i="8"/>
  <c r="E55" i="8"/>
  <c r="D55" i="8"/>
  <c r="AJ50" i="8"/>
  <c r="AG47" i="8"/>
  <c r="AF47" i="8"/>
  <c r="AF49" i="8" s="1"/>
  <c r="AE47" i="8"/>
  <c r="AD47" i="8"/>
  <c r="AC47" i="8"/>
  <c r="AC49" i="8" s="1"/>
  <c r="AB47" i="8"/>
  <c r="AA47" i="8"/>
  <c r="AA49" i="8" s="1"/>
  <c r="Z47" i="8"/>
  <c r="Z49" i="8" s="1"/>
  <c r="Y47" i="8"/>
  <c r="X47" i="8"/>
  <c r="X49" i="8" s="1"/>
  <c r="W47" i="8"/>
  <c r="V47" i="8"/>
  <c r="T47" i="8"/>
  <c r="S47" i="8"/>
  <c r="R47" i="8"/>
  <c r="R49" i="8" s="1"/>
  <c r="Q47" i="8"/>
  <c r="P47" i="8"/>
  <c r="O47" i="8"/>
  <c r="M47" i="8"/>
  <c r="L47" i="8"/>
  <c r="K47" i="8"/>
  <c r="J47" i="8"/>
  <c r="I47" i="8"/>
  <c r="H47" i="8"/>
  <c r="G47" i="8"/>
  <c r="F47" i="8"/>
  <c r="E47" i="8"/>
  <c r="E49" i="8" s="1"/>
  <c r="AJ46" i="8"/>
  <c r="AJ47" i="8" s="1"/>
  <c r="AI45" i="8"/>
  <c r="AJ44" i="8"/>
  <c r="AG42" i="8"/>
  <c r="AF42" i="8"/>
  <c r="AE42" i="8"/>
  <c r="AD42" i="8"/>
  <c r="AC42" i="8"/>
  <c r="AB42" i="8"/>
  <c r="AA42" i="8"/>
  <c r="Z42" i="8"/>
  <c r="Y42" i="8"/>
  <c r="X42" i="8"/>
  <c r="W42" i="8"/>
  <c r="V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AG41" i="8"/>
  <c r="AF41" i="8"/>
  <c r="AE41" i="8"/>
  <c r="AD41" i="8"/>
  <c r="AC41" i="8"/>
  <c r="AB41" i="8"/>
  <c r="AA41" i="8"/>
  <c r="Z41" i="8"/>
  <c r="Y41" i="8"/>
  <c r="X41" i="8"/>
  <c r="W41" i="8"/>
  <c r="V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AJ40" i="8"/>
  <c r="AJ41" i="8" s="1"/>
  <c r="AJ38" i="8"/>
  <c r="AG36" i="8"/>
  <c r="AF36" i="8"/>
  <c r="AE36" i="8"/>
  <c r="AD36" i="8"/>
  <c r="AC36" i="8"/>
  <c r="AB36" i="8"/>
  <c r="AA36" i="8"/>
  <c r="Z36" i="8"/>
  <c r="Y36" i="8"/>
  <c r="X36" i="8"/>
  <c r="W36" i="8"/>
  <c r="V36" i="8"/>
  <c r="T36" i="8"/>
  <c r="S36" i="8"/>
  <c r="R36" i="8"/>
  <c r="Q36" i="8"/>
  <c r="P36" i="8"/>
  <c r="O36" i="8"/>
  <c r="M36" i="8"/>
  <c r="L36" i="8"/>
  <c r="K36" i="8"/>
  <c r="J36" i="8"/>
  <c r="I36" i="8"/>
  <c r="H36" i="8"/>
  <c r="G36" i="8"/>
  <c r="F36" i="8"/>
  <c r="E36" i="8"/>
  <c r="AG35" i="8"/>
  <c r="AF35" i="8"/>
  <c r="AE35" i="8"/>
  <c r="AD35" i="8"/>
  <c r="AC35" i="8"/>
  <c r="AB35" i="8"/>
  <c r="AA35" i="8"/>
  <c r="Z35" i="8"/>
  <c r="Y35" i="8"/>
  <c r="X35" i="8"/>
  <c r="W35" i="8"/>
  <c r="V35" i="8"/>
  <c r="T35" i="8"/>
  <c r="S35" i="8"/>
  <c r="R35" i="8"/>
  <c r="Q35" i="8"/>
  <c r="P35" i="8"/>
  <c r="O35" i="8"/>
  <c r="M35" i="8"/>
  <c r="L35" i="8"/>
  <c r="K35" i="8"/>
  <c r="J35" i="8"/>
  <c r="I35" i="8"/>
  <c r="H35" i="8"/>
  <c r="G35" i="8"/>
  <c r="F35" i="8"/>
  <c r="E35" i="8"/>
  <c r="D35" i="8"/>
  <c r="D37" i="8" s="1"/>
  <c r="AJ34" i="8"/>
  <c r="AJ35" i="8" s="1"/>
  <c r="AJ32" i="8"/>
  <c r="AG30" i="8"/>
  <c r="AF30" i="8"/>
  <c r="AE30" i="8"/>
  <c r="AD30" i="8"/>
  <c r="AC30" i="8"/>
  <c r="AB30" i="8"/>
  <c r="AA30" i="8"/>
  <c r="Z30" i="8"/>
  <c r="Y30" i="8"/>
  <c r="X30" i="8"/>
  <c r="W30" i="8"/>
  <c r="V30" i="8"/>
  <c r="T30" i="8"/>
  <c r="S30" i="8"/>
  <c r="R30" i="8"/>
  <c r="Q30" i="8"/>
  <c r="P30" i="8"/>
  <c r="O30" i="8"/>
  <c r="M30" i="8"/>
  <c r="L30" i="8"/>
  <c r="K30" i="8"/>
  <c r="J30" i="8"/>
  <c r="I30" i="8"/>
  <c r="H30" i="8"/>
  <c r="G30" i="8"/>
  <c r="F30" i="8"/>
  <c r="E30" i="8"/>
  <c r="D30" i="8"/>
  <c r="AG29" i="8"/>
  <c r="AF29" i="8"/>
  <c r="AE29" i="8"/>
  <c r="AD29" i="8"/>
  <c r="AC29" i="8"/>
  <c r="AB29" i="8"/>
  <c r="AA29" i="8"/>
  <c r="Z29" i="8"/>
  <c r="Y29" i="8"/>
  <c r="X29" i="8"/>
  <c r="W29" i="8"/>
  <c r="V29" i="8"/>
  <c r="T29" i="8"/>
  <c r="S29" i="8"/>
  <c r="R29" i="8"/>
  <c r="Q29" i="8"/>
  <c r="P29" i="8"/>
  <c r="O29" i="8"/>
  <c r="M29" i="8"/>
  <c r="L29" i="8"/>
  <c r="K29" i="8"/>
  <c r="J29" i="8"/>
  <c r="I29" i="8"/>
  <c r="H29" i="8"/>
  <c r="G29" i="8"/>
  <c r="F29" i="8"/>
  <c r="E29" i="8"/>
  <c r="D29" i="8"/>
  <c r="AI29" i="8"/>
  <c r="AJ23" i="8"/>
  <c r="AG21" i="8"/>
  <c r="AF21" i="8"/>
  <c r="AE21" i="8"/>
  <c r="AD21" i="8"/>
  <c r="AC21" i="8"/>
  <c r="AB21" i="8"/>
  <c r="AA21" i="8"/>
  <c r="Z21" i="8"/>
  <c r="Y21" i="8"/>
  <c r="X21" i="8"/>
  <c r="W21" i="8"/>
  <c r="V21" i="8"/>
  <c r="T21" i="8"/>
  <c r="S21" i="8"/>
  <c r="R21" i="8"/>
  <c r="Q21" i="8"/>
  <c r="P21" i="8"/>
  <c r="O21" i="8"/>
  <c r="M21" i="8"/>
  <c r="L21" i="8"/>
  <c r="K21" i="8"/>
  <c r="J21" i="8"/>
  <c r="I21" i="8"/>
  <c r="H21" i="8"/>
  <c r="G21" i="8"/>
  <c r="F21" i="8"/>
  <c r="E21" i="8"/>
  <c r="D21" i="8"/>
  <c r="AG20" i="8"/>
  <c r="AF20" i="8"/>
  <c r="AE20" i="8"/>
  <c r="AD20" i="8"/>
  <c r="AC20" i="8"/>
  <c r="AB20" i="8"/>
  <c r="AA20" i="8"/>
  <c r="Z20" i="8"/>
  <c r="Y20" i="8"/>
  <c r="X20" i="8"/>
  <c r="W20" i="8"/>
  <c r="V20" i="8"/>
  <c r="T20" i="8"/>
  <c r="S20" i="8"/>
  <c r="R20" i="8"/>
  <c r="Q20" i="8"/>
  <c r="P20" i="8"/>
  <c r="O20" i="8"/>
  <c r="M20" i="8"/>
  <c r="L20" i="8"/>
  <c r="K20" i="8"/>
  <c r="J20" i="8"/>
  <c r="I20" i="8"/>
  <c r="H20" i="8"/>
  <c r="G20" i="8"/>
  <c r="F20" i="8"/>
  <c r="E20" i="8"/>
  <c r="D20" i="8"/>
  <c r="AI20" i="8"/>
  <c r="AJ14" i="8"/>
  <c r="AG12" i="8"/>
  <c r="AF12" i="8"/>
  <c r="AE12" i="8"/>
  <c r="AD12" i="8"/>
  <c r="AC12" i="8"/>
  <c r="AB12" i="8"/>
  <c r="AA12" i="8"/>
  <c r="Z12" i="8"/>
  <c r="Y12" i="8"/>
  <c r="X12" i="8"/>
  <c r="W12" i="8"/>
  <c r="V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AG11" i="8"/>
  <c r="AF11" i="8"/>
  <c r="AE11" i="8"/>
  <c r="AD11" i="8"/>
  <c r="AC11" i="8"/>
  <c r="AB11" i="8"/>
  <c r="AA11" i="8"/>
  <c r="Z11" i="8"/>
  <c r="Y11" i="8"/>
  <c r="X11" i="8"/>
  <c r="W11" i="8"/>
  <c r="V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AJ10" i="8"/>
  <c r="AJ11" i="8" s="1"/>
  <c r="A4" i="8"/>
  <c r="K5" i="8" s="1"/>
  <c r="E3" i="8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AG139" i="7"/>
  <c r="AG66" i="7"/>
  <c r="AF139" i="7"/>
  <c r="AF66" i="7"/>
  <c r="AE66" i="7"/>
  <c r="AE139" i="7" s="1"/>
  <c r="AD9" i="7"/>
  <c r="AD139" i="7"/>
  <c r="AD66" i="7"/>
  <c r="H103" i="8" l="1"/>
  <c r="D49" i="8"/>
  <c r="L8" i="8"/>
  <c r="H67" i="8"/>
  <c r="F67" i="8"/>
  <c r="AI84" i="8"/>
  <c r="D103" i="8"/>
  <c r="AF5" i="8"/>
  <c r="AF7" i="8" s="1"/>
  <c r="AG5" i="8"/>
  <c r="AG7" i="8" s="1"/>
  <c r="AH5" i="8"/>
  <c r="AH7" i="8" s="1"/>
  <c r="AE5" i="8"/>
  <c r="AE7" i="8" s="1"/>
  <c r="AB5" i="8"/>
  <c r="AB7" i="8" s="1"/>
  <c r="X5" i="8"/>
  <c r="X7" i="8" s="1"/>
  <c r="U5" i="8"/>
  <c r="U7" i="8" s="1"/>
  <c r="AD5" i="8"/>
  <c r="AD7" i="8" s="1"/>
  <c r="W5" i="8"/>
  <c r="W7" i="8" s="1"/>
  <c r="AC5" i="8"/>
  <c r="AC7" i="8" s="1"/>
  <c r="Y5" i="8"/>
  <c r="Y7" i="8" s="1"/>
  <c r="Z5" i="8"/>
  <c r="Z7" i="8" s="1"/>
  <c r="AA5" i="8"/>
  <c r="AA7" i="8" s="1"/>
  <c r="V5" i="8"/>
  <c r="V7" i="8" s="1"/>
  <c r="AD76" i="8"/>
  <c r="D138" i="8"/>
  <c r="AI66" i="8"/>
  <c r="AI24" i="8"/>
  <c r="X97" i="8"/>
  <c r="AF97" i="8"/>
  <c r="L65" i="8"/>
  <c r="F138" i="8"/>
  <c r="K67" i="8"/>
  <c r="U3" i="8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J49" i="8"/>
  <c r="X127" i="8"/>
  <c r="AF127" i="8"/>
  <c r="L133" i="8"/>
  <c r="D13" i="8"/>
  <c r="AA13" i="8"/>
  <c r="V13" i="8"/>
  <c r="AD13" i="8"/>
  <c r="F13" i="8"/>
  <c r="AG43" i="8"/>
  <c r="AG133" i="8"/>
  <c r="AG49" i="8"/>
  <c r="AF103" i="8"/>
  <c r="AB49" i="8"/>
  <c r="AB133" i="8"/>
  <c r="AB82" i="8"/>
  <c r="AA22" i="8"/>
  <c r="Z133" i="8"/>
  <c r="Y43" i="8"/>
  <c r="Y49" i="8"/>
  <c r="S49" i="8"/>
  <c r="V56" i="8"/>
  <c r="V57" i="8" s="1"/>
  <c r="V76" i="8"/>
  <c r="AJ134" i="8"/>
  <c r="O62" i="8"/>
  <c r="X57" i="8"/>
  <c r="E62" i="8"/>
  <c r="T49" i="8"/>
  <c r="T133" i="8"/>
  <c r="T82" i="8"/>
  <c r="S13" i="8"/>
  <c r="S22" i="8"/>
  <c r="R133" i="8"/>
  <c r="Q56" i="8"/>
  <c r="Q57" i="8" s="1"/>
  <c r="Q49" i="8"/>
  <c r="Q43" i="8"/>
  <c r="P49" i="8"/>
  <c r="P127" i="8"/>
  <c r="P97" i="8"/>
  <c r="O127" i="8"/>
  <c r="AI51" i="8"/>
  <c r="AI78" i="8"/>
  <c r="M49" i="8"/>
  <c r="M6" i="8"/>
  <c r="M5" i="8"/>
  <c r="AJ79" i="8"/>
  <c r="AJ80" i="8" s="1"/>
  <c r="M62" i="8"/>
  <c r="AJ12" i="8"/>
  <c r="AJ13" i="8" s="1"/>
  <c r="AJ106" i="8"/>
  <c r="AJ107" i="8" s="1"/>
  <c r="L49" i="8"/>
  <c r="L56" i="8"/>
  <c r="L82" i="8"/>
  <c r="L6" i="8"/>
  <c r="L7" i="8" s="1"/>
  <c r="AJ102" i="8"/>
  <c r="AJ103" i="8" s="1"/>
  <c r="AJ19" i="8"/>
  <c r="K22" i="8"/>
  <c r="AJ42" i="8"/>
  <c r="AJ43" i="8" s="1"/>
  <c r="AJ94" i="8"/>
  <c r="AJ75" i="8"/>
  <c r="AJ68" i="8"/>
  <c r="AJ69" i="8" s="1"/>
  <c r="AJ28" i="8"/>
  <c r="AJ29" i="8" s="1"/>
  <c r="K49" i="8"/>
  <c r="AJ48" i="8"/>
  <c r="AJ118" i="8"/>
  <c r="AJ119" i="8" s="1"/>
  <c r="AJ90" i="8"/>
  <c r="AJ91" i="8" s="1"/>
  <c r="AJ130" i="8"/>
  <c r="AJ131" i="8" s="1"/>
  <c r="AJ64" i="8"/>
  <c r="AI55" i="8"/>
  <c r="AI56" i="8"/>
  <c r="AI61" i="8"/>
  <c r="AI62" i="8" s="1"/>
  <c r="AJ59" i="8"/>
  <c r="AJ126" i="8"/>
  <c r="K6" i="8"/>
  <c r="K7" i="8" s="1"/>
  <c r="AJ36" i="8"/>
  <c r="AJ37" i="8" s="1"/>
  <c r="AJ114" i="8"/>
  <c r="AJ115" i="8" s="1"/>
  <c r="AJ56" i="8"/>
  <c r="AJ57" i="8" s="1"/>
  <c r="J76" i="8"/>
  <c r="R76" i="8"/>
  <c r="Z76" i="8"/>
  <c r="S82" i="8"/>
  <c r="T91" i="8"/>
  <c r="AE49" i="8"/>
  <c r="W49" i="8"/>
  <c r="O49" i="8"/>
  <c r="D67" i="8"/>
  <c r="L91" i="8"/>
  <c r="T65" i="8"/>
  <c r="AG71" i="8"/>
  <c r="F133" i="8"/>
  <c r="V133" i="8"/>
  <c r="AD133" i="8"/>
  <c r="D8" i="8"/>
  <c r="D6" i="8" s="1"/>
  <c r="AD49" i="8"/>
  <c r="V49" i="8"/>
  <c r="E67" i="8"/>
  <c r="I5" i="8"/>
  <c r="R57" i="8"/>
  <c r="K82" i="8"/>
  <c r="AB91" i="8"/>
  <c r="M97" i="8"/>
  <c r="AC97" i="8"/>
  <c r="J56" i="8"/>
  <c r="J57" i="8" s="1"/>
  <c r="R71" i="8"/>
  <c r="Z71" i="8"/>
  <c r="W97" i="8"/>
  <c r="AE97" i="8"/>
  <c r="M103" i="8"/>
  <c r="G109" i="8"/>
  <c r="O109" i="8"/>
  <c r="W109" i="8"/>
  <c r="E8" i="8"/>
  <c r="E6" i="8" s="1"/>
  <c r="G5" i="8"/>
  <c r="I65" i="8"/>
  <c r="J62" i="8"/>
  <c r="O37" i="8"/>
  <c r="W37" i="8"/>
  <c r="G138" i="8"/>
  <c r="AI138" i="8" s="1"/>
  <c r="P57" i="8"/>
  <c r="T97" i="8"/>
  <c r="E65" i="8"/>
  <c r="H5" i="8"/>
  <c r="J5" i="8"/>
  <c r="F6" i="8"/>
  <c r="J71" i="8"/>
  <c r="J6" i="8"/>
  <c r="J133" i="8"/>
  <c r="I43" i="8"/>
  <c r="I49" i="8"/>
  <c r="I6" i="8"/>
  <c r="H49" i="8"/>
  <c r="H127" i="8"/>
  <c r="H65" i="8"/>
  <c r="H62" i="8"/>
  <c r="H56" i="8"/>
  <c r="H57" i="8" s="1"/>
  <c r="H6" i="8"/>
  <c r="H97" i="8"/>
  <c r="G49" i="8"/>
  <c r="K127" i="8"/>
  <c r="S127" i="8"/>
  <c r="AA127" i="8"/>
  <c r="G37" i="8"/>
  <c r="G65" i="8"/>
  <c r="G62" i="8"/>
  <c r="G6" i="8"/>
  <c r="G7" i="8" s="1"/>
  <c r="F49" i="8"/>
  <c r="F76" i="8"/>
  <c r="S56" i="8"/>
  <c r="S57" i="8" s="1"/>
  <c r="Z65" i="8"/>
  <c r="K56" i="8"/>
  <c r="K57" i="8" s="1"/>
  <c r="G56" i="8"/>
  <c r="G57" i="8" s="1"/>
  <c r="O56" i="8"/>
  <c r="O57" i="8" s="1"/>
  <c r="W57" i="8"/>
  <c r="F62" i="8"/>
  <c r="F82" i="8"/>
  <c r="AI114" i="8"/>
  <c r="AI48" i="8"/>
  <c r="E97" i="8"/>
  <c r="E56" i="8"/>
  <c r="E57" i="8" s="1"/>
  <c r="E5" i="8"/>
  <c r="Q91" i="8"/>
  <c r="Y91" i="8"/>
  <c r="AG91" i="8"/>
  <c r="AC43" i="8"/>
  <c r="G13" i="8"/>
  <c r="W13" i="8"/>
  <c r="K31" i="8"/>
  <c r="S31" i="8"/>
  <c r="AA31" i="8"/>
  <c r="F43" i="8"/>
  <c r="V43" i="8"/>
  <c r="AD43" i="8"/>
  <c r="Q115" i="8"/>
  <c r="AG115" i="8"/>
  <c r="L57" i="8"/>
  <c r="T57" i="8"/>
  <c r="AF109" i="8"/>
  <c r="AI113" i="8"/>
  <c r="O133" i="8"/>
  <c r="M43" i="8"/>
  <c r="AI47" i="8"/>
  <c r="L76" i="8"/>
  <c r="T76" i="8"/>
  <c r="AB76" i="8"/>
  <c r="I109" i="8"/>
  <c r="Q109" i="8"/>
  <c r="Y109" i="8"/>
  <c r="AG109" i="8"/>
  <c r="AB13" i="8"/>
  <c r="J103" i="8"/>
  <c r="I127" i="8"/>
  <c r="Q127" i="8"/>
  <c r="Y127" i="8"/>
  <c r="AG127" i="8"/>
  <c r="K133" i="8"/>
  <c r="T13" i="8"/>
  <c r="R37" i="8"/>
  <c r="L43" i="8"/>
  <c r="Z57" i="8"/>
  <c r="V115" i="8"/>
  <c r="D57" i="8"/>
  <c r="D65" i="8"/>
  <c r="D43" i="8"/>
  <c r="D76" i="8"/>
  <c r="D91" i="8"/>
  <c r="F103" i="8"/>
  <c r="D133" i="8"/>
  <c r="AA109" i="8"/>
  <c r="D109" i="8"/>
  <c r="L109" i="8"/>
  <c r="T109" i="8"/>
  <c r="AB109" i="8"/>
  <c r="AE109" i="8"/>
  <c r="P109" i="8"/>
  <c r="X109" i="8"/>
  <c r="E103" i="8"/>
  <c r="J115" i="8"/>
  <c r="R115" i="8"/>
  <c r="Z115" i="8"/>
  <c r="F115" i="8"/>
  <c r="AD115" i="8"/>
  <c r="I115" i="8"/>
  <c r="Y115" i="8"/>
  <c r="K109" i="8"/>
  <c r="S109" i="8"/>
  <c r="F109" i="8"/>
  <c r="V109" i="8"/>
  <c r="AD109" i="8"/>
  <c r="H109" i="8"/>
  <c r="F121" i="8"/>
  <c r="V121" i="8"/>
  <c r="AD121" i="8"/>
  <c r="O121" i="8"/>
  <c r="AE121" i="8"/>
  <c r="AI120" i="8"/>
  <c r="AI121" i="8" s="1"/>
  <c r="K121" i="8"/>
  <c r="S121" i="8"/>
  <c r="AA121" i="8"/>
  <c r="G121" i="8"/>
  <c r="W121" i="8"/>
  <c r="H121" i="8"/>
  <c r="P121" i="8"/>
  <c r="X121" i="8"/>
  <c r="AF121" i="8"/>
  <c r="D121" i="8"/>
  <c r="L121" i="8"/>
  <c r="T121" i="8"/>
  <c r="AB121" i="8"/>
  <c r="W127" i="8"/>
  <c r="AE127" i="8"/>
  <c r="D127" i="8"/>
  <c r="L127" i="8"/>
  <c r="T127" i="8"/>
  <c r="AB127" i="8"/>
  <c r="E127" i="8"/>
  <c r="M127" i="8"/>
  <c r="AC127" i="8"/>
  <c r="F127" i="8"/>
  <c r="V127" i="8"/>
  <c r="AD127" i="8"/>
  <c r="J127" i="8"/>
  <c r="R127" i="8"/>
  <c r="Z127" i="8"/>
  <c r="Y133" i="8"/>
  <c r="Q133" i="8"/>
  <c r="I133" i="8"/>
  <c r="G133" i="8"/>
  <c r="W133" i="8"/>
  <c r="AE133" i="8"/>
  <c r="H133" i="8"/>
  <c r="P133" i="8"/>
  <c r="X133" i="8"/>
  <c r="AF133" i="8"/>
  <c r="AJ141" i="8"/>
  <c r="E121" i="8"/>
  <c r="M121" i="8"/>
  <c r="AC121" i="8"/>
  <c r="E133" i="8"/>
  <c r="M133" i="8"/>
  <c r="AC133" i="8"/>
  <c r="E22" i="8"/>
  <c r="M22" i="8"/>
  <c r="AC22" i="8"/>
  <c r="J43" i="8"/>
  <c r="R43" i="8"/>
  <c r="Z43" i="8"/>
  <c r="T43" i="8"/>
  <c r="H71" i="8"/>
  <c r="P71" i="8"/>
  <c r="X71" i="8"/>
  <c r="AF71" i="8"/>
  <c r="G76" i="8"/>
  <c r="O76" i="8"/>
  <c r="W76" i="8"/>
  <c r="AE76" i="8"/>
  <c r="J82" i="8"/>
  <c r="R82" i="8"/>
  <c r="Z82" i="8"/>
  <c r="I91" i="8"/>
  <c r="L103" i="8"/>
  <c r="G115" i="8"/>
  <c r="O115" i="8"/>
  <c r="W115" i="8"/>
  <c r="AE115" i="8"/>
  <c r="H115" i="8"/>
  <c r="P115" i="8"/>
  <c r="X115" i="8"/>
  <c r="AF115" i="8"/>
  <c r="E13" i="8"/>
  <c r="M13" i="8"/>
  <c r="AC13" i="8"/>
  <c r="O13" i="8"/>
  <c r="AE13" i="8"/>
  <c r="J37" i="8"/>
  <c r="Z37" i="8"/>
  <c r="F57" i="8"/>
  <c r="G71" i="8"/>
  <c r="W71" i="8"/>
  <c r="I71" i="8"/>
  <c r="Q71" i="8"/>
  <c r="AI105" i="8"/>
  <c r="J109" i="8"/>
  <c r="R109" i="8"/>
  <c r="Z109" i="8"/>
  <c r="AI108" i="8"/>
  <c r="AI109" i="8" s="1"/>
  <c r="Q22" i="8"/>
  <c r="Y22" i="8"/>
  <c r="AG22" i="8"/>
  <c r="E91" i="8"/>
  <c r="M91" i="8"/>
  <c r="AC91" i="8"/>
  <c r="AI129" i="8"/>
  <c r="AI132" i="8"/>
  <c r="AI133" i="8" s="1"/>
  <c r="F5" i="8"/>
  <c r="H43" i="8"/>
  <c r="P43" i="8"/>
  <c r="X43" i="8"/>
  <c r="AE57" i="8"/>
  <c r="M76" i="8"/>
  <c r="O97" i="8"/>
  <c r="AI111" i="8"/>
  <c r="K115" i="8"/>
  <c r="S115" i="8"/>
  <c r="AA115" i="8"/>
  <c r="J121" i="8"/>
  <c r="R121" i="8"/>
  <c r="Z121" i="8"/>
  <c r="S133" i="8"/>
  <c r="AA133" i="8"/>
  <c r="I13" i="8"/>
  <c r="Q13" i="8"/>
  <c r="Y13" i="8"/>
  <c r="AG13" i="8"/>
  <c r="J22" i="8"/>
  <c r="R22" i="8"/>
  <c r="Z22" i="8"/>
  <c r="D31" i="8"/>
  <c r="L31" i="8"/>
  <c r="T31" i="8"/>
  <c r="AB31" i="8"/>
  <c r="F91" i="8"/>
  <c r="V91" i="8"/>
  <c r="AD91" i="8"/>
  <c r="H91" i="8"/>
  <c r="P91" i="8"/>
  <c r="X91" i="8"/>
  <c r="AF91" i="8"/>
  <c r="D115" i="8"/>
  <c r="L115" i="8"/>
  <c r="T115" i="8"/>
  <c r="AB115" i="8"/>
  <c r="E115" i="8"/>
  <c r="M115" i="8"/>
  <c r="AC115" i="8"/>
  <c r="AI117" i="8"/>
  <c r="AI135" i="8"/>
  <c r="K103" i="8"/>
  <c r="I103" i="8"/>
  <c r="AG103" i="8"/>
  <c r="J97" i="8"/>
  <c r="R97" i="8"/>
  <c r="Z97" i="8"/>
  <c r="D97" i="8"/>
  <c r="L97" i="8"/>
  <c r="AB97" i="8"/>
  <c r="G97" i="8"/>
  <c r="AI96" i="8"/>
  <c r="AI97" i="8" s="1"/>
  <c r="K97" i="8"/>
  <c r="S97" i="8"/>
  <c r="AA97" i="8"/>
  <c r="F97" i="8"/>
  <c r="V97" i="8"/>
  <c r="AD97" i="8"/>
  <c r="AI90" i="8"/>
  <c r="O91" i="8"/>
  <c r="AE91" i="8"/>
  <c r="J91" i="8"/>
  <c r="R91" i="8"/>
  <c r="Z91" i="8"/>
  <c r="AI89" i="8"/>
  <c r="W91" i="8"/>
  <c r="G91" i="8"/>
  <c r="H82" i="8"/>
  <c r="P82" i="8"/>
  <c r="X82" i="8"/>
  <c r="AF82" i="8"/>
  <c r="I82" i="8"/>
  <c r="Q82" i="8"/>
  <c r="Y82" i="8"/>
  <c r="AG82" i="8"/>
  <c r="AA82" i="8"/>
  <c r="G82" i="8"/>
  <c r="O82" i="8"/>
  <c r="W82" i="8"/>
  <c r="AE82" i="8"/>
  <c r="V82" i="8"/>
  <c r="AD82" i="8"/>
  <c r="AI81" i="8"/>
  <c r="AI82" i="8" s="1"/>
  <c r="E76" i="8"/>
  <c r="AC76" i="8"/>
  <c r="X76" i="8"/>
  <c r="AF76" i="8"/>
  <c r="K76" i="8"/>
  <c r="S76" i="8"/>
  <c r="AA76" i="8"/>
  <c r="I76" i="8"/>
  <c r="Q76" i="8"/>
  <c r="Y76" i="8"/>
  <c r="AG76" i="8"/>
  <c r="H76" i="8"/>
  <c r="L71" i="8"/>
  <c r="AB71" i="8"/>
  <c r="D71" i="8"/>
  <c r="T71" i="8"/>
  <c r="Y71" i="8"/>
  <c r="E71" i="8"/>
  <c r="O71" i="8"/>
  <c r="AE71" i="8"/>
  <c r="M71" i="8"/>
  <c r="AD71" i="8"/>
  <c r="AI70" i="8"/>
  <c r="AI71" i="8" s="1"/>
  <c r="V71" i="8"/>
  <c r="K71" i="8"/>
  <c r="S71" i="8"/>
  <c r="AA71" i="8"/>
  <c r="AC71" i="8"/>
  <c r="F71" i="8"/>
  <c r="I57" i="8"/>
  <c r="AD57" i="8"/>
  <c r="AF57" i="8"/>
  <c r="AB65" i="8"/>
  <c r="AG57" i="8"/>
  <c r="AB57" i="8"/>
  <c r="Y57" i="8"/>
  <c r="AA57" i="8"/>
  <c r="AC57" i="8"/>
  <c r="AE37" i="8"/>
  <c r="AI42" i="8"/>
  <c r="AF43" i="8"/>
  <c r="K43" i="8"/>
  <c r="S43" i="8"/>
  <c r="AA43" i="8"/>
  <c r="E43" i="8"/>
  <c r="AB43" i="8"/>
  <c r="G43" i="8"/>
  <c r="O43" i="8"/>
  <c r="W43" i="8"/>
  <c r="AE43" i="8"/>
  <c r="E37" i="8"/>
  <c r="M37" i="8"/>
  <c r="AC37" i="8"/>
  <c r="V37" i="8"/>
  <c r="I37" i="8"/>
  <c r="Q37" i="8"/>
  <c r="Y37" i="8"/>
  <c r="AG37" i="8"/>
  <c r="H37" i="8"/>
  <c r="P37" i="8"/>
  <c r="X37" i="8"/>
  <c r="AF37" i="8"/>
  <c r="K37" i="8"/>
  <c r="S37" i="8"/>
  <c r="AA37" i="8"/>
  <c r="F37" i="8"/>
  <c r="AD37" i="8"/>
  <c r="F31" i="8"/>
  <c r="V31" i="8"/>
  <c r="AD31" i="8"/>
  <c r="H31" i="8"/>
  <c r="P31" i="8"/>
  <c r="X31" i="8"/>
  <c r="AF31" i="8"/>
  <c r="I31" i="8"/>
  <c r="Q31" i="8"/>
  <c r="Y31" i="8"/>
  <c r="AG31" i="8"/>
  <c r="G31" i="8"/>
  <c r="J31" i="8"/>
  <c r="R31" i="8"/>
  <c r="Z31" i="8"/>
  <c r="AI30" i="8"/>
  <c r="AI31" i="8" s="1"/>
  <c r="O31" i="8"/>
  <c r="W31" i="8"/>
  <c r="AE31" i="8"/>
  <c r="I22" i="8"/>
  <c r="D22" i="8"/>
  <c r="L22" i="8"/>
  <c r="G22" i="8"/>
  <c r="O22" i="8"/>
  <c r="W22" i="8"/>
  <c r="AE22" i="8"/>
  <c r="H22" i="8"/>
  <c r="P22" i="8"/>
  <c r="X22" i="8"/>
  <c r="AF22" i="8"/>
  <c r="AI21" i="8"/>
  <c r="AI22" i="8" s="1"/>
  <c r="T22" i="8"/>
  <c r="AB22" i="8"/>
  <c r="AI12" i="8"/>
  <c r="K13" i="8"/>
  <c r="L13" i="8"/>
  <c r="J13" i="8"/>
  <c r="R13" i="8"/>
  <c r="Z13" i="8"/>
  <c r="AI11" i="8"/>
  <c r="H13" i="8"/>
  <c r="P13" i="8"/>
  <c r="X13" i="8"/>
  <c r="AF13" i="8"/>
  <c r="AI9" i="8"/>
  <c r="AI53" i="8"/>
  <c r="AI52" i="8"/>
  <c r="F22" i="8"/>
  <c r="V22" i="8"/>
  <c r="AD22" i="8"/>
  <c r="AI41" i="8"/>
  <c r="AE65" i="8"/>
  <c r="AI99" i="8"/>
  <c r="E109" i="8"/>
  <c r="M109" i="8"/>
  <c r="AC109" i="8"/>
  <c r="I121" i="8"/>
  <c r="Q121" i="8"/>
  <c r="Y121" i="8"/>
  <c r="AG121" i="8"/>
  <c r="AI125" i="8"/>
  <c r="AI126" i="8"/>
  <c r="D5" i="8"/>
  <c r="AG65" i="8"/>
  <c r="I97" i="8"/>
  <c r="Q97" i="8"/>
  <c r="Y97" i="8"/>
  <c r="AG97" i="8"/>
  <c r="AI101" i="8"/>
  <c r="AI102" i="8"/>
  <c r="AD65" i="8"/>
  <c r="E31" i="8"/>
  <c r="M31" i="8"/>
  <c r="AC31" i="8"/>
  <c r="E82" i="8"/>
  <c r="M82" i="8"/>
  <c r="AC82" i="8"/>
  <c r="AI4" i="8"/>
  <c r="AI64" i="8"/>
  <c r="AJ136" i="8" s="1"/>
  <c r="AI33" i="8"/>
  <c r="AI35" i="8"/>
  <c r="AI36" i="8"/>
  <c r="AI74" i="8"/>
  <c r="AI75" i="8"/>
  <c r="AI15" i="8"/>
  <c r="L37" i="8"/>
  <c r="T37" i="8"/>
  <c r="AB37" i="8"/>
  <c r="M57" i="8"/>
  <c r="Y65" i="8"/>
  <c r="K91" i="8"/>
  <c r="S91" i="8"/>
  <c r="AA91" i="8"/>
  <c r="G103" i="8"/>
  <c r="AE103" i="8"/>
  <c r="AI123" i="8"/>
  <c r="AA65" i="8"/>
  <c r="AC65" i="8"/>
  <c r="I7" i="8" l="1"/>
  <c r="H7" i="8"/>
  <c r="AJ96" i="8"/>
  <c r="AJ95" i="8"/>
  <c r="AJ61" i="8"/>
  <c r="AJ60" i="8"/>
  <c r="AJ21" i="8"/>
  <c r="AJ20" i="8"/>
  <c r="F7" i="8"/>
  <c r="AJ81" i="8"/>
  <c r="AJ82" i="8" s="1"/>
  <c r="AJ108" i="8"/>
  <c r="AJ109" i="8" s="1"/>
  <c r="M7" i="8"/>
  <c r="AJ49" i="8"/>
  <c r="AI57" i="8"/>
  <c r="AJ132" i="8"/>
  <c r="AJ133" i="8" s="1"/>
  <c r="AJ76" i="8"/>
  <c r="AJ70" i="8"/>
  <c r="AJ71" i="8" s="1"/>
  <c r="AJ30" i="8"/>
  <c r="AJ31" i="8" s="1"/>
  <c r="AJ120" i="8"/>
  <c r="AJ127" i="8"/>
  <c r="AI5" i="8"/>
  <c r="AJ4" i="8"/>
  <c r="AJ5" i="8" s="1"/>
  <c r="J7" i="8"/>
  <c r="AI1" i="8"/>
  <c r="AJ1" i="8" s="1"/>
  <c r="AJ2" i="8" s="1"/>
  <c r="AI49" i="8"/>
  <c r="AI115" i="8"/>
  <c r="AI91" i="8"/>
  <c r="E7" i="8"/>
  <c r="AI43" i="8"/>
  <c r="D7" i="8"/>
  <c r="AI103" i="8"/>
  <c r="AI76" i="8"/>
  <c r="AI13" i="8"/>
  <c r="AI65" i="8"/>
  <c r="AJ65" i="8" s="1"/>
  <c r="AJ66" i="8" s="1"/>
  <c r="AI139" i="8"/>
  <c r="AJ139" i="8" s="1"/>
  <c r="AI37" i="8"/>
  <c r="AI67" i="8"/>
  <c r="AI127" i="8"/>
  <c r="AI8" i="8"/>
  <c r="AC67" i="7"/>
  <c r="AC52" i="7"/>
  <c r="AC45" i="7"/>
  <c r="AC39" i="7"/>
  <c r="AC51" i="7"/>
  <c r="AC15" i="7"/>
  <c r="AC24" i="7"/>
  <c r="AC33" i="7"/>
  <c r="AA129" i="7"/>
  <c r="Z129" i="7"/>
  <c r="Y129" i="7"/>
  <c r="X129" i="7"/>
  <c r="W129" i="7"/>
  <c r="V129" i="7"/>
  <c r="U129" i="7"/>
  <c r="T129" i="7"/>
  <c r="S129" i="7"/>
  <c r="AC84" i="7"/>
  <c r="AC111" i="7"/>
  <c r="AC123" i="7"/>
  <c r="AC129" i="7"/>
  <c r="AC117" i="7"/>
  <c r="AC135" i="7"/>
  <c r="AC99" i="7"/>
  <c r="AC78" i="7"/>
  <c r="AC105" i="7"/>
  <c r="AC93" i="7"/>
  <c r="AB84" i="7"/>
  <c r="AB129" i="7"/>
  <c r="AB111" i="7"/>
  <c r="AB123" i="7"/>
  <c r="AB117" i="7"/>
  <c r="AB135" i="7"/>
  <c r="AB99" i="7"/>
  <c r="AB78" i="7"/>
  <c r="AB105" i="7"/>
  <c r="AB93" i="7"/>
  <c r="AA84" i="7"/>
  <c r="AA111" i="7"/>
  <c r="AA123" i="7"/>
  <c r="AA117" i="7"/>
  <c r="AA135" i="7"/>
  <c r="AA99" i="7"/>
  <c r="AA78" i="7"/>
  <c r="AA105" i="7"/>
  <c r="AA93" i="7"/>
  <c r="Z84" i="7"/>
  <c r="Z111" i="7"/>
  <c r="Z123" i="7"/>
  <c r="Z117" i="7"/>
  <c r="Z135" i="7"/>
  <c r="Z99" i="7"/>
  <c r="Z78" i="7"/>
  <c r="Z105" i="7"/>
  <c r="Y84" i="7"/>
  <c r="Y111" i="7"/>
  <c r="Y123" i="7"/>
  <c r="Y117" i="7"/>
  <c r="Y135" i="7"/>
  <c r="Y99" i="7"/>
  <c r="Y78" i="7"/>
  <c r="Y105" i="7"/>
  <c r="Z93" i="7"/>
  <c r="Y93" i="7"/>
  <c r="Z52" i="7"/>
  <c r="Z53" i="7" s="1"/>
  <c r="Z45" i="7"/>
  <c r="Z39" i="7"/>
  <c r="Z51" i="7"/>
  <c r="Z15" i="7"/>
  <c r="Z24" i="7"/>
  <c r="Z33" i="7"/>
  <c r="Y52" i="7"/>
  <c r="Y45" i="7"/>
  <c r="Y39" i="7"/>
  <c r="Y51" i="7"/>
  <c r="Y15" i="7"/>
  <c r="Y24" i="7"/>
  <c r="Y33" i="7"/>
  <c r="AA52" i="7"/>
  <c r="AA45" i="7"/>
  <c r="AA39" i="7"/>
  <c r="AA51" i="7"/>
  <c r="AA15" i="7"/>
  <c r="AA24" i="7"/>
  <c r="AA33" i="7"/>
  <c r="AB52" i="7"/>
  <c r="AB45" i="7"/>
  <c r="AB39" i="7"/>
  <c r="AB51" i="7"/>
  <c r="AB15" i="7"/>
  <c r="AB24" i="7"/>
  <c r="AB33" i="7"/>
  <c r="AC139" i="7"/>
  <c r="AC66" i="7"/>
  <c r="AB139" i="7"/>
  <c r="AB61" i="7"/>
  <c r="AC61" i="7"/>
  <c r="AD61" i="7"/>
  <c r="AE61" i="7"/>
  <c r="AF61" i="7"/>
  <c r="AG61" i="7"/>
  <c r="AB66" i="7"/>
  <c r="AB67" i="7" s="1"/>
  <c r="AA66" i="7"/>
  <c r="AA67" i="7" s="1"/>
  <c r="AA113" i="7"/>
  <c r="Z66" i="7"/>
  <c r="Z67" i="7" s="1"/>
  <c r="A4" i="7"/>
  <c r="AC5" i="7" s="1"/>
  <c r="Y139" i="7"/>
  <c r="Y61" i="7"/>
  <c r="Z61" i="7"/>
  <c r="AA61" i="7"/>
  <c r="Y66" i="7"/>
  <c r="Y67" i="7" s="1"/>
  <c r="X84" i="7"/>
  <c r="X111" i="7"/>
  <c r="X123" i="7"/>
  <c r="X117" i="7"/>
  <c r="X135" i="7"/>
  <c r="X99" i="7"/>
  <c r="X78" i="7"/>
  <c r="X105" i="7"/>
  <c r="X93" i="7"/>
  <c r="P84" i="7"/>
  <c r="Q84" i="7"/>
  <c r="R84" i="7"/>
  <c r="S84" i="7"/>
  <c r="T84" i="7"/>
  <c r="U84" i="7"/>
  <c r="V84" i="7"/>
  <c r="W84" i="7"/>
  <c r="W111" i="7"/>
  <c r="W123" i="7"/>
  <c r="V111" i="7"/>
  <c r="V123" i="7"/>
  <c r="U111" i="7"/>
  <c r="U123" i="7"/>
  <c r="T111" i="7"/>
  <c r="T123" i="7"/>
  <c r="S111" i="7"/>
  <c r="S123" i="7"/>
  <c r="P129" i="7"/>
  <c r="R111" i="7"/>
  <c r="R123" i="7"/>
  <c r="R129" i="7"/>
  <c r="Q111" i="7"/>
  <c r="Q123" i="7"/>
  <c r="P111" i="7"/>
  <c r="P123" i="7"/>
  <c r="P117" i="7"/>
  <c r="Q117" i="7"/>
  <c r="R117" i="7"/>
  <c r="S117" i="7"/>
  <c r="T117" i="7"/>
  <c r="U117" i="7"/>
  <c r="V117" i="7"/>
  <c r="W117" i="7"/>
  <c r="W135" i="7"/>
  <c r="V135" i="7"/>
  <c r="U135" i="7"/>
  <c r="T135" i="7"/>
  <c r="S135" i="7"/>
  <c r="R135" i="7"/>
  <c r="Q135" i="7"/>
  <c r="P135" i="7"/>
  <c r="P99" i="7"/>
  <c r="Q99" i="7"/>
  <c r="R99" i="7"/>
  <c r="S99" i="7"/>
  <c r="T99" i="7"/>
  <c r="U99" i="7"/>
  <c r="V99" i="7"/>
  <c r="W99" i="7"/>
  <c r="W78" i="7"/>
  <c r="V78" i="7"/>
  <c r="U78" i="7"/>
  <c r="T78" i="7"/>
  <c r="S78" i="7"/>
  <c r="R78" i="7"/>
  <c r="Q78" i="7"/>
  <c r="P78" i="7"/>
  <c r="P105" i="7"/>
  <c r="Q105" i="7"/>
  <c r="R105" i="7"/>
  <c r="S105" i="7"/>
  <c r="T105" i="7"/>
  <c r="U105" i="7"/>
  <c r="V105" i="7"/>
  <c r="W105" i="7"/>
  <c r="W93" i="7"/>
  <c r="V93" i="7"/>
  <c r="U93" i="7"/>
  <c r="T93" i="7"/>
  <c r="S93" i="7"/>
  <c r="R93" i="7"/>
  <c r="Q93" i="7"/>
  <c r="P93" i="7"/>
  <c r="X52" i="7"/>
  <c r="X53" i="7" s="1"/>
  <c r="X45" i="7"/>
  <c r="X39" i="7"/>
  <c r="X51" i="7"/>
  <c r="X15" i="7"/>
  <c r="X24" i="7"/>
  <c r="X33" i="7"/>
  <c r="AA9" i="7" l="1"/>
  <c r="AB9" i="7"/>
  <c r="T5" i="7"/>
  <c r="AA139" i="7"/>
  <c r="AB62" i="7"/>
  <c r="AD5" i="7"/>
  <c r="AF5" i="7"/>
  <c r="AE5" i="7"/>
  <c r="Z139" i="7"/>
  <c r="AA5" i="7"/>
  <c r="AB5" i="7"/>
  <c r="AJ97" i="8"/>
  <c r="AJ62" i="8"/>
  <c r="AJ22" i="8"/>
  <c r="AJ121" i="8"/>
  <c r="AI6" i="8"/>
  <c r="AI7" i="8" s="1"/>
  <c r="AJ8" i="8"/>
  <c r="AJ6" i="8" s="1"/>
  <c r="AJ7" i="8" s="1"/>
  <c r="AJ138" i="8"/>
  <c r="AC9" i="7"/>
  <c r="Y9" i="7"/>
  <c r="X66" i="7"/>
  <c r="X55" i="7"/>
  <c r="Y55" i="7"/>
  <c r="Z55" i="7"/>
  <c r="AA55" i="7"/>
  <c r="AB55" i="7"/>
  <c r="AC55" i="7"/>
  <c r="AD55" i="7"/>
  <c r="AE55" i="7"/>
  <c r="AF55" i="7"/>
  <c r="AG55" i="7"/>
  <c r="X56" i="7"/>
  <c r="Y60" i="7"/>
  <c r="Y62" i="7" s="1"/>
  <c r="Z60" i="7"/>
  <c r="Z62" i="7" s="1"/>
  <c r="AA60" i="7"/>
  <c r="AA62" i="7" s="1"/>
  <c r="AB60" i="7"/>
  <c r="AC60" i="7"/>
  <c r="AC62" i="7" s="1"/>
  <c r="AD60" i="7"/>
  <c r="AD62" i="7" s="1"/>
  <c r="AE60" i="7"/>
  <c r="AE62" i="7" s="1"/>
  <c r="AF60" i="7"/>
  <c r="AF62" i="7" s="1"/>
  <c r="AG60" i="7"/>
  <c r="AG62" i="7" s="1"/>
  <c r="X60" i="7"/>
  <c r="Y64" i="7"/>
  <c r="Z64" i="7"/>
  <c r="AA64" i="7"/>
  <c r="AB64" i="7"/>
  <c r="AC64" i="7"/>
  <c r="AD64" i="7"/>
  <c r="AE64" i="7"/>
  <c r="AF64" i="7"/>
  <c r="AG64" i="7"/>
  <c r="X64" i="7"/>
  <c r="X8" i="7" s="1"/>
  <c r="X61" i="7"/>
  <c r="AI59" i="7"/>
  <c r="AI60" i="7" s="1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D61" i="7"/>
  <c r="D60" i="7"/>
  <c r="W139" i="7"/>
  <c r="W8" i="7"/>
  <c r="V8" i="7"/>
  <c r="V52" i="7"/>
  <c r="V45" i="7"/>
  <c r="V39" i="7"/>
  <c r="V51" i="7"/>
  <c r="V24" i="7"/>
  <c r="V33" i="7"/>
  <c r="V139" i="7"/>
  <c r="I84" i="7"/>
  <c r="I111" i="7"/>
  <c r="I123" i="7"/>
  <c r="I129" i="7"/>
  <c r="I117" i="7"/>
  <c r="I135" i="7"/>
  <c r="I99" i="7"/>
  <c r="I78" i="7"/>
  <c r="I105" i="7"/>
  <c r="I93" i="7"/>
  <c r="R52" i="7"/>
  <c r="R45" i="7"/>
  <c r="R39" i="7"/>
  <c r="R51" i="7"/>
  <c r="R15" i="7"/>
  <c r="R9" i="7" s="1"/>
  <c r="R24" i="7"/>
  <c r="R33" i="7"/>
  <c r="S52" i="7"/>
  <c r="S45" i="7"/>
  <c r="S39" i="7"/>
  <c r="S51" i="7"/>
  <c r="S15" i="7"/>
  <c r="S24" i="7"/>
  <c r="S33" i="7"/>
  <c r="T52" i="7"/>
  <c r="T45" i="7"/>
  <c r="T39" i="7"/>
  <c r="T51" i="7"/>
  <c r="T15" i="7"/>
  <c r="T24" i="7"/>
  <c r="T33" i="7"/>
  <c r="U52" i="7"/>
  <c r="U53" i="7" s="1"/>
  <c r="U45" i="7"/>
  <c r="U39" i="7"/>
  <c r="U51" i="7"/>
  <c r="U15" i="7"/>
  <c r="U24" i="7"/>
  <c r="U33" i="7"/>
  <c r="U139" i="7"/>
  <c r="S139" i="7"/>
  <c r="S8" i="7"/>
  <c r="T8" i="7"/>
  <c r="U8" i="7"/>
  <c r="R139" i="7"/>
  <c r="R8" i="7"/>
  <c r="Q52" i="7"/>
  <c r="Q53" i="7" s="1"/>
  <c r="Q45" i="7"/>
  <c r="Q39" i="7"/>
  <c r="Q51" i="7"/>
  <c r="Q15" i="7"/>
  <c r="Q24" i="7"/>
  <c r="Q33" i="7"/>
  <c r="Q139" i="7"/>
  <c r="O84" i="7"/>
  <c r="O111" i="7"/>
  <c r="O123" i="7"/>
  <c r="O129" i="7"/>
  <c r="O117" i="7"/>
  <c r="O135" i="7"/>
  <c r="O99" i="7"/>
  <c r="O78" i="7"/>
  <c r="O105" i="7"/>
  <c r="O93" i="7"/>
  <c r="N84" i="7"/>
  <c r="N111" i="7"/>
  <c r="N123" i="7"/>
  <c r="N129" i="7"/>
  <c r="N117" i="7"/>
  <c r="N135" i="7"/>
  <c r="N99" i="7"/>
  <c r="N78" i="7"/>
  <c r="N105" i="7"/>
  <c r="N93" i="7"/>
  <c r="M84" i="7"/>
  <c r="M111" i="7"/>
  <c r="M123" i="7"/>
  <c r="M129" i="7"/>
  <c r="M117" i="7"/>
  <c r="M135" i="7"/>
  <c r="M99" i="7"/>
  <c r="M78" i="7"/>
  <c r="M105" i="7"/>
  <c r="M93" i="7"/>
  <c r="L84" i="7"/>
  <c r="L111" i="7"/>
  <c r="L123" i="7"/>
  <c r="L129" i="7"/>
  <c r="L117" i="7"/>
  <c r="L135" i="7"/>
  <c r="L99" i="7"/>
  <c r="L78" i="7"/>
  <c r="L105" i="7"/>
  <c r="L93" i="7"/>
  <c r="K84" i="7"/>
  <c r="K111" i="7"/>
  <c r="K123" i="7"/>
  <c r="K117" i="7"/>
  <c r="K135" i="7"/>
  <c r="K99" i="7"/>
  <c r="K78" i="7"/>
  <c r="K105" i="7"/>
  <c r="K93" i="7"/>
  <c r="J84" i="7"/>
  <c r="J111" i="7"/>
  <c r="J123" i="7"/>
  <c r="J129" i="7"/>
  <c r="J117" i="7"/>
  <c r="J135" i="7"/>
  <c r="J99" i="7"/>
  <c r="J78" i="7"/>
  <c r="J105" i="7"/>
  <c r="J93" i="7"/>
  <c r="H84" i="7"/>
  <c r="H111" i="7"/>
  <c r="H123" i="7"/>
  <c r="H129" i="7"/>
  <c r="H117" i="7"/>
  <c r="H135" i="7"/>
  <c r="H99" i="7"/>
  <c r="H78" i="7"/>
  <c r="H105" i="7"/>
  <c r="H93" i="7"/>
  <c r="O39" i="7"/>
  <c r="N39" i="7"/>
  <c r="M39" i="7"/>
  <c r="L39" i="7"/>
  <c r="X139" i="7" l="1"/>
  <c r="X67" i="7"/>
  <c r="X9" i="7" s="1"/>
  <c r="Z65" i="7"/>
  <c r="Z8" i="7"/>
  <c r="AG65" i="7"/>
  <c r="AG8" i="7"/>
  <c r="AD65" i="7"/>
  <c r="AD8" i="7"/>
  <c r="AD6" i="7" s="1"/>
  <c r="AD7" i="7" s="1"/>
  <c r="AF65" i="7"/>
  <c r="AF8" i="7"/>
  <c r="AF6" i="7" s="1"/>
  <c r="AF7" i="7" s="1"/>
  <c r="AE65" i="7"/>
  <c r="AE8" i="7"/>
  <c r="AE6" i="7" s="1"/>
  <c r="AE7" i="7" s="1"/>
  <c r="AC65" i="7"/>
  <c r="AC8" i="7"/>
  <c r="AC6" i="7" s="1"/>
  <c r="AC7" i="7" s="1"/>
  <c r="AB65" i="7"/>
  <c r="AB8" i="7"/>
  <c r="AB6" i="7" s="1"/>
  <c r="AB7" i="7" s="1"/>
  <c r="AA65" i="7"/>
  <c r="AA8" i="7"/>
  <c r="AA6" i="7" s="1"/>
  <c r="AA7" i="7" s="1"/>
  <c r="Y65" i="7"/>
  <c r="Y8" i="7"/>
  <c r="V62" i="7"/>
  <c r="N62" i="7"/>
  <c r="U62" i="7"/>
  <c r="M62" i="7"/>
  <c r="T62" i="7"/>
  <c r="L62" i="7"/>
  <c r="S62" i="7"/>
  <c r="K62" i="7"/>
  <c r="R62" i="7"/>
  <c r="J62" i="7"/>
  <c r="X65" i="7"/>
  <c r="Q62" i="7"/>
  <c r="I62" i="7"/>
  <c r="P62" i="7"/>
  <c r="O62" i="7"/>
  <c r="W62" i="7"/>
  <c r="X57" i="7"/>
  <c r="X62" i="7"/>
  <c r="Q9" i="7"/>
  <c r="Q8" i="7"/>
  <c r="T139" i="7"/>
  <c r="U6" i="7"/>
  <c r="T6" i="7"/>
  <c r="S6" i="7"/>
  <c r="P52" i="7"/>
  <c r="P45" i="7"/>
  <c r="P39" i="7"/>
  <c r="P51" i="7"/>
  <c r="P15" i="7"/>
  <c r="P24" i="7"/>
  <c r="P33" i="7"/>
  <c r="G84" i="7"/>
  <c r="F84" i="7"/>
  <c r="E84" i="7"/>
  <c r="D84" i="7"/>
  <c r="L80" i="7"/>
  <c r="O45" i="7"/>
  <c r="N45" i="7"/>
  <c r="M45" i="7"/>
  <c r="L45" i="7"/>
  <c r="O33" i="7"/>
  <c r="N33" i="7"/>
  <c r="M33" i="7"/>
  <c r="L33" i="7"/>
  <c r="O24" i="7"/>
  <c r="N24" i="7"/>
  <c r="M24" i="7"/>
  <c r="L24" i="7"/>
  <c r="L15" i="7"/>
  <c r="O15" i="7"/>
  <c r="N15" i="7"/>
  <c r="M15" i="7"/>
  <c r="P8" i="7" l="1"/>
  <c r="O139" i="7"/>
  <c r="O8" i="7"/>
  <c r="P139" i="7" l="1"/>
  <c r="P6" i="7"/>
  <c r="N132" i="7"/>
  <c r="N131" i="7"/>
  <c r="N126" i="7"/>
  <c r="N125" i="7"/>
  <c r="N120" i="7"/>
  <c r="N119" i="7"/>
  <c r="N114" i="7"/>
  <c r="N113" i="7"/>
  <c r="N108" i="7"/>
  <c r="N107" i="7"/>
  <c r="N102" i="7"/>
  <c r="N101" i="7"/>
  <c r="N96" i="7"/>
  <c r="N95" i="7"/>
  <c r="N90" i="7"/>
  <c r="N89" i="7"/>
  <c r="N81" i="7"/>
  <c r="N80" i="7"/>
  <c r="N75" i="7"/>
  <c r="N74" i="7"/>
  <c r="N70" i="7"/>
  <c r="N69" i="7"/>
  <c r="N48" i="7"/>
  <c r="N47" i="7"/>
  <c r="N42" i="7"/>
  <c r="N41" i="7"/>
  <c r="N36" i="7"/>
  <c r="N35" i="7"/>
  <c r="N30" i="7"/>
  <c r="N29" i="7"/>
  <c r="N21" i="7"/>
  <c r="N20" i="7"/>
  <c r="N12" i="7"/>
  <c r="N11" i="7"/>
  <c r="N9" i="7"/>
  <c r="N8" i="7"/>
  <c r="G93" i="7"/>
  <c r="G105" i="7"/>
  <c r="G78" i="7"/>
  <c r="G99" i="7"/>
  <c r="E93" i="7"/>
  <c r="F93" i="7"/>
  <c r="F105" i="7"/>
  <c r="F78" i="7"/>
  <c r="F99" i="7"/>
  <c r="E105" i="7"/>
  <c r="E78" i="7"/>
  <c r="E99" i="7"/>
  <c r="G135" i="7"/>
  <c r="G117" i="7"/>
  <c r="G123" i="7"/>
  <c r="G111" i="7"/>
  <c r="F135" i="7"/>
  <c r="F117" i="7"/>
  <c r="F111" i="7"/>
  <c r="E135" i="7"/>
  <c r="E117" i="7"/>
  <c r="E129" i="7"/>
  <c r="E111" i="7"/>
  <c r="F123" i="7"/>
  <c r="E123" i="7"/>
  <c r="D111" i="7"/>
  <c r="D123" i="7"/>
  <c r="D129" i="7"/>
  <c r="D117" i="7"/>
  <c r="D135" i="7"/>
  <c r="D99" i="7"/>
  <c r="D78" i="7"/>
  <c r="D105" i="7"/>
  <c r="D93" i="7"/>
  <c r="D52" i="7"/>
  <c r="D53" i="7" s="1"/>
  <c r="D45" i="7"/>
  <c r="D39" i="7"/>
  <c r="D51" i="7"/>
  <c r="D15" i="7"/>
  <c r="D24" i="7"/>
  <c r="D33" i="7"/>
  <c r="E52" i="7"/>
  <c r="E45" i="7"/>
  <c r="E39" i="7"/>
  <c r="E51" i="7"/>
  <c r="E15" i="7"/>
  <c r="E24" i="7"/>
  <c r="E33" i="7"/>
  <c r="F52" i="7"/>
  <c r="F45" i="7"/>
  <c r="F39" i="7"/>
  <c r="F51" i="7"/>
  <c r="F15" i="7"/>
  <c r="F24" i="7"/>
  <c r="F33" i="7"/>
  <c r="G52" i="7"/>
  <c r="G45" i="7"/>
  <c r="G39" i="7"/>
  <c r="G51" i="7"/>
  <c r="G15" i="7"/>
  <c r="G24" i="7"/>
  <c r="G33" i="7"/>
  <c r="I45" i="7"/>
  <c r="H52" i="7"/>
  <c r="H53" i="7" s="1"/>
  <c r="H45" i="7"/>
  <c r="H39" i="7"/>
  <c r="H51" i="7"/>
  <c r="H15" i="7"/>
  <c r="H24" i="7"/>
  <c r="H33" i="7"/>
  <c r="I52" i="7"/>
  <c r="I39" i="7"/>
  <c r="I51" i="7"/>
  <c r="I15" i="7"/>
  <c r="I24" i="7"/>
  <c r="I33" i="7"/>
  <c r="K52" i="7"/>
  <c r="K53" i="7" s="1"/>
  <c r="J52" i="7"/>
  <c r="J9" i="7"/>
  <c r="K15" i="7"/>
  <c r="J15" i="7"/>
  <c r="K24" i="7"/>
  <c r="J24" i="7"/>
  <c r="K33" i="7"/>
  <c r="J33" i="7"/>
  <c r="K39" i="7"/>
  <c r="J39" i="7"/>
  <c r="K51" i="7"/>
  <c r="J51" i="7"/>
  <c r="K45" i="7"/>
  <c r="J45" i="7"/>
  <c r="M8" i="7"/>
  <c r="L139" i="7"/>
  <c r="L8" i="7"/>
  <c r="K139" i="7"/>
  <c r="K8" i="7"/>
  <c r="J12" i="7"/>
  <c r="J11" i="7"/>
  <c r="J139" i="7"/>
  <c r="J8" i="7"/>
  <c r="I139" i="7"/>
  <c r="I8" i="7"/>
  <c r="H8" i="7"/>
  <c r="P9" i="7" l="1"/>
  <c r="N56" i="7"/>
  <c r="N82" i="7"/>
  <c r="N76" i="7"/>
  <c r="N103" i="7"/>
  <c r="M139" i="7"/>
  <c r="N37" i="7"/>
  <c r="N13" i="7"/>
  <c r="N139" i="7"/>
  <c r="N115" i="7"/>
  <c r="N31" i="7"/>
  <c r="N49" i="7"/>
  <c r="N71" i="7"/>
  <c r="N121" i="7"/>
  <c r="N127" i="7"/>
  <c r="N22" i="7"/>
  <c r="N97" i="7"/>
  <c r="N43" i="7"/>
  <c r="N6" i="7"/>
  <c r="N109" i="7"/>
  <c r="N91" i="7"/>
  <c r="N133" i="7"/>
  <c r="N55" i="7"/>
  <c r="H139" i="7"/>
  <c r="J13" i="7"/>
  <c r="M6" i="7"/>
  <c r="L6" i="7"/>
  <c r="K6" i="7"/>
  <c r="J6" i="7"/>
  <c r="I6" i="7"/>
  <c r="G8" i="7"/>
  <c r="N57" i="7" l="1"/>
  <c r="G139" i="7"/>
  <c r="G6" i="7"/>
  <c r="F8" i="7"/>
  <c r="E8" i="7"/>
  <c r="AI32" i="7"/>
  <c r="AI24" i="7"/>
  <c r="AI15" i="7"/>
  <c r="AJ149" i="7"/>
  <c r="AJ148" i="7"/>
  <c r="AJ147" i="7"/>
  <c r="AJ146" i="7"/>
  <c r="AJ145" i="7"/>
  <c r="AJ144" i="7"/>
  <c r="AJ143" i="7"/>
  <c r="AI142" i="7"/>
  <c r="AJ142" i="7" s="1"/>
  <c r="AI141" i="7"/>
  <c r="AI134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M132" i="7"/>
  <c r="L132" i="7"/>
  <c r="K132" i="7"/>
  <c r="J132" i="7"/>
  <c r="I132" i="7"/>
  <c r="H132" i="7"/>
  <c r="G132" i="7"/>
  <c r="F132" i="7"/>
  <c r="E132" i="7"/>
  <c r="D132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M131" i="7"/>
  <c r="L131" i="7"/>
  <c r="K131" i="7"/>
  <c r="J131" i="7"/>
  <c r="I131" i="7"/>
  <c r="H131" i="7"/>
  <c r="G131" i="7"/>
  <c r="F131" i="7"/>
  <c r="E131" i="7"/>
  <c r="D131" i="7"/>
  <c r="AI130" i="7"/>
  <c r="AI131" i="7" s="1"/>
  <c r="AI128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M126" i="7"/>
  <c r="L126" i="7"/>
  <c r="K126" i="7"/>
  <c r="J126" i="7"/>
  <c r="I126" i="7"/>
  <c r="H126" i="7"/>
  <c r="G126" i="7"/>
  <c r="F126" i="7"/>
  <c r="E126" i="7"/>
  <c r="D126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M125" i="7"/>
  <c r="L125" i="7"/>
  <c r="K125" i="7"/>
  <c r="J125" i="7"/>
  <c r="I125" i="7"/>
  <c r="H125" i="7"/>
  <c r="G125" i="7"/>
  <c r="F125" i="7"/>
  <c r="E125" i="7"/>
  <c r="D125" i="7"/>
  <c r="AI124" i="7"/>
  <c r="AI122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M120" i="7"/>
  <c r="L120" i="7"/>
  <c r="K120" i="7"/>
  <c r="J120" i="7"/>
  <c r="I120" i="7"/>
  <c r="H120" i="7"/>
  <c r="G120" i="7"/>
  <c r="F120" i="7"/>
  <c r="E120" i="7"/>
  <c r="D120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M119" i="7"/>
  <c r="L119" i="7"/>
  <c r="K119" i="7"/>
  <c r="J119" i="7"/>
  <c r="I119" i="7"/>
  <c r="H119" i="7"/>
  <c r="G119" i="7"/>
  <c r="F119" i="7"/>
  <c r="E119" i="7"/>
  <c r="D119" i="7"/>
  <c r="AI118" i="7"/>
  <c r="AI116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M114" i="7"/>
  <c r="L114" i="7"/>
  <c r="K114" i="7"/>
  <c r="J114" i="7"/>
  <c r="I114" i="7"/>
  <c r="H114" i="7"/>
  <c r="G114" i="7"/>
  <c r="F114" i="7"/>
  <c r="E114" i="7"/>
  <c r="D114" i="7"/>
  <c r="AG113" i="7"/>
  <c r="AF113" i="7"/>
  <c r="AE113" i="7"/>
  <c r="AD113" i="7"/>
  <c r="AC113" i="7"/>
  <c r="AB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M113" i="7"/>
  <c r="L113" i="7"/>
  <c r="K113" i="7"/>
  <c r="J113" i="7"/>
  <c r="I113" i="7"/>
  <c r="H113" i="7"/>
  <c r="G113" i="7"/>
  <c r="F113" i="7"/>
  <c r="E113" i="7"/>
  <c r="D113" i="7"/>
  <c r="AI112" i="7"/>
  <c r="AI113" i="7" s="1"/>
  <c r="AI110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M108" i="7"/>
  <c r="L108" i="7"/>
  <c r="K108" i="7"/>
  <c r="J108" i="7"/>
  <c r="I108" i="7"/>
  <c r="H108" i="7"/>
  <c r="G108" i="7"/>
  <c r="F108" i="7"/>
  <c r="E108" i="7"/>
  <c r="D108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M107" i="7"/>
  <c r="L107" i="7"/>
  <c r="K107" i="7"/>
  <c r="J107" i="7"/>
  <c r="I107" i="7"/>
  <c r="H107" i="7"/>
  <c r="G107" i="7"/>
  <c r="F107" i="7"/>
  <c r="E107" i="7"/>
  <c r="D107" i="7"/>
  <c r="AI106" i="7"/>
  <c r="AI107" i="7" s="1"/>
  <c r="AI104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M102" i="7"/>
  <c r="L102" i="7"/>
  <c r="K102" i="7"/>
  <c r="J102" i="7"/>
  <c r="I102" i="7"/>
  <c r="H102" i="7"/>
  <c r="G102" i="7"/>
  <c r="F102" i="7"/>
  <c r="E102" i="7"/>
  <c r="D102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M101" i="7"/>
  <c r="L101" i="7"/>
  <c r="K101" i="7"/>
  <c r="J101" i="7"/>
  <c r="I101" i="7"/>
  <c r="H101" i="7"/>
  <c r="G101" i="7"/>
  <c r="F101" i="7"/>
  <c r="E101" i="7"/>
  <c r="D101" i="7"/>
  <c r="AI100" i="7"/>
  <c r="U9" i="7"/>
  <c r="AI98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M96" i="7"/>
  <c r="L96" i="7"/>
  <c r="K96" i="7"/>
  <c r="J96" i="7"/>
  <c r="I96" i="7"/>
  <c r="H96" i="7"/>
  <c r="G96" i="7"/>
  <c r="F96" i="7"/>
  <c r="E96" i="7"/>
  <c r="D96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M95" i="7"/>
  <c r="L95" i="7"/>
  <c r="K95" i="7"/>
  <c r="J95" i="7"/>
  <c r="I95" i="7"/>
  <c r="H95" i="7"/>
  <c r="G95" i="7"/>
  <c r="F95" i="7"/>
  <c r="E95" i="7"/>
  <c r="D95" i="7"/>
  <c r="AI94" i="7"/>
  <c r="AI95" i="7" s="1"/>
  <c r="AI93" i="7"/>
  <c r="AI92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M90" i="7"/>
  <c r="L90" i="7"/>
  <c r="K90" i="7"/>
  <c r="J90" i="7"/>
  <c r="I90" i="7"/>
  <c r="H90" i="7"/>
  <c r="G90" i="7"/>
  <c r="F90" i="7"/>
  <c r="E90" i="7"/>
  <c r="D90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M89" i="7"/>
  <c r="L89" i="7"/>
  <c r="K89" i="7"/>
  <c r="J89" i="7"/>
  <c r="I89" i="7"/>
  <c r="H89" i="7"/>
  <c r="G89" i="7"/>
  <c r="F89" i="7"/>
  <c r="E89" i="7"/>
  <c r="D89" i="7"/>
  <c r="AI88" i="7"/>
  <c r="AI83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M81" i="7"/>
  <c r="L81" i="7"/>
  <c r="K81" i="7"/>
  <c r="J81" i="7"/>
  <c r="I81" i="7"/>
  <c r="H81" i="7"/>
  <c r="G81" i="7"/>
  <c r="F81" i="7"/>
  <c r="E81" i="7"/>
  <c r="D81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M80" i="7"/>
  <c r="K80" i="7"/>
  <c r="J80" i="7"/>
  <c r="I80" i="7"/>
  <c r="H80" i="7"/>
  <c r="G80" i="7"/>
  <c r="F80" i="7"/>
  <c r="E80" i="7"/>
  <c r="D80" i="7"/>
  <c r="AI79" i="7"/>
  <c r="AI80" i="7" s="1"/>
  <c r="AI77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M75" i="7"/>
  <c r="L75" i="7"/>
  <c r="K75" i="7"/>
  <c r="J75" i="7"/>
  <c r="I75" i="7"/>
  <c r="H75" i="7"/>
  <c r="G75" i="7"/>
  <c r="F75" i="7"/>
  <c r="E75" i="7"/>
  <c r="D75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M74" i="7"/>
  <c r="L74" i="7"/>
  <c r="K74" i="7"/>
  <c r="J74" i="7"/>
  <c r="I74" i="7"/>
  <c r="H74" i="7"/>
  <c r="G74" i="7"/>
  <c r="F74" i="7"/>
  <c r="E74" i="7"/>
  <c r="D74" i="7"/>
  <c r="AI73" i="7"/>
  <c r="AI74" i="7" s="1"/>
  <c r="AI72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M70" i="7"/>
  <c r="L70" i="7"/>
  <c r="K70" i="7"/>
  <c r="J70" i="7"/>
  <c r="I70" i="7"/>
  <c r="H70" i="7"/>
  <c r="G70" i="7"/>
  <c r="F70" i="7"/>
  <c r="E70" i="7"/>
  <c r="D70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M69" i="7"/>
  <c r="L69" i="7"/>
  <c r="K69" i="7"/>
  <c r="J69" i="7"/>
  <c r="I69" i="7"/>
  <c r="H69" i="7"/>
  <c r="G69" i="7"/>
  <c r="F69" i="7"/>
  <c r="E69" i="7"/>
  <c r="D69" i="7"/>
  <c r="AI68" i="7"/>
  <c r="Y56" i="7"/>
  <c r="D56" i="7"/>
  <c r="AG56" i="7"/>
  <c r="U56" i="7"/>
  <c r="T56" i="7"/>
  <c r="I56" i="7"/>
  <c r="W55" i="7"/>
  <c r="U55" i="7"/>
  <c r="T55" i="7"/>
  <c r="T57" i="7" s="1"/>
  <c r="AB56" i="7"/>
  <c r="W56" i="7"/>
  <c r="V55" i="7"/>
  <c r="R6" i="7"/>
  <c r="Q55" i="7"/>
  <c r="P56" i="7"/>
  <c r="O55" i="7"/>
  <c r="M55" i="7"/>
  <c r="L55" i="7"/>
  <c r="I55" i="7"/>
  <c r="H56" i="7"/>
  <c r="G55" i="7"/>
  <c r="D55" i="7"/>
  <c r="AD53" i="7"/>
  <c r="AG53" i="7"/>
  <c r="AF53" i="7"/>
  <c r="AE53" i="7"/>
  <c r="AC53" i="7"/>
  <c r="AB53" i="7"/>
  <c r="AA53" i="7"/>
  <c r="Y53" i="7"/>
  <c r="V53" i="7"/>
  <c r="T53" i="7"/>
  <c r="S53" i="7"/>
  <c r="R53" i="7"/>
  <c r="P53" i="7"/>
  <c r="J53" i="7"/>
  <c r="I53" i="7"/>
  <c r="G53" i="7"/>
  <c r="F53" i="7"/>
  <c r="E53" i="7"/>
  <c r="AI50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M47" i="7"/>
  <c r="L47" i="7"/>
  <c r="K47" i="7"/>
  <c r="J47" i="7"/>
  <c r="I47" i="7"/>
  <c r="H47" i="7"/>
  <c r="G47" i="7"/>
  <c r="F47" i="7"/>
  <c r="E47" i="7"/>
  <c r="D47" i="7"/>
  <c r="AI46" i="7"/>
  <c r="AI44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AI40" i="7"/>
  <c r="AI38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M36" i="7"/>
  <c r="L36" i="7"/>
  <c r="K36" i="7"/>
  <c r="J36" i="7"/>
  <c r="I36" i="7"/>
  <c r="H36" i="7"/>
  <c r="G36" i="7"/>
  <c r="F36" i="7"/>
  <c r="E36" i="7"/>
  <c r="D36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M35" i="7"/>
  <c r="L35" i="7"/>
  <c r="K35" i="7"/>
  <c r="J35" i="7"/>
  <c r="I35" i="7"/>
  <c r="H35" i="7"/>
  <c r="G35" i="7"/>
  <c r="F35" i="7"/>
  <c r="E35" i="7"/>
  <c r="D35" i="7"/>
  <c r="AI34" i="7"/>
  <c r="AI35" i="7" s="1"/>
  <c r="AI33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M30" i="7"/>
  <c r="L30" i="7"/>
  <c r="K30" i="7"/>
  <c r="J30" i="7"/>
  <c r="I30" i="7"/>
  <c r="H30" i="7"/>
  <c r="G30" i="7"/>
  <c r="F30" i="7"/>
  <c r="E30" i="7"/>
  <c r="D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M29" i="7"/>
  <c r="L29" i="7"/>
  <c r="K29" i="7"/>
  <c r="J29" i="7"/>
  <c r="I29" i="7"/>
  <c r="H29" i="7"/>
  <c r="G29" i="7"/>
  <c r="F29" i="7"/>
  <c r="E29" i="7"/>
  <c r="D29" i="7"/>
  <c r="AI28" i="7"/>
  <c r="AI29" i="7" s="1"/>
  <c r="AI23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M21" i="7"/>
  <c r="L21" i="7"/>
  <c r="K21" i="7"/>
  <c r="J21" i="7"/>
  <c r="I21" i="7"/>
  <c r="H21" i="7"/>
  <c r="G21" i="7"/>
  <c r="F21" i="7"/>
  <c r="E21" i="7"/>
  <c r="D21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AI19" i="7"/>
  <c r="AI20" i="7" s="1"/>
  <c r="AI14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M12" i="7"/>
  <c r="L12" i="7"/>
  <c r="K12" i="7"/>
  <c r="I12" i="7"/>
  <c r="H12" i="7"/>
  <c r="G12" i="7"/>
  <c r="F12" i="7"/>
  <c r="E12" i="7"/>
  <c r="D12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M11" i="7"/>
  <c r="L11" i="7"/>
  <c r="K11" i="7"/>
  <c r="I11" i="7"/>
  <c r="H11" i="7"/>
  <c r="G11" i="7"/>
  <c r="F11" i="7"/>
  <c r="E11" i="7"/>
  <c r="D11" i="7"/>
  <c r="AI10" i="7"/>
  <c r="AI11" i="7" s="1"/>
  <c r="AG6" i="7"/>
  <c r="Z6" i="7"/>
  <c r="W6" i="7"/>
  <c r="V6" i="7"/>
  <c r="Q6" i="7"/>
  <c r="H6" i="7"/>
  <c r="E3" i="7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55" i="3"/>
  <c r="AH49" i="3"/>
  <c r="AH53" i="3"/>
  <c r="AH126" i="3"/>
  <c r="AH4" i="3"/>
  <c r="AH8" i="3"/>
  <c r="AF80" i="3"/>
  <c r="AF92" i="3"/>
  <c r="AF68" i="3"/>
  <c r="AF86" i="3"/>
  <c r="AF122" i="3"/>
  <c r="AF104" i="3"/>
  <c r="AF116" i="3"/>
  <c r="AF110" i="3"/>
  <c r="AF98" i="3"/>
  <c r="AF74" i="3"/>
  <c r="AE74" i="3"/>
  <c r="AE98" i="3"/>
  <c r="AE110" i="3"/>
  <c r="AE116" i="3"/>
  <c r="AE104" i="3"/>
  <c r="AE122" i="3"/>
  <c r="AE86" i="3"/>
  <c r="AE68" i="3"/>
  <c r="AE92" i="3"/>
  <c r="AE80" i="3"/>
  <c r="AG74" i="3"/>
  <c r="AG98" i="3"/>
  <c r="AG110" i="3"/>
  <c r="AG116" i="3"/>
  <c r="AG104" i="3"/>
  <c r="AG122" i="3"/>
  <c r="AG86" i="3"/>
  <c r="AG68" i="3"/>
  <c r="AG92" i="3"/>
  <c r="AG80" i="3"/>
  <c r="AG56" i="3"/>
  <c r="AG57" i="3" s="1"/>
  <c r="AG47" i="3"/>
  <c r="AG48" i="3" s="1"/>
  <c r="AG40" i="3"/>
  <c r="AG34" i="3"/>
  <c r="AG46" i="3"/>
  <c r="AG15" i="3"/>
  <c r="AG22" i="3"/>
  <c r="AG21" i="3"/>
  <c r="AG28" i="3"/>
  <c r="AE15" i="3"/>
  <c r="AF47" i="3"/>
  <c r="AF48" i="3" s="1"/>
  <c r="AF40" i="3"/>
  <c r="AF34" i="3"/>
  <c r="AF46" i="3"/>
  <c r="AF15" i="3"/>
  <c r="AF22" i="3"/>
  <c r="AF21" i="3"/>
  <c r="AF28" i="3"/>
  <c r="AG8" i="3"/>
  <c r="AG4" i="3"/>
  <c r="AG126" i="3"/>
  <c r="AG6" i="3" l="1"/>
  <c r="D57" i="7"/>
  <c r="U57" i="7"/>
  <c r="W57" i="7"/>
  <c r="I57" i="7"/>
  <c r="AB57" i="7"/>
  <c r="Y57" i="7"/>
  <c r="AG57" i="7"/>
  <c r="S5" i="7"/>
  <c r="S7" i="7" s="1"/>
  <c r="U5" i="7"/>
  <c r="U7" i="7" s="1"/>
  <c r="T7" i="7"/>
  <c r="F56" i="7"/>
  <c r="AG5" i="7"/>
  <c r="AG7" i="7" s="1"/>
  <c r="E55" i="7"/>
  <c r="D139" i="7"/>
  <c r="P5" i="7"/>
  <c r="P7" i="7" s="1"/>
  <c r="N5" i="7"/>
  <c r="N7" i="7" s="1"/>
  <c r="W115" i="7"/>
  <c r="AE115" i="7"/>
  <c r="W127" i="7"/>
  <c r="AE127" i="7"/>
  <c r="Q109" i="7"/>
  <c r="Y109" i="7"/>
  <c r="AG109" i="7"/>
  <c r="R133" i="7"/>
  <c r="T115" i="7"/>
  <c r="AB115" i="7"/>
  <c r="D115" i="7"/>
  <c r="Z133" i="7"/>
  <c r="S71" i="7"/>
  <c r="AA71" i="7"/>
  <c r="V91" i="7"/>
  <c r="AD91" i="7"/>
  <c r="O127" i="7"/>
  <c r="O115" i="7"/>
  <c r="V97" i="7"/>
  <c r="U109" i="7"/>
  <c r="AC109" i="7"/>
  <c r="S115" i="7"/>
  <c r="AJ141" i="7"/>
  <c r="K5" i="7"/>
  <c r="K7" i="7" s="1"/>
  <c r="M5" i="7"/>
  <c r="M7" i="7" s="1"/>
  <c r="J5" i="7"/>
  <c r="J7" i="7" s="1"/>
  <c r="L5" i="7"/>
  <c r="L7" i="7" s="1"/>
  <c r="I5" i="7"/>
  <c r="I7" i="7" s="1"/>
  <c r="T22" i="7"/>
  <c r="AB22" i="7"/>
  <c r="AJ140" i="7"/>
  <c r="F139" i="7"/>
  <c r="E139" i="7"/>
  <c r="Q97" i="7"/>
  <c r="Y97" i="7"/>
  <c r="AG97" i="7"/>
  <c r="T109" i="7"/>
  <c r="G5" i="7"/>
  <c r="G7" i="7" s="1"/>
  <c r="E5" i="7"/>
  <c r="M109" i="7"/>
  <c r="L115" i="7"/>
  <c r="L22" i="7"/>
  <c r="K115" i="7"/>
  <c r="K71" i="7"/>
  <c r="J133" i="7"/>
  <c r="I109" i="7"/>
  <c r="I97" i="7"/>
  <c r="G127" i="7"/>
  <c r="G115" i="7"/>
  <c r="F6" i="7"/>
  <c r="F97" i="7"/>
  <c r="F91" i="7"/>
  <c r="K127" i="7"/>
  <c r="S127" i="7"/>
  <c r="AA127" i="7"/>
  <c r="AI12" i="7"/>
  <c r="AI13" i="7" s="1"/>
  <c r="E109" i="7"/>
  <c r="E56" i="7"/>
  <c r="E6" i="7"/>
  <c r="AI126" i="7"/>
  <c r="AI70" i="7"/>
  <c r="AI120" i="7"/>
  <c r="D22" i="7"/>
  <c r="AI90" i="7"/>
  <c r="Z22" i="7"/>
  <c r="AI21" i="7"/>
  <c r="AI22" i="7" s="1"/>
  <c r="J31" i="7"/>
  <c r="R31" i="7"/>
  <c r="L37" i="7"/>
  <c r="T37" i="7"/>
  <c r="AB37" i="7"/>
  <c r="G13" i="7"/>
  <c r="W13" i="7"/>
  <c r="O71" i="7"/>
  <c r="AE71" i="7"/>
  <c r="S82" i="7"/>
  <c r="O13" i="7"/>
  <c r="AE13" i="7"/>
  <c r="G71" i="7"/>
  <c r="W71" i="7"/>
  <c r="K82" i="7"/>
  <c r="AA82" i="7"/>
  <c r="Y13" i="7"/>
  <c r="K22" i="7"/>
  <c r="E31" i="7"/>
  <c r="M31" i="7"/>
  <c r="U31" i="7"/>
  <c r="AC31" i="7"/>
  <c r="G37" i="7"/>
  <c r="O37" i="7"/>
  <c r="W37" i="7"/>
  <c r="AE37" i="7"/>
  <c r="Y43" i="7"/>
  <c r="I71" i="7"/>
  <c r="Y71" i="7"/>
  <c r="AG71" i="7"/>
  <c r="AE91" i="7"/>
  <c r="H82" i="7"/>
  <c r="P82" i="7"/>
  <c r="X82" i="7"/>
  <c r="AF82" i="7"/>
  <c r="D103" i="7"/>
  <c r="L103" i="7"/>
  <c r="T103" i="7"/>
  <c r="AB103" i="7"/>
  <c r="J121" i="7"/>
  <c r="R121" i="7"/>
  <c r="Z121" i="7"/>
  <c r="I13" i="7"/>
  <c r="H13" i="7"/>
  <c r="P13" i="7"/>
  <c r="X13" i="7"/>
  <c r="AF13" i="7"/>
  <c r="X43" i="7"/>
  <c r="J49" i="7"/>
  <c r="R49" i="7"/>
  <c r="Z49" i="7"/>
  <c r="D76" i="7"/>
  <c r="L76" i="7"/>
  <c r="T76" i="7"/>
  <c r="AB76" i="7"/>
  <c r="H121" i="7"/>
  <c r="P121" i="7"/>
  <c r="K13" i="7"/>
  <c r="S13" i="7"/>
  <c r="AA13" i="7"/>
  <c r="K121" i="7"/>
  <c r="S121" i="7"/>
  <c r="AA121" i="7"/>
  <c r="J37" i="7"/>
  <c r="R37" i="7"/>
  <c r="Z37" i="7"/>
  <c r="D43" i="7"/>
  <c r="L43" i="7"/>
  <c r="T43" i="7"/>
  <c r="AB43" i="7"/>
  <c r="AF49" i="7"/>
  <c r="F71" i="7"/>
  <c r="AI108" i="7"/>
  <c r="AI109" i="7" s="1"/>
  <c r="Q127" i="7"/>
  <c r="G133" i="7"/>
  <c r="O133" i="7"/>
  <c r="W133" i="7"/>
  <c r="AE133" i="7"/>
  <c r="K133" i="7"/>
  <c r="S133" i="7"/>
  <c r="AA133" i="7"/>
  <c r="D133" i="7"/>
  <c r="L133" i="7"/>
  <c r="T133" i="7"/>
  <c r="AB133" i="7"/>
  <c r="H133" i="7"/>
  <c r="P133" i="7"/>
  <c r="H127" i="7"/>
  <c r="P127" i="7"/>
  <c r="X127" i="7"/>
  <c r="AF127" i="7"/>
  <c r="Y127" i="7"/>
  <c r="D127" i="7"/>
  <c r="F127" i="7"/>
  <c r="V127" i="7"/>
  <c r="AD127" i="7"/>
  <c r="AG127" i="7"/>
  <c r="G121" i="7"/>
  <c r="O121" i="7"/>
  <c r="W121" i="7"/>
  <c r="AE121" i="7"/>
  <c r="D121" i="7"/>
  <c r="L121" i="7"/>
  <c r="T121" i="7"/>
  <c r="AB121" i="7"/>
  <c r="AF115" i="7"/>
  <c r="H115" i="7"/>
  <c r="X115" i="7"/>
  <c r="P115" i="7"/>
  <c r="F115" i="7"/>
  <c r="V115" i="7"/>
  <c r="AD115" i="7"/>
  <c r="I115" i="7"/>
  <c r="Q115" i="7"/>
  <c r="Y115" i="7"/>
  <c r="AG115" i="7"/>
  <c r="AB109" i="7"/>
  <c r="D109" i="7"/>
  <c r="L109" i="7"/>
  <c r="J109" i="7"/>
  <c r="R109" i="7"/>
  <c r="Z109" i="7"/>
  <c r="F109" i="7"/>
  <c r="V109" i="7"/>
  <c r="AD109" i="7"/>
  <c r="J103" i="7"/>
  <c r="R103" i="7"/>
  <c r="Z103" i="7"/>
  <c r="AI102" i="7"/>
  <c r="M103" i="7"/>
  <c r="F103" i="7"/>
  <c r="V103" i="7"/>
  <c r="AD103" i="7"/>
  <c r="I103" i="7"/>
  <c r="Q103" i="7"/>
  <c r="Y103" i="7"/>
  <c r="AG103" i="7"/>
  <c r="K97" i="7"/>
  <c r="S97" i="7"/>
  <c r="AA97" i="7"/>
  <c r="J97" i="7"/>
  <c r="G97" i="7"/>
  <c r="O97" i="7"/>
  <c r="W97" i="7"/>
  <c r="AE97" i="7"/>
  <c r="K91" i="7"/>
  <c r="S91" i="7"/>
  <c r="AA91" i="7"/>
  <c r="D91" i="7"/>
  <c r="L91" i="7"/>
  <c r="T91" i="7"/>
  <c r="G91" i="7"/>
  <c r="X91" i="7"/>
  <c r="I91" i="7"/>
  <c r="Q91" i="7"/>
  <c r="Y91" i="7"/>
  <c r="AG91" i="7"/>
  <c r="H91" i="7"/>
  <c r="P91" i="7"/>
  <c r="J91" i="7"/>
  <c r="R91" i="7"/>
  <c r="Z91" i="7"/>
  <c r="O91" i="7"/>
  <c r="W91" i="7"/>
  <c r="AF91" i="7"/>
  <c r="T82" i="7"/>
  <c r="D82" i="7"/>
  <c r="E82" i="7"/>
  <c r="M82" i="7"/>
  <c r="U82" i="7"/>
  <c r="AC82" i="7"/>
  <c r="L82" i="7"/>
  <c r="AB82" i="7"/>
  <c r="K76" i="7"/>
  <c r="S76" i="7"/>
  <c r="AA76" i="7"/>
  <c r="G76" i="7"/>
  <c r="O76" i="7"/>
  <c r="W76" i="7"/>
  <c r="AE76" i="7"/>
  <c r="J76" i="7"/>
  <c r="R76" i="7"/>
  <c r="Z76" i="7"/>
  <c r="U76" i="7"/>
  <c r="AC76" i="7"/>
  <c r="V71" i="7"/>
  <c r="AD71" i="7"/>
  <c r="Q71" i="7"/>
  <c r="H71" i="7"/>
  <c r="P71" i="7"/>
  <c r="X71" i="7"/>
  <c r="AF71" i="7"/>
  <c r="AI48" i="7"/>
  <c r="D49" i="7"/>
  <c r="L49" i="7"/>
  <c r="T49" i="7"/>
  <c r="I49" i="7"/>
  <c r="Q49" i="7"/>
  <c r="Y49" i="7"/>
  <c r="AG49" i="7"/>
  <c r="K49" i="7"/>
  <c r="S49" i="7"/>
  <c r="AA49" i="7"/>
  <c r="F49" i="7"/>
  <c r="V49" i="7"/>
  <c r="AD49" i="7"/>
  <c r="J43" i="7"/>
  <c r="R43" i="7"/>
  <c r="Z43" i="7"/>
  <c r="AI42" i="7"/>
  <c r="S43" i="7"/>
  <c r="K43" i="7"/>
  <c r="E43" i="7"/>
  <c r="M43" i="7"/>
  <c r="U43" i="7"/>
  <c r="AC43" i="7"/>
  <c r="V43" i="7"/>
  <c r="AD43" i="7"/>
  <c r="G43" i="7"/>
  <c r="O43" i="7"/>
  <c r="W43" i="7"/>
  <c r="AE43" i="7"/>
  <c r="AG43" i="7"/>
  <c r="AA43" i="7"/>
  <c r="F37" i="7"/>
  <c r="V37" i="7"/>
  <c r="AD37" i="7"/>
  <c r="I37" i="7"/>
  <c r="Q37" i="7"/>
  <c r="Y37" i="7"/>
  <c r="AG37" i="7"/>
  <c r="K37" i="7"/>
  <c r="S37" i="7"/>
  <c r="AA37" i="7"/>
  <c r="AB31" i="7"/>
  <c r="K31" i="7"/>
  <c r="S31" i="7"/>
  <c r="AA31" i="7"/>
  <c r="O31" i="7"/>
  <c r="H31" i="7"/>
  <c r="P31" i="7"/>
  <c r="X31" i="7"/>
  <c r="AF31" i="7"/>
  <c r="AI30" i="7"/>
  <c r="AI31" i="7" s="1"/>
  <c r="W31" i="7"/>
  <c r="I31" i="7"/>
  <c r="Q31" i="7"/>
  <c r="Y31" i="7"/>
  <c r="AG31" i="7"/>
  <c r="AE31" i="7"/>
  <c r="Z31" i="7"/>
  <c r="T31" i="7"/>
  <c r="G31" i="7"/>
  <c r="F22" i="7"/>
  <c r="AD22" i="7"/>
  <c r="H22" i="7"/>
  <c r="P22" i="7"/>
  <c r="X22" i="7"/>
  <c r="AF22" i="7"/>
  <c r="V22" i="7"/>
  <c r="V9" i="7"/>
  <c r="AE22" i="7"/>
  <c r="I22" i="7"/>
  <c r="Q22" i="7"/>
  <c r="Y22" i="7"/>
  <c r="AG22" i="7"/>
  <c r="O22" i="7"/>
  <c r="J22" i="7"/>
  <c r="R22" i="7"/>
  <c r="G22" i="7"/>
  <c r="W22" i="7"/>
  <c r="E13" i="7"/>
  <c r="M13" i="7"/>
  <c r="U13" i="7"/>
  <c r="AC13" i="7"/>
  <c r="D13" i="7"/>
  <c r="L13" i="7"/>
  <c r="T13" i="7"/>
  <c r="AB13" i="7"/>
  <c r="Q13" i="7"/>
  <c r="AG13" i="7"/>
  <c r="Y5" i="7"/>
  <c r="F13" i="7"/>
  <c r="V13" i="7"/>
  <c r="AD13" i="7"/>
  <c r="AI96" i="7"/>
  <c r="AI97" i="7" s="1"/>
  <c r="AI123" i="7"/>
  <c r="AI135" i="7"/>
  <c r="Q5" i="7"/>
  <c r="Q7" i="7" s="1"/>
  <c r="Z5" i="7"/>
  <c r="Z7" i="7" s="1"/>
  <c r="AI51" i="7"/>
  <c r="AE56" i="7"/>
  <c r="AE57" i="7" s="1"/>
  <c r="AI75" i="7"/>
  <c r="AI76" i="7" s="1"/>
  <c r="AI99" i="7"/>
  <c r="AI105" i="7"/>
  <c r="AI117" i="7"/>
  <c r="AI129" i="7"/>
  <c r="AG9" i="7"/>
  <c r="D37" i="7"/>
  <c r="AI36" i="7"/>
  <c r="AI37" i="7" s="1"/>
  <c r="AB49" i="7"/>
  <c r="Q56" i="7"/>
  <c r="Q57" i="7" s="1"/>
  <c r="E76" i="7"/>
  <c r="M76" i="7"/>
  <c r="F82" i="7"/>
  <c r="V82" i="7"/>
  <c r="AD82" i="7"/>
  <c r="AI81" i="7"/>
  <c r="AI82" i="7" s="1"/>
  <c r="AB91" i="7"/>
  <c r="D97" i="7"/>
  <c r="L97" i="7"/>
  <c r="T97" i="7"/>
  <c r="AB97" i="7"/>
  <c r="AD97" i="7"/>
  <c r="G103" i="7"/>
  <c r="O103" i="7"/>
  <c r="W103" i="7"/>
  <c r="AE103" i="7"/>
  <c r="G109" i="7"/>
  <c r="O109" i="7"/>
  <c r="W109" i="7"/>
  <c r="AE109" i="7"/>
  <c r="J115" i="7"/>
  <c r="R115" i="7"/>
  <c r="Z115" i="7"/>
  <c r="E121" i="7"/>
  <c r="M121" i="7"/>
  <c r="U121" i="7"/>
  <c r="AC121" i="7"/>
  <c r="I127" i="7"/>
  <c r="E133" i="7"/>
  <c r="M133" i="7"/>
  <c r="U133" i="7"/>
  <c r="AC133" i="7"/>
  <c r="Y6" i="7"/>
  <c r="R13" i="7"/>
  <c r="Z13" i="7"/>
  <c r="S22" i="7"/>
  <c r="AA22" i="7"/>
  <c r="D31" i="7"/>
  <c r="L31" i="7"/>
  <c r="K9" i="7"/>
  <c r="S9" i="7"/>
  <c r="E37" i="7"/>
  <c r="M37" i="7"/>
  <c r="U37" i="7"/>
  <c r="AC37" i="7"/>
  <c r="F43" i="7"/>
  <c r="E49" i="7"/>
  <c r="M49" i="7"/>
  <c r="U49" i="7"/>
  <c r="AC49" i="7"/>
  <c r="J71" i="7"/>
  <c r="R71" i="7"/>
  <c r="Z71" i="7"/>
  <c r="F76" i="7"/>
  <c r="V76" i="7"/>
  <c r="AD76" i="7"/>
  <c r="G82" i="7"/>
  <c r="O82" i="7"/>
  <c r="W82" i="7"/>
  <c r="AE82" i="7"/>
  <c r="E91" i="7"/>
  <c r="M91" i="7"/>
  <c r="U91" i="7"/>
  <c r="AC91" i="7"/>
  <c r="E97" i="7"/>
  <c r="M97" i="7"/>
  <c r="U97" i="7"/>
  <c r="AC97" i="7"/>
  <c r="H103" i="7"/>
  <c r="P103" i="7"/>
  <c r="X103" i="7"/>
  <c r="AF103" i="7"/>
  <c r="X109" i="7"/>
  <c r="AF109" i="7"/>
  <c r="AI114" i="7"/>
  <c r="AI115" i="7" s="1"/>
  <c r="F121" i="7"/>
  <c r="V121" i="7"/>
  <c r="AD121" i="7"/>
  <c r="J127" i="7"/>
  <c r="R127" i="7"/>
  <c r="Z127" i="7"/>
  <c r="F133" i="7"/>
  <c r="V133" i="7"/>
  <c r="AD133" i="7"/>
  <c r="D5" i="7"/>
  <c r="E22" i="7"/>
  <c r="M22" i="7"/>
  <c r="U22" i="7"/>
  <c r="AC22" i="7"/>
  <c r="F31" i="7"/>
  <c r="V31" i="7"/>
  <c r="AD31" i="7"/>
  <c r="H43" i="7"/>
  <c r="P43" i="7"/>
  <c r="AF43" i="7"/>
  <c r="G49" i="7"/>
  <c r="O49" i="7"/>
  <c r="W49" i="7"/>
  <c r="AE49" i="7"/>
  <c r="D71" i="7"/>
  <c r="L71" i="7"/>
  <c r="T71" i="7"/>
  <c r="AB71" i="7"/>
  <c r="H76" i="7"/>
  <c r="P76" i="7"/>
  <c r="X76" i="7"/>
  <c r="AF76" i="7"/>
  <c r="I82" i="7"/>
  <c r="Q82" i="7"/>
  <c r="Y82" i="7"/>
  <c r="AG82" i="7"/>
  <c r="E115" i="7"/>
  <c r="M115" i="7"/>
  <c r="U115" i="7"/>
  <c r="AC115" i="7"/>
  <c r="X121" i="7"/>
  <c r="AF121" i="7"/>
  <c r="L127" i="7"/>
  <c r="T127" i="7"/>
  <c r="AB127" i="7"/>
  <c r="X133" i="7"/>
  <c r="AF133" i="7"/>
  <c r="O6" i="7"/>
  <c r="X6" i="7"/>
  <c r="H37" i="7"/>
  <c r="P37" i="7"/>
  <c r="X37" i="7"/>
  <c r="AF37" i="7"/>
  <c r="I43" i="7"/>
  <c r="Q43" i="7"/>
  <c r="G56" i="7"/>
  <c r="G57" i="7" s="1"/>
  <c r="O56" i="7"/>
  <c r="O57" i="7" s="1"/>
  <c r="AF56" i="7"/>
  <c r="AF57" i="7" s="1"/>
  <c r="E71" i="7"/>
  <c r="M71" i="7"/>
  <c r="U71" i="7"/>
  <c r="AC71" i="7"/>
  <c r="Y76" i="7"/>
  <c r="J82" i="7"/>
  <c r="R82" i="7"/>
  <c r="Z82" i="7"/>
  <c r="H97" i="7"/>
  <c r="P97" i="7"/>
  <c r="X97" i="7"/>
  <c r="AF97" i="7"/>
  <c r="K103" i="7"/>
  <c r="S103" i="7"/>
  <c r="AA103" i="7"/>
  <c r="K109" i="7"/>
  <c r="S109" i="7"/>
  <c r="AA109" i="7"/>
  <c r="I121" i="7"/>
  <c r="Q121" i="7"/>
  <c r="Y121" i="7"/>
  <c r="AG121" i="7"/>
  <c r="E127" i="7"/>
  <c r="M127" i="7"/>
  <c r="U127" i="7"/>
  <c r="AC127" i="7"/>
  <c r="I133" i="7"/>
  <c r="Q133" i="7"/>
  <c r="Y133" i="7"/>
  <c r="AG133" i="7"/>
  <c r="R5" i="7"/>
  <c r="R7" i="7" s="1"/>
  <c r="AA115" i="7"/>
  <c r="V5" i="7"/>
  <c r="V7" i="7" s="1"/>
  <c r="H49" i="7"/>
  <c r="P49" i="7"/>
  <c r="X49" i="7"/>
  <c r="AI64" i="7"/>
  <c r="AJ136" i="7" s="1"/>
  <c r="D8" i="7"/>
  <c r="L56" i="7"/>
  <c r="L57" i="7" s="1"/>
  <c r="AC56" i="7"/>
  <c r="AC57" i="7" s="1"/>
  <c r="E103" i="7"/>
  <c r="U103" i="7"/>
  <c r="AC103" i="7"/>
  <c r="AI41" i="7"/>
  <c r="AI53" i="7"/>
  <c r="AI45" i="7"/>
  <c r="M56" i="7"/>
  <c r="M57" i="7" s="1"/>
  <c r="V56" i="7"/>
  <c r="V57" i="7" s="1"/>
  <c r="AD56" i="7"/>
  <c r="AD57" i="7" s="1"/>
  <c r="AI111" i="7"/>
  <c r="AI89" i="7"/>
  <c r="I9" i="7"/>
  <c r="Z9" i="7"/>
  <c r="AI39" i="7"/>
  <c r="J56" i="7"/>
  <c r="J55" i="7"/>
  <c r="J57" i="7" s="1"/>
  <c r="AA56" i="7"/>
  <c r="R97" i="7"/>
  <c r="Z97" i="7"/>
  <c r="R56" i="7"/>
  <c r="R55" i="7"/>
  <c r="D9" i="7"/>
  <c r="L9" i="7"/>
  <c r="T9" i="7"/>
  <c r="AI69" i="7"/>
  <c r="I76" i="7"/>
  <c r="Q76" i="7"/>
  <c r="AG76" i="7"/>
  <c r="K56" i="7"/>
  <c r="K55" i="7"/>
  <c r="K57" i="7" s="1"/>
  <c r="S56" i="7"/>
  <c r="S55" i="7"/>
  <c r="AI66" i="7"/>
  <c r="H109" i="7"/>
  <c r="P109" i="7"/>
  <c r="AI47" i="7"/>
  <c r="AI52" i="7"/>
  <c r="F5" i="7"/>
  <c r="AI54" i="7"/>
  <c r="AI55" i="7" s="1"/>
  <c r="W5" i="7"/>
  <c r="W7" i="7" s="1"/>
  <c r="Z56" i="7"/>
  <c r="Z57" i="7" s="1"/>
  <c r="AI87" i="7"/>
  <c r="H5" i="7"/>
  <c r="H7" i="7" s="1"/>
  <c r="AI78" i="7"/>
  <c r="H55" i="7"/>
  <c r="H57" i="7" s="1"/>
  <c r="P55" i="7"/>
  <c r="P57" i="7" s="1"/>
  <c r="AI119" i="7"/>
  <c r="AI132" i="7"/>
  <c r="AI133" i="7" s="1"/>
  <c r="AI125" i="7"/>
  <c r="F55" i="7"/>
  <c r="AI101" i="7"/>
  <c r="AH6" i="3"/>
  <c r="AG9" i="3"/>
  <c r="AB48" i="3"/>
  <c r="AB47" i="3"/>
  <c r="AB40" i="3"/>
  <c r="AB34" i="3"/>
  <c r="AB46" i="3"/>
  <c r="AB15" i="3"/>
  <c r="AB22" i="3"/>
  <c r="AB21" i="3"/>
  <c r="AB28" i="3"/>
  <c r="AD47" i="3"/>
  <c r="AD48" i="3" s="1"/>
  <c r="AD40" i="3"/>
  <c r="AD34" i="3"/>
  <c r="AD46" i="3"/>
  <c r="AD15" i="3"/>
  <c r="AD22" i="3"/>
  <c r="AD21" i="3"/>
  <c r="AD28" i="3"/>
  <c r="AE47" i="3"/>
  <c r="AE48" i="3" s="1"/>
  <c r="AE40" i="3"/>
  <c r="AE34" i="3"/>
  <c r="AE46" i="3"/>
  <c r="AE21" i="3"/>
  <c r="AE22" i="3" s="1"/>
  <c r="AE28" i="3"/>
  <c r="AC48" i="3"/>
  <c r="AC47" i="3"/>
  <c r="AC40" i="3"/>
  <c r="AC34" i="3"/>
  <c r="AC46" i="3"/>
  <c r="AC15" i="3"/>
  <c r="AC22" i="3"/>
  <c r="AC21" i="3"/>
  <c r="AC28" i="3"/>
  <c r="AD74" i="3"/>
  <c r="AD98" i="3"/>
  <c r="AD110" i="3"/>
  <c r="AD116" i="3"/>
  <c r="AD104" i="3"/>
  <c r="AD122" i="3"/>
  <c r="AD86" i="3"/>
  <c r="AD68" i="3"/>
  <c r="AD92" i="3"/>
  <c r="AD80" i="3"/>
  <c r="AC74" i="3"/>
  <c r="AB74" i="3"/>
  <c r="AC98" i="3"/>
  <c r="AC110" i="3"/>
  <c r="AC116" i="3"/>
  <c r="AC104" i="3"/>
  <c r="AC122" i="3"/>
  <c r="AC86" i="3"/>
  <c r="AC68" i="3"/>
  <c r="AC92" i="3"/>
  <c r="AC80" i="3"/>
  <c r="AB80" i="3"/>
  <c r="AB98" i="3"/>
  <c r="AB110" i="3"/>
  <c r="AB116" i="3"/>
  <c r="AB104" i="3"/>
  <c r="AB122" i="3"/>
  <c r="AB86" i="3"/>
  <c r="AB68" i="3"/>
  <c r="AB92" i="3"/>
  <c r="AF11" i="3"/>
  <c r="AF13" i="3" s="1"/>
  <c r="AG11" i="3"/>
  <c r="AH11" i="3"/>
  <c r="AF12" i="3"/>
  <c r="AG12" i="3"/>
  <c r="AH12" i="3"/>
  <c r="AF126" i="3"/>
  <c r="AF4" i="3"/>
  <c r="AF8" i="3"/>
  <c r="AF55" i="3"/>
  <c r="AF56" i="3" s="1"/>
  <c r="AF57" i="3" s="1"/>
  <c r="AF53" i="3"/>
  <c r="AF49" i="3"/>
  <c r="AG13" i="3" l="1"/>
  <c r="AF9" i="3"/>
  <c r="AH13" i="3"/>
  <c r="F57" i="7"/>
  <c r="R57" i="7"/>
  <c r="E57" i="7"/>
  <c r="AI139" i="7"/>
  <c r="AJ139" i="7" s="1"/>
  <c r="AI1" i="7"/>
  <c r="AJ1" i="7" s="1"/>
  <c r="AJ2" i="7" s="1"/>
  <c r="S57" i="7"/>
  <c r="AA57" i="7"/>
  <c r="F9" i="7"/>
  <c r="E7" i="7"/>
  <c r="AI71" i="7"/>
  <c r="AI49" i="7"/>
  <c r="F7" i="7"/>
  <c r="AI127" i="7"/>
  <c r="AI43" i="7"/>
  <c r="AI121" i="7"/>
  <c r="AI91" i="7"/>
  <c r="AI103" i="7"/>
  <c r="O5" i="7"/>
  <c r="O7" i="7" s="1"/>
  <c r="X5" i="7"/>
  <c r="X7" i="7" s="1"/>
  <c r="AE9" i="7"/>
  <c r="Y7" i="7"/>
  <c r="AI65" i="7"/>
  <c r="AF9" i="7"/>
  <c r="AI67" i="7"/>
  <c r="M9" i="7"/>
  <c r="E9" i="7"/>
  <c r="AI61" i="7"/>
  <c r="AI63" i="7" s="1"/>
  <c r="H9" i="7"/>
  <c r="AI4" i="7"/>
  <c r="AI5" i="7" s="1"/>
  <c r="O9" i="7"/>
  <c r="D6" i="7"/>
  <c r="D7" i="7" s="1"/>
  <c r="AI8" i="7"/>
  <c r="W9" i="7"/>
  <c r="G9" i="7"/>
  <c r="AI56" i="7"/>
  <c r="AI58" i="7" s="1"/>
  <c r="AF6" i="3"/>
  <c r="AE55" i="3"/>
  <c r="AE53" i="3"/>
  <c r="AE8" i="3" s="1"/>
  <c r="AE49" i="3"/>
  <c r="AI14" i="3"/>
  <c r="AE11" i="3"/>
  <c r="AE12" i="3"/>
  <c r="AE4" i="3"/>
  <c r="AE118" i="3"/>
  <c r="AF118" i="3"/>
  <c r="AG118" i="3"/>
  <c r="AH118" i="3"/>
  <c r="AE119" i="3"/>
  <c r="AF119" i="3"/>
  <c r="AG119" i="3"/>
  <c r="AH119" i="3"/>
  <c r="AE100" i="3"/>
  <c r="AF100" i="3"/>
  <c r="AG100" i="3"/>
  <c r="AH100" i="3"/>
  <c r="AE101" i="3"/>
  <c r="AF101" i="3"/>
  <c r="AG101" i="3"/>
  <c r="AH101" i="3"/>
  <c r="AE106" i="3"/>
  <c r="AF106" i="3"/>
  <c r="AG106" i="3"/>
  <c r="AH106" i="3"/>
  <c r="AE107" i="3"/>
  <c r="AF107" i="3"/>
  <c r="AG107" i="3"/>
  <c r="AH107" i="3"/>
  <c r="AE94" i="3"/>
  <c r="AF94" i="3"/>
  <c r="AG94" i="3"/>
  <c r="AH94" i="3"/>
  <c r="AE95" i="3"/>
  <c r="AF95" i="3"/>
  <c r="AG95" i="3"/>
  <c r="AH95" i="3"/>
  <c r="AE96" i="3"/>
  <c r="AC126" i="3"/>
  <c r="AD126" i="3"/>
  <c r="AD55" i="3"/>
  <c r="AD56" i="3" s="1"/>
  <c r="AD57" i="3" s="1"/>
  <c r="AD53" i="3"/>
  <c r="AD8" i="3" s="1"/>
  <c r="AD49" i="3"/>
  <c r="AC55" i="3"/>
  <c r="AC56" i="3" s="1"/>
  <c r="AC57" i="3" s="1"/>
  <c r="AC53" i="3"/>
  <c r="AC8" i="3" s="1"/>
  <c r="AC49" i="3"/>
  <c r="AD4" i="3"/>
  <c r="AC4" i="3"/>
  <c r="AB55" i="3"/>
  <c r="AB56" i="3" s="1"/>
  <c r="AB57" i="3" s="1"/>
  <c r="AB53" i="3"/>
  <c r="AB8" i="3" s="1"/>
  <c r="AB49" i="3"/>
  <c r="AB4" i="3" s="1"/>
  <c r="AE126" i="3" l="1"/>
  <c r="AE56" i="3"/>
  <c r="AB9" i="3"/>
  <c r="AG120" i="3"/>
  <c r="AD9" i="3"/>
  <c r="AF96" i="3"/>
  <c r="AF108" i="3"/>
  <c r="AF102" i="3"/>
  <c r="AF120" i="3"/>
  <c r="AE108" i="3"/>
  <c r="AE102" i="3"/>
  <c r="AE120" i="3"/>
  <c r="AB126" i="3"/>
  <c r="AH102" i="3"/>
  <c r="AC9" i="3"/>
  <c r="AI9" i="7"/>
  <c r="AI6" i="7"/>
  <c r="AI7" i="7" s="1"/>
  <c r="AH120" i="3"/>
  <c r="AH96" i="3"/>
  <c r="AH108" i="3"/>
  <c r="AG108" i="3"/>
  <c r="AG102" i="3"/>
  <c r="AG96" i="3"/>
  <c r="AE13" i="3"/>
  <c r="AE6" i="3"/>
  <c r="AD6" i="3"/>
  <c r="AC6" i="3"/>
  <c r="AB6" i="3"/>
  <c r="AE57" i="3" l="1"/>
  <c r="AE9" i="3"/>
  <c r="AB54" i="3"/>
  <c r="AA74" i="3"/>
  <c r="AA98" i="3"/>
  <c r="AA110" i="3"/>
  <c r="AA116" i="3"/>
  <c r="AA104" i="3"/>
  <c r="AA122" i="3"/>
  <c r="AA86" i="3"/>
  <c r="AA68" i="3"/>
  <c r="AA92" i="3"/>
  <c r="AA80" i="3"/>
  <c r="Y80" i="3"/>
  <c r="Y92" i="3"/>
  <c r="Y68" i="3"/>
  <c r="Y86" i="3"/>
  <c r="Y122" i="3"/>
  <c r="Y104" i="3"/>
  <c r="Y116" i="3"/>
  <c r="Y110" i="3"/>
  <c r="Y98" i="3"/>
  <c r="Y74" i="3"/>
  <c r="Z74" i="3"/>
  <c r="Z98" i="3"/>
  <c r="Z110" i="3"/>
  <c r="Z116" i="3"/>
  <c r="Z104" i="3"/>
  <c r="Z122" i="3"/>
  <c r="Z86" i="3"/>
  <c r="Z68" i="3"/>
  <c r="Z92" i="3"/>
  <c r="Z80" i="3"/>
  <c r="Z56" i="3"/>
  <c r="Z57" i="3" s="1"/>
  <c r="Z47" i="3"/>
  <c r="Z48" i="3" s="1"/>
  <c r="Z40" i="3"/>
  <c r="Z34" i="3"/>
  <c r="Z46" i="3"/>
  <c r="Z15" i="3"/>
  <c r="Z22" i="3"/>
  <c r="Z21" i="3"/>
  <c r="Z28" i="3"/>
  <c r="AA56" i="3"/>
  <c r="AA57" i="3" s="1"/>
  <c r="AA47" i="3"/>
  <c r="AA48" i="3" s="1"/>
  <c r="AA40" i="3"/>
  <c r="AA34" i="3"/>
  <c r="AA46" i="3"/>
  <c r="AA15" i="3"/>
  <c r="AA21" i="3"/>
  <c r="AA22" i="3" s="1"/>
  <c r="AA28" i="3"/>
  <c r="AA126" i="3"/>
  <c r="AA49" i="3"/>
  <c r="AA4" i="3" s="1"/>
  <c r="AA55" i="3"/>
  <c r="AA54" i="3" s="1"/>
  <c r="AA53" i="3"/>
  <c r="AA51" i="3" s="1"/>
  <c r="AI16" i="3"/>
  <c r="AI17" i="3" s="1"/>
  <c r="Z55" i="3"/>
  <c r="Z126" i="3" s="1"/>
  <c r="Z54" i="3"/>
  <c r="Z30" i="3"/>
  <c r="AA30" i="3"/>
  <c r="AB30" i="3"/>
  <c r="AC30" i="3"/>
  <c r="AD30" i="3"/>
  <c r="AE30" i="3"/>
  <c r="AF30" i="3"/>
  <c r="AG30" i="3"/>
  <c r="AH30" i="3"/>
  <c r="Z31" i="3"/>
  <c r="Z32" i="3" s="1"/>
  <c r="AA31" i="3"/>
  <c r="AB31" i="3"/>
  <c r="AC31" i="3"/>
  <c r="AC32" i="3" s="1"/>
  <c r="AD31" i="3"/>
  <c r="AE31" i="3"/>
  <c r="AF31" i="3"/>
  <c r="AG31" i="3"/>
  <c r="AH31" i="3"/>
  <c r="Z49" i="3"/>
  <c r="Z53" i="3"/>
  <c r="Z8" i="3" s="1"/>
  <c r="Y49" i="3"/>
  <c r="Y4" i="3" s="1"/>
  <c r="Z4" i="3"/>
  <c r="Y126" i="3"/>
  <c r="Y40" i="3"/>
  <c r="Y47" i="3"/>
  <c r="Y48" i="3" s="1"/>
  <c r="Y34" i="3"/>
  <c r="Y46" i="3"/>
  <c r="Y15" i="3"/>
  <c r="Y21" i="3"/>
  <c r="Y22" i="3" s="1"/>
  <c r="Y28" i="3"/>
  <c r="AC54" i="3"/>
  <c r="AD54" i="3"/>
  <c r="AE54" i="3"/>
  <c r="AF54" i="3"/>
  <c r="AH54" i="3"/>
  <c r="Z36" i="3"/>
  <c r="AA36" i="3"/>
  <c r="AB36" i="3"/>
  <c r="AC36" i="3"/>
  <c r="AD36" i="3"/>
  <c r="AE36" i="3"/>
  <c r="AF36" i="3"/>
  <c r="AG36" i="3"/>
  <c r="AH36" i="3"/>
  <c r="Z37" i="3"/>
  <c r="AA37" i="3"/>
  <c r="AA38" i="3" s="1"/>
  <c r="AB37" i="3"/>
  <c r="AC37" i="3"/>
  <c r="AD37" i="3"/>
  <c r="AD38" i="3" s="1"/>
  <c r="AE37" i="3"/>
  <c r="AF37" i="3"/>
  <c r="AG37" i="3"/>
  <c r="AH37" i="3"/>
  <c r="AE38" i="3"/>
  <c r="Y42" i="3"/>
  <c r="Z42" i="3"/>
  <c r="AA42" i="3"/>
  <c r="AB42" i="3"/>
  <c r="AC42" i="3"/>
  <c r="AD42" i="3"/>
  <c r="AE42" i="3"/>
  <c r="AF42" i="3"/>
  <c r="AG42" i="3"/>
  <c r="AH42" i="3"/>
  <c r="Y43" i="3"/>
  <c r="Z43" i="3"/>
  <c r="AA43" i="3"/>
  <c r="AB43" i="3"/>
  <c r="AC43" i="3"/>
  <c r="AC44" i="3" s="1"/>
  <c r="AD43" i="3"/>
  <c r="AE43" i="3"/>
  <c r="AF43" i="3"/>
  <c r="AG43" i="3"/>
  <c r="AH43" i="3"/>
  <c r="Y36" i="3"/>
  <c r="Y30" i="3"/>
  <c r="Y31" i="3"/>
  <c r="Y32" i="3"/>
  <c r="Y8" i="3"/>
  <c r="Y55" i="3"/>
  <c r="Y56" i="3" s="1"/>
  <c r="Y57" i="3" s="1"/>
  <c r="Y53" i="3"/>
  <c r="Y50" i="3"/>
  <c r="Z50" i="3"/>
  <c r="AA50" i="3"/>
  <c r="AB50" i="3"/>
  <c r="AC50" i="3"/>
  <c r="AD50" i="3"/>
  <c r="AE50" i="3"/>
  <c r="AF50" i="3"/>
  <c r="AG50" i="3"/>
  <c r="AH50" i="3"/>
  <c r="Y51" i="3"/>
  <c r="Y52" i="3" s="1"/>
  <c r="AB51" i="3"/>
  <c r="AB52" i="3" s="1"/>
  <c r="AC51" i="3"/>
  <c r="AD51" i="3"/>
  <c r="AE51" i="3"/>
  <c r="AF51" i="3"/>
  <c r="AG51" i="3"/>
  <c r="AH51" i="3"/>
  <c r="W34" i="3"/>
  <c r="W46" i="3"/>
  <c r="W15" i="3"/>
  <c r="W21" i="3"/>
  <c r="W22" i="3" s="1"/>
  <c r="W28" i="3"/>
  <c r="V47" i="3"/>
  <c r="V48" i="3" s="1"/>
  <c r="V34" i="3"/>
  <c r="V46" i="3"/>
  <c r="V15" i="3"/>
  <c r="V22" i="3"/>
  <c r="V21" i="3"/>
  <c r="V28" i="3"/>
  <c r="X40" i="3"/>
  <c r="X47" i="3"/>
  <c r="X48" i="3" s="1"/>
  <c r="X34" i="3"/>
  <c r="X46" i="3"/>
  <c r="X15" i="3"/>
  <c r="X21" i="3"/>
  <c r="X22" i="3" s="1"/>
  <c r="X28" i="3"/>
  <c r="U74" i="3"/>
  <c r="U98" i="3"/>
  <c r="U110" i="3"/>
  <c r="U116" i="3"/>
  <c r="U104" i="3"/>
  <c r="U122" i="3"/>
  <c r="U86" i="3"/>
  <c r="U68" i="3"/>
  <c r="U92" i="3"/>
  <c r="U80" i="3"/>
  <c r="U9" i="3" s="1"/>
  <c r="V74" i="3"/>
  <c r="V98" i="3"/>
  <c r="V110" i="3"/>
  <c r="V116" i="3"/>
  <c r="V104" i="3"/>
  <c r="V86" i="3"/>
  <c r="V122" i="3"/>
  <c r="V68" i="3"/>
  <c r="V92" i="3"/>
  <c r="V80" i="3"/>
  <c r="W74" i="3"/>
  <c r="W98" i="3"/>
  <c r="W110" i="3"/>
  <c r="W116" i="3"/>
  <c r="W104" i="3"/>
  <c r="W122" i="3"/>
  <c r="W86" i="3"/>
  <c r="W68" i="3"/>
  <c r="W92" i="3"/>
  <c r="W80" i="3"/>
  <c r="X110" i="3"/>
  <c r="X74" i="3"/>
  <c r="X98" i="3"/>
  <c r="X116" i="3"/>
  <c r="X104" i="3"/>
  <c r="X122" i="3"/>
  <c r="X86" i="3"/>
  <c r="X68" i="3"/>
  <c r="X92" i="3"/>
  <c r="X80" i="3"/>
  <c r="X88" i="3"/>
  <c r="X90" i="3" s="1"/>
  <c r="Y88" i="3"/>
  <c r="Z88" i="3"/>
  <c r="AA88" i="3"/>
  <c r="AA90" i="3" s="1"/>
  <c r="AB88" i="3"/>
  <c r="AC88" i="3"/>
  <c r="AD88" i="3"/>
  <c r="AE88" i="3"/>
  <c r="AF88" i="3"/>
  <c r="AG88" i="3"/>
  <c r="AH88" i="3"/>
  <c r="X89" i="3"/>
  <c r="Y89" i="3"/>
  <c r="Z89" i="3"/>
  <c r="AA89" i="3"/>
  <c r="AB89" i="3"/>
  <c r="AB90" i="3" s="1"/>
  <c r="AC89" i="3"/>
  <c r="AD89" i="3"/>
  <c r="AD90" i="3" s="1"/>
  <c r="AE89" i="3"/>
  <c r="AF89" i="3"/>
  <c r="AG89" i="3"/>
  <c r="AH89" i="3"/>
  <c r="W82" i="3"/>
  <c r="X82" i="3"/>
  <c r="Y82" i="3"/>
  <c r="Z82" i="3"/>
  <c r="AA82" i="3"/>
  <c r="AB82" i="3"/>
  <c r="AC82" i="3"/>
  <c r="AD82" i="3"/>
  <c r="AE82" i="3"/>
  <c r="AF82" i="3"/>
  <c r="AG82" i="3"/>
  <c r="AH82" i="3"/>
  <c r="W83" i="3"/>
  <c r="X83" i="3"/>
  <c r="Y83" i="3"/>
  <c r="Z83" i="3"/>
  <c r="AA83" i="3"/>
  <c r="AA84" i="3" s="1"/>
  <c r="AB83" i="3"/>
  <c r="AC83" i="3"/>
  <c r="AD83" i="3"/>
  <c r="AD84" i="3" s="1"/>
  <c r="AE83" i="3"/>
  <c r="AF83" i="3"/>
  <c r="AG83" i="3"/>
  <c r="AH83" i="3"/>
  <c r="W84" i="3"/>
  <c r="V24" i="3"/>
  <c r="W24" i="3"/>
  <c r="W26" i="3" s="1"/>
  <c r="X24" i="3"/>
  <c r="Y24" i="3"/>
  <c r="Z24" i="3"/>
  <c r="AA24" i="3"/>
  <c r="AB24" i="3"/>
  <c r="AC24" i="3"/>
  <c r="AD24" i="3"/>
  <c r="AE24" i="3"/>
  <c r="AF24" i="3"/>
  <c r="AG24" i="3"/>
  <c r="AH24" i="3"/>
  <c r="V25" i="3"/>
  <c r="W25" i="3"/>
  <c r="X25" i="3"/>
  <c r="Y25" i="3"/>
  <c r="Z25" i="3"/>
  <c r="AA25" i="3"/>
  <c r="AB25" i="3"/>
  <c r="AC25" i="3"/>
  <c r="AC26" i="3" s="1"/>
  <c r="AD25" i="3"/>
  <c r="AE25" i="3"/>
  <c r="AF25" i="3"/>
  <c r="AG25" i="3"/>
  <c r="AH25" i="3"/>
  <c r="X17" i="3"/>
  <c r="Y17" i="3"/>
  <c r="Z17" i="3"/>
  <c r="AA17" i="3"/>
  <c r="AB17" i="3"/>
  <c r="AC17" i="3"/>
  <c r="AD17" i="3"/>
  <c r="AE17" i="3"/>
  <c r="AF17" i="3"/>
  <c r="AG17" i="3"/>
  <c r="AH17" i="3"/>
  <c r="X18" i="3"/>
  <c r="Y18" i="3"/>
  <c r="Z18" i="3"/>
  <c r="AA18" i="3"/>
  <c r="AB18" i="3"/>
  <c r="AC18" i="3"/>
  <c r="AD18" i="3"/>
  <c r="AE18" i="3"/>
  <c r="AF18" i="3"/>
  <c r="AG18" i="3"/>
  <c r="AH18" i="3"/>
  <c r="AA19" i="3"/>
  <c r="V18" i="3"/>
  <c r="W18" i="3"/>
  <c r="X30" i="3"/>
  <c r="X32" i="3" s="1"/>
  <c r="X31" i="3"/>
  <c r="X126" i="3"/>
  <c r="V126" i="3"/>
  <c r="V4" i="3"/>
  <c r="V49" i="3"/>
  <c r="W49" i="3"/>
  <c r="W4" i="3" s="1"/>
  <c r="W55" i="3"/>
  <c r="W56" i="3" s="1"/>
  <c r="W57" i="3" s="1"/>
  <c r="W53" i="3"/>
  <c r="W8" i="3" s="1"/>
  <c r="V55" i="3"/>
  <c r="V54" i="3" s="1"/>
  <c r="V53" i="3"/>
  <c r="V8" i="3" s="1"/>
  <c r="X49" i="3"/>
  <c r="X4" i="3" s="1"/>
  <c r="X55" i="3"/>
  <c r="X54" i="3" s="1"/>
  <c r="X53" i="3"/>
  <c r="X51" i="3" s="1"/>
  <c r="U4" i="3"/>
  <c r="T74" i="3"/>
  <c r="T98" i="3"/>
  <c r="T110" i="3"/>
  <c r="T116" i="3"/>
  <c r="T104" i="3"/>
  <c r="T122" i="3"/>
  <c r="T86" i="3"/>
  <c r="T68" i="3"/>
  <c r="T92" i="3"/>
  <c r="T80" i="3"/>
  <c r="U55" i="3"/>
  <c r="U126" i="3" s="1"/>
  <c r="U53" i="3"/>
  <c r="U8" i="3" s="1"/>
  <c r="U49" i="3"/>
  <c r="S55" i="3"/>
  <c r="S53" i="3"/>
  <c r="S49" i="3"/>
  <c r="S4" i="3" s="1"/>
  <c r="T126" i="3"/>
  <c r="T57" i="3"/>
  <c r="T56" i="3"/>
  <c r="T40" i="3"/>
  <c r="T47" i="3"/>
  <c r="T48" i="3" s="1"/>
  <c r="T34" i="3"/>
  <c r="T15" i="3"/>
  <c r="T22" i="3"/>
  <c r="T21" i="3"/>
  <c r="T28" i="3"/>
  <c r="T12" i="3"/>
  <c r="U12" i="3"/>
  <c r="V12" i="3"/>
  <c r="W12" i="3"/>
  <c r="X12" i="3"/>
  <c r="Y12" i="3"/>
  <c r="Y13" i="3" s="1"/>
  <c r="Z12" i="3"/>
  <c r="AA12" i="3"/>
  <c r="AA13" i="3" s="1"/>
  <c r="AB12" i="3"/>
  <c r="AC12" i="3"/>
  <c r="AD12" i="3"/>
  <c r="T11" i="3"/>
  <c r="U11" i="3"/>
  <c r="V11" i="3"/>
  <c r="W11" i="3"/>
  <c r="X11" i="3"/>
  <c r="Y11" i="3"/>
  <c r="Z11" i="3"/>
  <c r="AA11" i="3"/>
  <c r="AB11" i="3"/>
  <c r="AC11" i="3"/>
  <c r="AD11" i="3"/>
  <c r="T118" i="3"/>
  <c r="U118" i="3"/>
  <c r="V118" i="3"/>
  <c r="W118" i="3"/>
  <c r="X118" i="3"/>
  <c r="Y118" i="3"/>
  <c r="Z118" i="3"/>
  <c r="AA118" i="3"/>
  <c r="AB118" i="3"/>
  <c r="AC118" i="3"/>
  <c r="AD118" i="3"/>
  <c r="T4" i="3"/>
  <c r="S54" i="3"/>
  <c r="T54" i="3"/>
  <c r="S8" i="3"/>
  <c r="S74" i="3"/>
  <c r="S98" i="3"/>
  <c r="S110" i="3"/>
  <c r="S116" i="3"/>
  <c r="S104" i="3"/>
  <c r="S122" i="3"/>
  <c r="S86" i="3"/>
  <c r="S68" i="3"/>
  <c r="S92" i="3"/>
  <c r="S80" i="3"/>
  <c r="R74" i="3"/>
  <c r="R98" i="3"/>
  <c r="R110" i="3"/>
  <c r="R116" i="3"/>
  <c r="R104" i="3"/>
  <c r="R122" i="3"/>
  <c r="R86" i="3"/>
  <c r="R68" i="3"/>
  <c r="R92" i="3"/>
  <c r="R80" i="3"/>
  <c r="S126" i="3"/>
  <c r="S40" i="3"/>
  <c r="S47" i="3"/>
  <c r="S48" i="3" s="1"/>
  <c r="S34" i="3"/>
  <c r="S46" i="3"/>
  <c r="S15" i="3"/>
  <c r="S21" i="3"/>
  <c r="S22" i="3" s="1"/>
  <c r="S28" i="3"/>
  <c r="S82" i="3"/>
  <c r="T82" i="3"/>
  <c r="U82" i="3"/>
  <c r="V82" i="3"/>
  <c r="AC96" i="3"/>
  <c r="Y95" i="3"/>
  <c r="Z95" i="3"/>
  <c r="AA95" i="3"/>
  <c r="AA96" i="3" s="1"/>
  <c r="AB95" i="3"/>
  <c r="AB96" i="3" s="1"/>
  <c r="AC95" i="3"/>
  <c r="AD95" i="3"/>
  <c r="AD96" i="3" s="1"/>
  <c r="Y94" i="3"/>
  <c r="Z94" i="3"/>
  <c r="AA94" i="3"/>
  <c r="AB94" i="3"/>
  <c r="AC94" i="3"/>
  <c r="AD94" i="3"/>
  <c r="T107" i="3"/>
  <c r="U107" i="3"/>
  <c r="U108" i="3" s="1"/>
  <c r="V107" i="3"/>
  <c r="W107" i="3"/>
  <c r="W108" i="3" s="1"/>
  <c r="X107" i="3"/>
  <c r="Y107" i="3"/>
  <c r="Y108" i="3" s="1"/>
  <c r="Z107" i="3"/>
  <c r="AA107" i="3"/>
  <c r="AA108" i="3" s="1"/>
  <c r="AB107" i="3"/>
  <c r="AC107" i="3"/>
  <c r="AC108" i="3" s="1"/>
  <c r="AD107" i="3"/>
  <c r="T106" i="3"/>
  <c r="U106" i="3"/>
  <c r="V106" i="3"/>
  <c r="V108" i="3" s="1"/>
  <c r="W106" i="3"/>
  <c r="X106" i="3"/>
  <c r="Y106" i="3"/>
  <c r="Z106" i="3"/>
  <c r="Z108" i="3" s="1"/>
  <c r="AA106" i="3"/>
  <c r="AB106" i="3"/>
  <c r="AC106" i="3"/>
  <c r="AD106" i="3"/>
  <c r="S102" i="3"/>
  <c r="T100" i="3"/>
  <c r="T102" i="3" s="1"/>
  <c r="U100" i="3"/>
  <c r="V100" i="3"/>
  <c r="V102" i="3" s="1"/>
  <c r="W100" i="3"/>
  <c r="X100" i="3"/>
  <c r="Y100" i="3"/>
  <c r="Z100" i="3"/>
  <c r="AA100" i="3"/>
  <c r="AB100" i="3"/>
  <c r="AC100" i="3"/>
  <c r="AD100" i="3"/>
  <c r="AD102" i="3" s="1"/>
  <c r="S101" i="3"/>
  <c r="T101" i="3"/>
  <c r="U101" i="3"/>
  <c r="V101" i="3"/>
  <c r="W101" i="3"/>
  <c r="X101" i="3"/>
  <c r="X102" i="3" s="1"/>
  <c r="Y101" i="3"/>
  <c r="Z101" i="3"/>
  <c r="Z102" i="3" s="1"/>
  <c r="AA101" i="3"/>
  <c r="AA102" i="3" s="1"/>
  <c r="AB101" i="3"/>
  <c r="AC101" i="3"/>
  <c r="AC102" i="3" s="1"/>
  <c r="AD101" i="3"/>
  <c r="S100" i="3"/>
  <c r="S107" i="3"/>
  <c r="S106" i="3"/>
  <c r="S108" i="3" s="1"/>
  <c r="R102" i="3"/>
  <c r="R101" i="3"/>
  <c r="R100" i="3"/>
  <c r="R55" i="3"/>
  <c r="R126" i="3" s="1"/>
  <c r="R53" i="3"/>
  <c r="R8" i="3" s="1"/>
  <c r="R49" i="3"/>
  <c r="R4" i="3" s="1"/>
  <c r="R28" i="3"/>
  <c r="R21" i="3"/>
  <c r="R22" i="3" s="1"/>
  <c r="R15" i="3"/>
  <c r="R47" i="3"/>
  <c r="R48" i="3" s="1"/>
  <c r="R40" i="3"/>
  <c r="R34" i="3"/>
  <c r="R46" i="3"/>
  <c r="R56" i="3"/>
  <c r="R57" i="3" s="1"/>
  <c r="Q47" i="3"/>
  <c r="Q48" i="3" s="1"/>
  <c r="Q40" i="3"/>
  <c r="Q34" i="3"/>
  <c r="Q46" i="3"/>
  <c r="Q15" i="3"/>
  <c r="Q21" i="3"/>
  <c r="Q22" i="3" s="1"/>
  <c r="Q28" i="3"/>
  <c r="Q74" i="3"/>
  <c r="Q98" i="3"/>
  <c r="Q110" i="3"/>
  <c r="Q116" i="3"/>
  <c r="Q104" i="3"/>
  <c r="Q122" i="3"/>
  <c r="Q86" i="3"/>
  <c r="Q68" i="3"/>
  <c r="Q92" i="3"/>
  <c r="Q80" i="3"/>
  <c r="P74" i="3"/>
  <c r="P98" i="3"/>
  <c r="P110" i="3"/>
  <c r="P92" i="3"/>
  <c r="P104" i="3"/>
  <c r="P122" i="3"/>
  <c r="P68" i="3"/>
  <c r="P80" i="3"/>
  <c r="P86" i="3"/>
  <c r="P116" i="3"/>
  <c r="O98" i="3"/>
  <c r="O74" i="3"/>
  <c r="O110" i="3"/>
  <c r="O116" i="3"/>
  <c r="O104" i="3"/>
  <c r="O122" i="3"/>
  <c r="O86" i="3"/>
  <c r="O68" i="3"/>
  <c r="O92" i="3"/>
  <c r="O80" i="3"/>
  <c r="P47" i="3"/>
  <c r="P48" i="3" s="1"/>
  <c r="O47" i="3"/>
  <c r="O48" i="3" s="1"/>
  <c r="N47" i="3"/>
  <c r="N48" i="3" s="1"/>
  <c r="M47" i="3"/>
  <c r="M48" i="3" s="1"/>
  <c r="L47" i="3"/>
  <c r="L48" i="3" s="1"/>
  <c r="K47" i="3"/>
  <c r="K48" i="3" s="1"/>
  <c r="J48" i="3"/>
  <c r="J47" i="3"/>
  <c r="I47" i="3"/>
  <c r="I48" i="3" s="1"/>
  <c r="I46" i="3"/>
  <c r="I40" i="3"/>
  <c r="H47" i="3"/>
  <c r="H48" i="3" s="1"/>
  <c r="H46" i="3"/>
  <c r="H40" i="3"/>
  <c r="G47" i="3"/>
  <c r="G48" i="3" s="1"/>
  <c r="O40" i="3"/>
  <c r="P28" i="3"/>
  <c r="P21" i="3"/>
  <c r="P22" i="3" s="1"/>
  <c r="P15" i="3"/>
  <c r="P46" i="3"/>
  <c r="P34" i="3"/>
  <c r="P40" i="3"/>
  <c r="O28" i="3"/>
  <c r="O21" i="3"/>
  <c r="O22" i="3" s="1"/>
  <c r="O15" i="3"/>
  <c r="O46" i="3"/>
  <c r="O34" i="3"/>
  <c r="N46" i="3"/>
  <c r="N28" i="3"/>
  <c r="N21" i="3"/>
  <c r="N22" i="3" s="1"/>
  <c r="N15" i="3"/>
  <c r="N34" i="3"/>
  <c r="N40" i="3"/>
  <c r="M28" i="3"/>
  <c r="M21" i="3"/>
  <c r="M22" i="3" s="1"/>
  <c r="M15" i="3"/>
  <c r="M46" i="3"/>
  <c r="M34" i="3"/>
  <c r="M40" i="3"/>
  <c r="L28" i="3"/>
  <c r="L21" i="3"/>
  <c r="L22" i="3" s="1"/>
  <c r="L15" i="3"/>
  <c r="L46" i="3"/>
  <c r="L34" i="3"/>
  <c r="L40" i="3"/>
  <c r="K28" i="3"/>
  <c r="K21" i="3"/>
  <c r="K22" i="3" s="1"/>
  <c r="K15" i="3"/>
  <c r="K46" i="3"/>
  <c r="K34" i="3"/>
  <c r="K40" i="3"/>
  <c r="J28" i="3"/>
  <c r="J21" i="3"/>
  <c r="J22" i="3" s="1"/>
  <c r="J15" i="3"/>
  <c r="J46" i="3"/>
  <c r="J34" i="3"/>
  <c r="J40" i="3"/>
  <c r="I28" i="3"/>
  <c r="I22" i="3"/>
  <c r="I21" i="3"/>
  <c r="I15" i="3"/>
  <c r="I34" i="3"/>
  <c r="G46" i="3"/>
  <c r="G34" i="3"/>
  <c r="G40" i="3"/>
  <c r="H34" i="3"/>
  <c r="H28" i="3"/>
  <c r="H21" i="3"/>
  <c r="H22" i="3" s="1"/>
  <c r="H15" i="3"/>
  <c r="F28" i="3"/>
  <c r="G28" i="3"/>
  <c r="G21" i="3"/>
  <c r="G22" i="3" s="1"/>
  <c r="G15" i="3"/>
  <c r="O126" i="3"/>
  <c r="Q126" i="3"/>
  <c r="O100" i="3"/>
  <c r="O102" i="3" s="1"/>
  <c r="P100" i="3"/>
  <c r="Q100" i="3"/>
  <c r="O101" i="3"/>
  <c r="P101" i="3"/>
  <c r="Q101" i="3"/>
  <c r="Q102" i="3" s="1"/>
  <c r="Q49" i="3"/>
  <c r="Q4" i="3" s="1"/>
  <c r="Q55" i="3"/>
  <c r="Q53" i="3"/>
  <c r="Q8" i="3" s="1"/>
  <c r="P49" i="3"/>
  <c r="P4" i="3" s="1"/>
  <c r="P55" i="3"/>
  <c r="P54" i="3" s="1"/>
  <c r="P53" i="3"/>
  <c r="O54" i="3"/>
  <c r="O55" i="3"/>
  <c r="O56" i="3" s="1"/>
  <c r="O57" i="3" s="1"/>
  <c r="O49" i="3"/>
  <c r="O4" i="3" s="1"/>
  <c r="O53" i="3"/>
  <c r="O8" i="3" s="1"/>
  <c r="P8" i="3"/>
  <c r="Q11" i="3"/>
  <c r="Q13" i="3" s="1"/>
  <c r="R11" i="3"/>
  <c r="S11" i="3"/>
  <c r="Q12" i="3"/>
  <c r="R12" i="3"/>
  <c r="S12" i="3"/>
  <c r="N74" i="3"/>
  <c r="N98" i="3"/>
  <c r="N110" i="3"/>
  <c r="N116" i="3"/>
  <c r="N104" i="3"/>
  <c r="N122" i="3"/>
  <c r="N86" i="3"/>
  <c r="N68" i="3"/>
  <c r="N92" i="3"/>
  <c r="N80" i="3"/>
  <c r="N126" i="3"/>
  <c r="N8" i="3"/>
  <c r="N55" i="3"/>
  <c r="N56" i="3" s="1"/>
  <c r="N57" i="3" s="1"/>
  <c r="N49" i="3"/>
  <c r="N4" i="3" s="1"/>
  <c r="N53" i="3"/>
  <c r="M116" i="3"/>
  <c r="K74" i="3"/>
  <c r="K98" i="3"/>
  <c r="K110" i="3"/>
  <c r="K116" i="3"/>
  <c r="K104" i="3"/>
  <c r="K122" i="3"/>
  <c r="K86" i="3"/>
  <c r="K68" i="3"/>
  <c r="K92" i="3"/>
  <c r="K80" i="3"/>
  <c r="L74" i="3"/>
  <c r="L98" i="3"/>
  <c r="L110" i="3"/>
  <c r="L116" i="3"/>
  <c r="L104" i="3"/>
  <c r="L122" i="3"/>
  <c r="L86" i="3"/>
  <c r="L68" i="3"/>
  <c r="L92" i="3"/>
  <c r="L80" i="3"/>
  <c r="M74" i="3"/>
  <c r="M98" i="3"/>
  <c r="M110" i="3"/>
  <c r="M104" i="3"/>
  <c r="M122" i="3"/>
  <c r="M86" i="3"/>
  <c r="M68" i="3"/>
  <c r="M92" i="3"/>
  <c r="M80" i="3"/>
  <c r="M4" i="3"/>
  <c r="M126" i="3"/>
  <c r="L49" i="3"/>
  <c r="M54" i="3"/>
  <c r="M55" i="3"/>
  <c r="M56" i="3" s="1"/>
  <c r="M57" i="3" s="1"/>
  <c r="M53" i="3"/>
  <c r="M8" i="3" s="1"/>
  <c r="M49" i="3"/>
  <c r="M59" i="3"/>
  <c r="M60" i="3"/>
  <c r="L119" i="3"/>
  <c r="M119" i="3"/>
  <c r="N119" i="3"/>
  <c r="O119" i="3"/>
  <c r="P119" i="3"/>
  <c r="Q119" i="3"/>
  <c r="R119" i="3"/>
  <c r="S119" i="3"/>
  <c r="T119" i="3"/>
  <c r="T120" i="3" s="1"/>
  <c r="U119" i="3"/>
  <c r="V119" i="3"/>
  <c r="W119" i="3"/>
  <c r="W120" i="3" s="1"/>
  <c r="X119" i="3"/>
  <c r="X120" i="3" s="1"/>
  <c r="Y119" i="3"/>
  <c r="Y120" i="3" s="1"/>
  <c r="Z119" i="3"/>
  <c r="Z120" i="3" s="1"/>
  <c r="AA119" i="3"/>
  <c r="AB119" i="3"/>
  <c r="AB120" i="3" s="1"/>
  <c r="AC119" i="3"/>
  <c r="AD119" i="3"/>
  <c r="R6" i="3" l="1"/>
  <c r="X8" i="3"/>
  <c r="X6" i="3" s="1"/>
  <c r="AA120" i="3"/>
  <c r="P56" i="3"/>
  <c r="P57" i="3" s="1"/>
  <c r="Y102" i="3"/>
  <c r="X56" i="3"/>
  <c r="X57" i="3" s="1"/>
  <c r="V56" i="3"/>
  <c r="V57" i="3" s="1"/>
  <c r="AH52" i="3"/>
  <c r="AE32" i="3"/>
  <c r="AB108" i="3"/>
  <c r="U13" i="3"/>
  <c r="V51" i="3"/>
  <c r="W126" i="3"/>
  <c r="AF26" i="3"/>
  <c r="AE84" i="3"/>
  <c r="AB32" i="3"/>
  <c r="W13" i="3"/>
  <c r="X50" i="3"/>
  <c r="X52" i="3" s="1"/>
  <c r="Q54" i="3"/>
  <c r="R54" i="3"/>
  <c r="AD13" i="3"/>
  <c r="AH19" i="3"/>
  <c r="Z19" i="3"/>
  <c r="AB102" i="3"/>
  <c r="W54" i="3"/>
  <c r="AH26" i="3"/>
  <c r="AF84" i="3"/>
  <c r="AB84" i="3"/>
  <c r="W9" i="3"/>
  <c r="AA8" i="3"/>
  <c r="AA6" i="3" s="1"/>
  <c r="N6" i="3"/>
  <c r="AC120" i="3"/>
  <c r="U120" i="3"/>
  <c r="P126" i="3"/>
  <c r="Q56" i="3"/>
  <c r="Q57" i="3" s="1"/>
  <c r="X108" i="3"/>
  <c r="Y96" i="3"/>
  <c r="AB13" i="3"/>
  <c r="T13" i="3"/>
  <c r="AG26" i="3"/>
  <c r="AH90" i="3"/>
  <c r="Y54" i="3"/>
  <c r="AE44" i="3"/>
  <c r="AH84" i="3"/>
  <c r="AH32" i="3"/>
  <c r="AF38" i="3"/>
  <c r="AC38" i="3"/>
  <c r="Z38" i="3"/>
  <c r="AH38" i="3"/>
  <c r="AG90" i="3"/>
  <c r="AG84" i="3"/>
  <c r="AG52" i="3"/>
  <c r="AG38" i="3"/>
  <c r="AF52" i="3"/>
  <c r="AG19" i="3"/>
  <c r="X19" i="3"/>
  <c r="AE19" i="3"/>
  <c r="X9" i="3"/>
  <c r="AG32" i="3"/>
  <c r="AD32" i="3"/>
  <c r="AF32" i="3"/>
  <c r="Z9" i="3"/>
  <c r="AH44" i="3"/>
  <c r="Z44" i="3"/>
  <c r="AG44" i="3"/>
  <c r="Y44" i="3"/>
  <c r="V9" i="3"/>
  <c r="AF44" i="3"/>
  <c r="AB26" i="3"/>
  <c r="V26" i="3"/>
  <c r="AF19" i="3"/>
  <c r="AF90" i="3"/>
  <c r="AE52" i="3"/>
  <c r="AE90" i="3"/>
  <c r="AE26" i="3"/>
  <c r="AD19" i="3"/>
  <c r="AD44" i="3"/>
  <c r="AD108" i="3"/>
  <c r="AD26" i="3"/>
  <c r="AD120" i="3"/>
  <c r="AD52" i="3"/>
  <c r="AC84" i="3"/>
  <c r="AC13" i="3"/>
  <c r="AC19" i="3"/>
  <c r="AC90" i="3"/>
  <c r="AC52" i="3"/>
  <c r="AB38" i="3"/>
  <c r="AB19" i="3"/>
  <c r="AB44" i="3"/>
  <c r="AA9" i="3"/>
  <c r="AA52" i="3"/>
  <c r="AA32" i="3"/>
  <c r="AA26" i="3"/>
  <c r="AA44" i="3"/>
  <c r="Z26" i="3"/>
  <c r="Z90" i="3"/>
  <c r="Z96" i="3"/>
  <c r="Z84" i="3"/>
  <c r="Z13" i="3"/>
  <c r="Z51" i="3"/>
  <c r="Z52" i="3" s="1"/>
  <c r="Z6" i="3"/>
  <c r="Y9" i="3"/>
  <c r="Y90" i="3"/>
  <c r="Y84" i="3"/>
  <c r="Y26" i="3"/>
  <c r="Y6" i="3"/>
  <c r="Y19" i="3"/>
  <c r="X84" i="3"/>
  <c r="W102" i="3"/>
  <c r="V120" i="3"/>
  <c r="X26" i="3"/>
  <c r="X13" i="3"/>
  <c r="V13" i="3"/>
  <c r="V6" i="3"/>
  <c r="W6" i="3"/>
  <c r="U102" i="3"/>
  <c r="T108" i="3"/>
  <c r="S6" i="3"/>
  <c r="S9" i="3"/>
  <c r="R9" i="3"/>
  <c r="S13" i="3"/>
  <c r="R13" i="3"/>
  <c r="Q9" i="3"/>
  <c r="P9" i="3"/>
  <c r="O9" i="3"/>
  <c r="N9" i="3"/>
  <c r="M9" i="3"/>
  <c r="P102" i="3"/>
  <c r="P6" i="3"/>
  <c r="O6" i="3"/>
  <c r="Q6" i="3"/>
  <c r="N54" i="3"/>
  <c r="M6" i="3"/>
  <c r="M61" i="3"/>
  <c r="L4" i="3"/>
  <c r="L55" i="3"/>
  <c r="L56" i="3" s="1"/>
  <c r="L57" i="3" s="1"/>
  <c r="L53" i="3"/>
  <c r="L8" i="3" s="1"/>
  <c r="K49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K113" i="3"/>
  <c r="L113" i="3"/>
  <c r="M113" i="3"/>
  <c r="N113" i="3"/>
  <c r="O113" i="3"/>
  <c r="O114" i="3" s="1"/>
  <c r="P113" i="3"/>
  <c r="P114" i="3" s="1"/>
  <c r="Q113" i="3"/>
  <c r="Q114" i="3" s="1"/>
  <c r="R113" i="3"/>
  <c r="R114" i="3" s="1"/>
  <c r="S113" i="3"/>
  <c r="S114" i="3" s="1"/>
  <c r="T113" i="3"/>
  <c r="U113" i="3"/>
  <c r="V113" i="3"/>
  <c r="V114" i="3" s="1"/>
  <c r="W113" i="3"/>
  <c r="W114" i="3" s="1"/>
  <c r="X113" i="3"/>
  <c r="X114" i="3" s="1"/>
  <c r="Y113" i="3"/>
  <c r="Y114" i="3" s="1"/>
  <c r="Z113" i="3"/>
  <c r="Z114" i="3" s="1"/>
  <c r="AA113" i="3"/>
  <c r="AA114" i="3" s="1"/>
  <c r="AB113" i="3"/>
  <c r="AC113" i="3"/>
  <c r="AC114" i="3" s="1"/>
  <c r="AD113" i="3"/>
  <c r="AD114" i="3" s="1"/>
  <c r="AE113" i="3"/>
  <c r="AF113" i="3"/>
  <c r="AF114" i="3" s="1"/>
  <c r="AG113" i="3"/>
  <c r="AG114" i="3" s="1"/>
  <c r="AH113" i="3"/>
  <c r="AH114" i="3" s="1"/>
  <c r="K114" i="3"/>
  <c r="L114" i="3"/>
  <c r="U114" i="3"/>
  <c r="AE114" i="3"/>
  <c r="K76" i="3"/>
  <c r="L76" i="3"/>
  <c r="M76" i="3"/>
  <c r="M78" i="3" s="1"/>
  <c r="N76" i="3"/>
  <c r="O76" i="3"/>
  <c r="O78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H78" i="3" s="1"/>
  <c r="K77" i="3"/>
  <c r="L77" i="3"/>
  <c r="M77" i="3"/>
  <c r="N77" i="3"/>
  <c r="N78" i="3" s="1"/>
  <c r="O77" i="3"/>
  <c r="P77" i="3"/>
  <c r="P78" i="3" s="1"/>
  <c r="Q77" i="3"/>
  <c r="Q78" i="3" s="1"/>
  <c r="R77" i="3"/>
  <c r="S77" i="3"/>
  <c r="S78" i="3" s="1"/>
  <c r="T77" i="3"/>
  <c r="U77" i="3"/>
  <c r="U78" i="3" s="1"/>
  <c r="V77" i="3"/>
  <c r="V78" i="3" s="1"/>
  <c r="W77" i="3"/>
  <c r="X77" i="3"/>
  <c r="Y77" i="3"/>
  <c r="Z77" i="3"/>
  <c r="Z78" i="3" s="1"/>
  <c r="AA77" i="3"/>
  <c r="AB77" i="3"/>
  <c r="AC77" i="3"/>
  <c r="AC78" i="3" s="1"/>
  <c r="AD77" i="3"/>
  <c r="AE77" i="3"/>
  <c r="AE78" i="3" s="1"/>
  <c r="AF77" i="3"/>
  <c r="AF78" i="3" s="1"/>
  <c r="AG77" i="3"/>
  <c r="AG78" i="3" s="1"/>
  <c r="AH77" i="3"/>
  <c r="K78" i="3"/>
  <c r="AA78" i="3"/>
  <c r="AD78" i="3"/>
  <c r="K70" i="3"/>
  <c r="L70" i="3"/>
  <c r="M70" i="3"/>
  <c r="N70" i="3"/>
  <c r="O70" i="3"/>
  <c r="O72" i="3" s="1"/>
  <c r="P70" i="3"/>
  <c r="Q70" i="3"/>
  <c r="R70" i="3"/>
  <c r="S70" i="3"/>
  <c r="T70" i="3"/>
  <c r="U70" i="3"/>
  <c r="V70" i="3"/>
  <c r="W70" i="3"/>
  <c r="X70" i="3"/>
  <c r="X72" i="3" s="1"/>
  <c r="Y70" i="3"/>
  <c r="Y72" i="3" s="1"/>
  <c r="Z70" i="3"/>
  <c r="AA70" i="3"/>
  <c r="AB70" i="3"/>
  <c r="AC70" i="3"/>
  <c r="AD70" i="3"/>
  <c r="AE70" i="3"/>
  <c r="AF70" i="3"/>
  <c r="AG70" i="3"/>
  <c r="AH70" i="3"/>
  <c r="K71" i="3"/>
  <c r="L71" i="3"/>
  <c r="L72" i="3" s="1"/>
  <c r="M71" i="3"/>
  <c r="N71" i="3"/>
  <c r="N72" i="3" s="1"/>
  <c r="O71" i="3"/>
  <c r="P71" i="3"/>
  <c r="Q71" i="3"/>
  <c r="R71" i="3"/>
  <c r="S71" i="3"/>
  <c r="T71" i="3"/>
  <c r="U71" i="3"/>
  <c r="U72" i="3" s="1"/>
  <c r="V71" i="3"/>
  <c r="V72" i="3" s="1"/>
  <c r="W71" i="3"/>
  <c r="X71" i="3"/>
  <c r="Y71" i="3"/>
  <c r="Z71" i="3"/>
  <c r="AA71" i="3"/>
  <c r="AB71" i="3"/>
  <c r="AB72" i="3" s="1"/>
  <c r="AC71" i="3"/>
  <c r="AC72" i="3" s="1"/>
  <c r="AD71" i="3"/>
  <c r="AE71" i="3"/>
  <c r="AE72" i="3" s="1"/>
  <c r="AF71" i="3"/>
  <c r="AF72" i="3" s="1"/>
  <c r="AG71" i="3"/>
  <c r="AH71" i="3"/>
  <c r="AH72" i="3" s="1"/>
  <c r="K72" i="3"/>
  <c r="T72" i="3"/>
  <c r="AD72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W66" i="3" s="1"/>
  <c r="X64" i="3"/>
  <c r="Y64" i="3"/>
  <c r="Z64" i="3"/>
  <c r="AA64" i="3"/>
  <c r="AB64" i="3"/>
  <c r="AB66" i="3" s="1"/>
  <c r="AC64" i="3"/>
  <c r="AD64" i="3"/>
  <c r="AE64" i="3"/>
  <c r="AF64" i="3"/>
  <c r="AG64" i="3"/>
  <c r="AH64" i="3"/>
  <c r="K65" i="3"/>
  <c r="L65" i="3"/>
  <c r="L66" i="3" s="1"/>
  <c r="M65" i="3"/>
  <c r="M66" i="3" s="1"/>
  <c r="N65" i="3"/>
  <c r="N66" i="3" s="1"/>
  <c r="O65" i="3"/>
  <c r="O66" i="3" s="1"/>
  <c r="P65" i="3"/>
  <c r="Q65" i="3"/>
  <c r="R65" i="3"/>
  <c r="S65" i="3"/>
  <c r="T65" i="3"/>
  <c r="T66" i="3" s="1"/>
  <c r="U65" i="3"/>
  <c r="V65" i="3"/>
  <c r="V66" i="3" s="1"/>
  <c r="W65" i="3"/>
  <c r="X65" i="3"/>
  <c r="Y65" i="3"/>
  <c r="Z65" i="3"/>
  <c r="AA65" i="3"/>
  <c r="AA66" i="3" s="1"/>
  <c r="AB65" i="3"/>
  <c r="AC65" i="3"/>
  <c r="AC66" i="3" s="1"/>
  <c r="AD65" i="3"/>
  <c r="AE65" i="3"/>
  <c r="AE66" i="3" s="1"/>
  <c r="AF65" i="3"/>
  <c r="AF66" i="3" s="1"/>
  <c r="AG65" i="3"/>
  <c r="AG66" i="3" s="1"/>
  <c r="AH65" i="3"/>
  <c r="AH66" i="3" s="1"/>
  <c r="K66" i="3"/>
  <c r="R66" i="3"/>
  <c r="U66" i="3"/>
  <c r="AD66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E61" i="3" s="1"/>
  <c r="AF59" i="3"/>
  <c r="AG59" i="3"/>
  <c r="AH59" i="3"/>
  <c r="O60" i="3"/>
  <c r="P60" i="3"/>
  <c r="Q60" i="3"/>
  <c r="R60" i="3"/>
  <c r="S60" i="3"/>
  <c r="S61" i="3" s="1"/>
  <c r="T60" i="3"/>
  <c r="T61" i="3" s="1"/>
  <c r="U60" i="3"/>
  <c r="V60" i="3"/>
  <c r="V61" i="3" s="1"/>
  <c r="W60" i="3"/>
  <c r="X60" i="3"/>
  <c r="Y60" i="3"/>
  <c r="Z60" i="3"/>
  <c r="AA60" i="3"/>
  <c r="AA61" i="3" s="1"/>
  <c r="AB60" i="3"/>
  <c r="AB61" i="3" s="1"/>
  <c r="AC60" i="3"/>
  <c r="AC61" i="3" s="1"/>
  <c r="AD60" i="3"/>
  <c r="AD61" i="3" s="1"/>
  <c r="AE60" i="3"/>
  <c r="AF60" i="3"/>
  <c r="AG60" i="3"/>
  <c r="AH60" i="3"/>
  <c r="K59" i="3"/>
  <c r="K61" i="3" s="1"/>
  <c r="L59" i="3"/>
  <c r="N59" i="3"/>
  <c r="N61" i="3" s="1"/>
  <c r="K60" i="3"/>
  <c r="L60" i="3"/>
  <c r="N60" i="3"/>
  <c r="K4" i="3"/>
  <c r="K55" i="3"/>
  <c r="K53" i="3"/>
  <c r="K8" i="3" s="1"/>
  <c r="Q72" i="3" l="1"/>
  <c r="K54" i="3"/>
  <c r="K56" i="3"/>
  <c r="L78" i="3"/>
  <c r="AB114" i="3"/>
  <c r="P66" i="3"/>
  <c r="L54" i="3"/>
  <c r="R61" i="3"/>
  <c r="AG61" i="3"/>
  <c r="U61" i="3"/>
  <c r="X61" i="3"/>
  <c r="K126" i="3"/>
  <c r="Q61" i="3"/>
  <c r="AF61" i="3"/>
  <c r="W61" i="3"/>
  <c r="Z72" i="3"/>
  <c r="L126" i="3"/>
  <c r="L9" i="3"/>
  <c r="AH61" i="3"/>
  <c r="AG72" i="3"/>
  <c r="AB78" i="3"/>
  <c r="AA72" i="3"/>
  <c r="P61" i="3"/>
  <c r="Z61" i="3"/>
  <c r="Z66" i="3"/>
  <c r="Y66" i="3"/>
  <c r="Y78" i="3"/>
  <c r="Y61" i="3"/>
  <c r="X78" i="3"/>
  <c r="W78" i="3"/>
  <c r="W72" i="3"/>
  <c r="X66" i="3"/>
  <c r="T114" i="3"/>
  <c r="T78" i="3"/>
  <c r="S66" i="3"/>
  <c r="S72" i="3"/>
  <c r="R78" i="3"/>
  <c r="R72" i="3"/>
  <c r="P72" i="3"/>
  <c r="Q66" i="3"/>
  <c r="O61" i="3"/>
  <c r="M114" i="3"/>
  <c r="M72" i="3"/>
  <c r="L61" i="3"/>
  <c r="L6" i="3"/>
  <c r="N114" i="3"/>
  <c r="F60" i="3"/>
  <c r="F61" i="3" s="1"/>
  <c r="G60" i="3"/>
  <c r="H60" i="3"/>
  <c r="I60" i="3"/>
  <c r="J60" i="3"/>
  <c r="F59" i="3"/>
  <c r="G59" i="3"/>
  <c r="H59" i="3"/>
  <c r="I59" i="3"/>
  <c r="I61" i="3" s="1"/>
  <c r="J59" i="3"/>
  <c r="D74" i="3"/>
  <c r="D98" i="3"/>
  <c r="D110" i="3"/>
  <c r="D116" i="3"/>
  <c r="D104" i="3"/>
  <c r="D122" i="3"/>
  <c r="D86" i="3"/>
  <c r="D68" i="3"/>
  <c r="D92" i="3"/>
  <c r="D80" i="3"/>
  <c r="E74" i="3"/>
  <c r="E98" i="3"/>
  <c r="E110" i="3"/>
  <c r="E104" i="3"/>
  <c r="E122" i="3"/>
  <c r="E86" i="3"/>
  <c r="E68" i="3"/>
  <c r="E92" i="3"/>
  <c r="E80" i="3"/>
  <c r="G116" i="3"/>
  <c r="F74" i="3"/>
  <c r="F98" i="3"/>
  <c r="F110" i="3"/>
  <c r="F116" i="3"/>
  <c r="F104" i="3"/>
  <c r="F122" i="3"/>
  <c r="F86" i="3"/>
  <c r="F68" i="3"/>
  <c r="F92" i="3"/>
  <c r="F80" i="3"/>
  <c r="G74" i="3"/>
  <c r="G98" i="3"/>
  <c r="G110" i="3"/>
  <c r="G104" i="3"/>
  <c r="G122" i="3"/>
  <c r="G86" i="3"/>
  <c r="G68" i="3"/>
  <c r="G92" i="3"/>
  <c r="G80" i="3"/>
  <c r="H74" i="3"/>
  <c r="H98" i="3"/>
  <c r="H110" i="3"/>
  <c r="H116" i="3"/>
  <c r="H104" i="3"/>
  <c r="H122" i="3"/>
  <c r="H86" i="3"/>
  <c r="H68" i="3"/>
  <c r="H92" i="3"/>
  <c r="H80" i="3"/>
  <c r="I74" i="3"/>
  <c r="I98" i="3"/>
  <c r="I110" i="3"/>
  <c r="I104" i="3"/>
  <c r="I122" i="3"/>
  <c r="I86" i="3"/>
  <c r="I68" i="3"/>
  <c r="I92" i="3"/>
  <c r="I80" i="3"/>
  <c r="J74" i="3"/>
  <c r="J98" i="3"/>
  <c r="J110" i="3"/>
  <c r="J116" i="3"/>
  <c r="J104" i="3"/>
  <c r="J122" i="3"/>
  <c r="J86" i="3"/>
  <c r="J68" i="3"/>
  <c r="J92" i="3"/>
  <c r="J80" i="3"/>
  <c r="J55" i="3"/>
  <c r="J56" i="3" s="1"/>
  <c r="J57" i="3" s="1"/>
  <c r="J53" i="3"/>
  <c r="J8" i="3" s="1"/>
  <c r="J49" i="3"/>
  <c r="I55" i="3"/>
  <c r="I56" i="3" s="1"/>
  <c r="I57" i="3" s="1"/>
  <c r="I53" i="3"/>
  <c r="I8" i="3" s="1"/>
  <c r="I49" i="3"/>
  <c r="H55" i="3"/>
  <c r="H56" i="3" s="1"/>
  <c r="H57" i="3" s="1"/>
  <c r="H53" i="3"/>
  <c r="H8" i="3" s="1"/>
  <c r="H49" i="3"/>
  <c r="E112" i="3"/>
  <c r="F112" i="3"/>
  <c r="G112" i="3"/>
  <c r="G114" i="3" s="1"/>
  <c r="H112" i="3"/>
  <c r="I112" i="3"/>
  <c r="J112" i="3"/>
  <c r="D112" i="3"/>
  <c r="E113" i="3"/>
  <c r="F113" i="3"/>
  <c r="G113" i="3"/>
  <c r="H113" i="3"/>
  <c r="I113" i="3"/>
  <c r="J113" i="3"/>
  <c r="J9" i="3" l="1"/>
  <c r="I9" i="3"/>
  <c r="K57" i="3"/>
  <c r="K9" i="3"/>
  <c r="H114" i="3"/>
  <c r="J61" i="3"/>
  <c r="H9" i="3"/>
  <c r="H61" i="3"/>
  <c r="G61" i="3"/>
  <c r="F114" i="3"/>
  <c r="J114" i="3"/>
  <c r="I114" i="3"/>
  <c r="E114" i="3"/>
  <c r="I77" i="3"/>
  <c r="I78" i="3" s="1"/>
  <c r="J77" i="3"/>
  <c r="I76" i="3"/>
  <c r="J76" i="3"/>
  <c r="I65" i="3"/>
  <c r="J65" i="3"/>
  <c r="J66" i="3" s="1"/>
  <c r="I64" i="3"/>
  <c r="I66" i="3" s="1"/>
  <c r="J64" i="3"/>
  <c r="I71" i="3"/>
  <c r="J71" i="3"/>
  <c r="I70" i="3"/>
  <c r="I72" i="3" s="1"/>
  <c r="J70" i="3"/>
  <c r="H126" i="3"/>
  <c r="I126" i="3"/>
  <c r="J126" i="3"/>
  <c r="G55" i="3"/>
  <c r="G56" i="3" s="1"/>
  <c r="G57" i="3" s="1"/>
  <c r="G53" i="3"/>
  <c r="G8" i="3" s="1"/>
  <c r="G49" i="3"/>
  <c r="G4" i="3" s="1"/>
  <c r="G126" i="3"/>
  <c r="AI127" i="3"/>
  <c r="AI128" i="3"/>
  <c r="AJ128" i="3" s="1"/>
  <c r="F126" i="3"/>
  <c r="F47" i="3"/>
  <c r="F48" i="3" s="1"/>
  <c r="F40" i="3"/>
  <c r="F34" i="3"/>
  <c r="F46" i="3"/>
  <c r="F15" i="3"/>
  <c r="F21" i="3"/>
  <c r="F22" i="3" s="1"/>
  <c r="F55" i="3"/>
  <c r="F56" i="3" s="1"/>
  <c r="F57" i="3" s="1"/>
  <c r="F53" i="3"/>
  <c r="F8" i="3" s="1"/>
  <c r="F49" i="3"/>
  <c r="F50" i="3" s="1"/>
  <c r="U6" i="3"/>
  <c r="F4" i="3"/>
  <c r="H4" i="3"/>
  <c r="I4" i="3"/>
  <c r="I6" i="3" s="1"/>
  <c r="J4" i="3"/>
  <c r="J6" i="3" s="1"/>
  <c r="E18" i="3"/>
  <c r="E19" i="3" s="1"/>
  <c r="F18" i="3"/>
  <c r="G18" i="3"/>
  <c r="H18" i="3"/>
  <c r="I18" i="3"/>
  <c r="I19" i="3" s="1"/>
  <c r="J18" i="3"/>
  <c r="K18" i="3"/>
  <c r="L18" i="3"/>
  <c r="M18" i="3"/>
  <c r="N18" i="3"/>
  <c r="O18" i="3"/>
  <c r="P18" i="3"/>
  <c r="Q18" i="3"/>
  <c r="Q19" i="3" s="1"/>
  <c r="R18" i="3"/>
  <c r="S18" i="3"/>
  <c r="S19" i="3" s="1"/>
  <c r="T18" i="3"/>
  <c r="U18" i="3"/>
  <c r="E17" i="3"/>
  <c r="F17" i="3"/>
  <c r="G17" i="3"/>
  <c r="H17" i="3"/>
  <c r="I17" i="3"/>
  <c r="J17" i="3"/>
  <c r="J19" i="3" s="1"/>
  <c r="K17" i="3"/>
  <c r="L17" i="3"/>
  <c r="M17" i="3"/>
  <c r="N17" i="3"/>
  <c r="O17" i="3"/>
  <c r="P17" i="3"/>
  <c r="Q17" i="3"/>
  <c r="R17" i="3"/>
  <c r="S17" i="3"/>
  <c r="T17" i="3"/>
  <c r="U17" i="3"/>
  <c r="V17" i="3"/>
  <c r="V19" i="3" s="1"/>
  <c r="W17" i="3"/>
  <c r="W19" i="3" s="1"/>
  <c r="D47" i="3"/>
  <c r="D48" i="3" s="1"/>
  <c r="D40" i="3"/>
  <c r="E40" i="3"/>
  <c r="E47" i="3"/>
  <c r="E48" i="3" s="1"/>
  <c r="E34" i="3"/>
  <c r="E46" i="3"/>
  <c r="E15" i="3"/>
  <c r="E21" i="3"/>
  <c r="E22" i="3" s="1"/>
  <c r="E28" i="3"/>
  <c r="J72" i="3"/>
  <c r="E88" i="3"/>
  <c r="F88" i="3"/>
  <c r="G88" i="3"/>
  <c r="H88" i="3"/>
  <c r="H90" i="3" s="1"/>
  <c r="I88" i="3"/>
  <c r="J88" i="3"/>
  <c r="K88" i="3"/>
  <c r="L88" i="3"/>
  <c r="M88" i="3"/>
  <c r="N88" i="3"/>
  <c r="O88" i="3"/>
  <c r="P88" i="3"/>
  <c r="P90" i="3" s="1"/>
  <c r="Q88" i="3"/>
  <c r="R88" i="3"/>
  <c r="S88" i="3"/>
  <c r="T88" i="3"/>
  <c r="U88" i="3"/>
  <c r="V88" i="3"/>
  <c r="W88" i="3"/>
  <c r="D88" i="3"/>
  <c r="E89" i="3"/>
  <c r="E90" i="3" s="1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E30" i="3"/>
  <c r="F30" i="3"/>
  <c r="G30" i="3"/>
  <c r="H30" i="3"/>
  <c r="I30" i="3"/>
  <c r="J30" i="3"/>
  <c r="K30" i="3"/>
  <c r="L30" i="3"/>
  <c r="M30" i="3"/>
  <c r="N30" i="3"/>
  <c r="N32" i="3" s="1"/>
  <c r="O30" i="3"/>
  <c r="P30" i="3"/>
  <c r="Q30" i="3"/>
  <c r="R30" i="3"/>
  <c r="R32" i="3" s="1"/>
  <c r="S30" i="3"/>
  <c r="T30" i="3"/>
  <c r="T32" i="3" s="1"/>
  <c r="U30" i="3"/>
  <c r="V30" i="3"/>
  <c r="W30" i="3"/>
  <c r="D113" i="3"/>
  <c r="D114" i="3" s="1"/>
  <c r="D107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E94" i="3"/>
  <c r="F94" i="3"/>
  <c r="G94" i="3"/>
  <c r="H94" i="3"/>
  <c r="I94" i="3"/>
  <c r="J94" i="3"/>
  <c r="J96" i="3" s="1"/>
  <c r="K94" i="3"/>
  <c r="L94" i="3"/>
  <c r="M94" i="3"/>
  <c r="N94" i="3"/>
  <c r="O94" i="3"/>
  <c r="P94" i="3"/>
  <c r="Q94" i="3"/>
  <c r="R94" i="3"/>
  <c r="S94" i="3"/>
  <c r="S96" i="3" s="1"/>
  <c r="T94" i="3"/>
  <c r="U94" i="3"/>
  <c r="V94" i="3"/>
  <c r="W94" i="3"/>
  <c r="X94" i="3"/>
  <c r="X96" i="3" s="1"/>
  <c r="E37" i="3"/>
  <c r="F37" i="3"/>
  <c r="G37" i="3"/>
  <c r="H37" i="3"/>
  <c r="I37" i="3"/>
  <c r="J37" i="3"/>
  <c r="K37" i="3"/>
  <c r="L37" i="3"/>
  <c r="M37" i="3"/>
  <c r="N37" i="3"/>
  <c r="O37" i="3"/>
  <c r="O38" i="3" s="1"/>
  <c r="P37" i="3"/>
  <c r="Q37" i="3"/>
  <c r="R37" i="3"/>
  <c r="S37" i="3"/>
  <c r="U37" i="3"/>
  <c r="V37" i="3"/>
  <c r="W37" i="3"/>
  <c r="X37" i="3"/>
  <c r="Y37" i="3"/>
  <c r="Y38" i="3" s="1"/>
  <c r="E36" i="3"/>
  <c r="F36" i="3"/>
  <c r="G36" i="3"/>
  <c r="H36" i="3"/>
  <c r="I36" i="3"/>
  <c r="I38" i="3" s="1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U43" i="3"/>
  <c r="V43" i="3"/>
  <c r="W43" i="3"/>
  <c r="X43" i="3"/>
  <c r="E42" i="3"/>
  <c r="F42" i="3"/>
  <c r="G42" i="3"/>
  <c r="H42" i="3"/>
  <c r="I42" i="3"/>
  <c r="J42" i="3"/>
  <c r="K42" i="3"/>
  <c r="K44" i="3" s="1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S84" i="3" s="1"/>
  <c r="T83" i="3"/>
  <c r="T84" i="3" s="1"/>
  <c r="U83" i="3"/>
  <c r="U84" i="3" s="1"/>
  <c r="V83" i="3"/>
  <c r="V84" i="3" s="1"/>
  <c r="E82" i="3"/>
  <c r="E84" i="3" s="1"/>
  <c r="F82" i="3"/>
  <c r="G82" i="3"/>
  <c r="H82" i="3"/>
  <c r="I82" i="3"/>
  <c r="J82" i="3"/>
  <c r="K82" i="3"/>
  <c r="L82" i="3"/>
  <c r="M82" i="3"/>
  <c r="N82" i="3"/>
  <c r="O82" i="3"/>
  <c r="P82" i="3"/>
  <c r="Q82" i="3"/>
  <c r="Q84" i="3" s="1"/>
  <c r="R82" i="3"/>
  <c r="E25" i="3"/>
  <c r="F25" i="3"/>
  <c r="F26" i="3" s="1"/>
  <c r="G25" i="3"/>
  <c r="H25" i="3"/>
  <c r="I25" i="3"/>
  <c r="J25" i="3"/>
  <c r="K25" i="3"/>
  <c r="L25" i="3"/>
  <c r="M25" i="3"/>
  <c r="N25" i="3"/>
  <c r="O25" i="3"/>
  <c r="P25" i="3"/>
  <c r="P26" i="3" s="1"/>
  <c r="Q25" i="3"/>
  <c r="R25" i="3"/>
  <c r="S25" i="3"/>
  <c r="T25" i="3"/>
  <c r="U25" i="3"/>
  <c r="E24" i="3"/>
  <c r="E26" i="3" s="1"/>
  <c r="F24" i="3"/>
  <c r="G24" i="3"/>
  <c r="H24" i="3"/>
  <c r="I24" i="3"/>
  <c r="I26" i="3" s="1"/>
  <c r="J24" i="3"/>
  <c r="K24" i="3"/>
  <c r="L24" i="3"/>
  <c r="M24" i="3"/>
  <c r="N24" i="3"/>
  <c r="O24" i="3"/>
  <c r="P24" i="3"/>
  <c r="Q24" i="3"/>
  <c r="Q26" i="3" s="1"/>
  <c r="R24" i="3"/>
  <c r="S24" i="3"/>
  <c r="T24" i="3"/>
  <c r="U24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G50" i="3"/>
  <c r="H50" i="3"/>
  <c r="I50" i="3"/>
  <c r="J50" i="3"/>
  <c r="J52" i="3" s="1"/>
  <c r="K50" i="3"/>
  <c r="L50" i="3"/>
  <c r="L52" i="3" s="1"/>
  <c r="M50" i="3"/>
  <c r="N50" i="3"/>
  <c r="O50" i="3"/>
  <c r="P50" i="3"/>
  <c r="Q50" i="3"/>
  <c r="R50" i="3"/>
  <c r="S50" i="3"/>
  <c r="T50" i="3"/>
  <c r="U50" i="3"/>
  <c r="U52" i="3" s="1"/>
  <c r="V50" i="3"/>
  <c r="W50" i="3"/>
  <c r="E55" i="3"/>
  <c r="E126" i="3" s="1"/>
  <c r="E53" i="3"/>
  <c r="E8" i="3" s="1"/>
  <c r="E49" i="3"/>
  <c r="E4" i="3" s="1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E102" i="3"/>
  <c r="E101" i="3"/>
  <c r="F101" i="3"/>
  <c r="G101" i="3"/>
  <c r="H101" i="3"/>
  <c r="I101" i="3"/>
  <c r="J101" i="3"/>
  <c r="J102" i="3" s="1"/>
  <c r="K101" i="3"/>
  <c r="L101" i="3"/>
  <c r="M101" i="3"/>
  <c r="N101" i="3"/>
  <c r="E100" i="3"/>
  <c r="F100" i="3"/>
  <c r="G100" i="3"/>
  <c r="H100" i="3"/>
  <c r="H102" i="3" s="1"/>
  <c r="I100" i="3"/>
  <c r="J100" i="3"/>
  <c r="K100" i="3"/>
  <c r="L100" i="3"/>
  <c r="M100" i="3"/>
  <c r="N100" i="3"/>
  <c r="E12" i="3"/>
  <c r="F12" i="3"/>
  <c r="G12" i="3"/>
  <c r="H12" i="3"/>
  <c r="I12" i="3"/>
  <c r="J12" i="3"/>
  <c r="K12" i="3"/>
  <c r="L12" i="3"/>
  <c r="M12" i="3"/>
  <c r="N12" i="3"/>
  <c r="O12" i="3"/>
  <c r="P12" i="3"/>
  <c r="E11" i="3"/>
  <c r="F11" i="3"/>
  <c r="G11" i="3"/>
  <c r="H11" i="3"/>
  <c r="I11" i="3"/>
  <c r="J11" i="3"/>
  <c r="J13" i="3" s="1"/>
  <c r="K11" i="3"/>
  <c r="L11" i="3"/>
  <c r="M11" i="3"/>
  <c r="N11" i="3"/>
  <c r="O11" i="3"/>
  <c r="P11" i="3"/>
  <c r="F118" i="3"/>
  <c r="G118" i="3"/>
  <c r="H118" i="3"/>
  <c r="I118" i="3"/>
  <c r="J118" i="3"/>
  <c r="K118" i="3"/>
  <c r="L118" i="3"/>
  <c r="L120" i="3" s="1"/>
  <c r="M118" i="3"/>
  <c r="M120" i="3" s="1"/>
  <c r="N118" i="3"/>
  <c r="N120" i="3" s="1"/>
  <c r="O118" i="3"/>
  <c r="O120" i="3" s="1"/>
  <c r="P118" i="3"/>
  <c r="P120" i="3" s="1"/>
  <c r="Q118" i="3"/>
  <c r="Q120" i="3" s="1"/>
  <c r="R118" i="3"/>
  <c r="R120" i="3" s="1"/>
  <c r="S118" i="3"/>
  <c r="S120" i="3" s="1"/>
  <c r="E119" i="3"/>
  <c r="F119" i="3"/>
  <c r="G119" i="3"/>
  <c r="H119" i="3"/>
  <c r="I119" i="3"/>
  <c r="J119" i="3"/>
  <c r="K119" i="3"/>
  <c r="E118" i="3"/>
  <c r="D34" i="3"/>
  <c r="D46" i="3"/>
  <c r="D15" i="3"/>
  <c r="D21" i="3"/>
  <c r="D22" i="3" s="1"/>
  <c r="D28" i="3"/>
  <c r="D55" i="3"/>
  <c r="D126" i="3" s="1"/>
  <c r="D53" i="3"/>
  <c r="D8" i="3" s="1"/>
  <c r="D49" i="3"/>
  <c r="D4" i="3" s="1"/>
  <c r="D76" i="3"/>
  <c r="D119" i="3"/>
  <c r="D118" i="3"/>
  <c r="D106" i="3"/>
  <c r="D101" i="3"/>
  <c r="D100" i="3"/>
  <c r="D95" i="3"/>
  <c r="D94" i="3"/>
  <c r="D89" i="3"/>
  <c r="D83" i="3"/>
  <c r="D82" i="3"/>
  <c r="D77" i="3"/>
  <c r="D71" i="3"/>
  <c r="D70" i="3"/>
  <c r="D65" i="3"/>
  <c r="D64" i="3"/>
  <c r="D60" i="3"/>
  <c r="D59" i="3"/>
  <c r="D43" i="3"/>
  <c r="D42" i="3"/>
  <c r="D37" i="3"/>
  <c r="D36" i="3"/>
  <c r="D31" i="3"/>
  <c r="D30" i="3"/>
  <c r="D25" i="3"/>
  <c r="D26" i="3" s="1"/>
  <c r="D24" i="3"/>
  <c r="D18" i="3"/>
  <c r="D17" i="3"/>
  <c r="D12" i="3"/>
  <c r="D11" i="3"/>
  <c r="AJ135" i="3"/>
  <c r="AJ134" i="3"/>
  <c r="AJ133" i="3"/>
  <c r="AJ132" i="3"/>
  <c r="AJ131" i="3"/>
  <c r="AJ130" i="3"/>
  <c r="AJ129" i="3"/>
  <c r="AI121" i="3"/>
  <c r="AI117" i="3"/>
  <c r="AI115" i="3"/>
  <c r="AI111" i="3"/>
  <c r="AI112" i="3" s="1"/>
  <c r="AI109" i="3"/>
  <c r="AI105" i="3"/>
  <c r="AI106" i="3" s="1"/>
  <c r="AI103" i="3"/>
  <c r="AI99" i="3"/>
  <c r="AI100" i="3" s="1"/>
  <c r="AI97" i="3"/>
  <c r="AI93" i="3"/>
  <c r="AI94" i="3" s="1"/>
  <c r="AI91" i="3"/>
  <c r="AI87" i="3"/>
  <c r="AI88" i="3" s="1"/>
  <c r="AI86" i="3"/>
  <c r="AI85" i="3"/>
  <c r="AI81" i="3"/>
  <c r="AI82" i="3" s="1"/>
  <c r="AI80" i="3"/>
  <c r="AI79" i="3"/>
  <c r="H77" i="3"/>
  <c r="G77" i="3"/>
  <c r="F77" i="3"/>
  <c r="E77" i="3"/>
  <c r="H76" i="3"/>
  <c r="G76" i="3"/>
  <c r="F76" i="3"/>
  <c r="E76" i="3"/>
  <c r="AI75" i="3"/>
  <c r="AI73" i="3"/>
  <c r="H71" i="3"/>
  <c r="G71" i="3"/>
  <c r="F71" i="3"/>
  <c r="E71" i="3"/>
  <c r="H70" i="3"/>
  <c r="G70" i="3"/>
  <c r="F70" i="3"/>
  <c r="E70" i="3"/>
  <c r="AI69" i="3"/>
  <c r="AI70" i="3" s="1"/>
  <c r="AI67" i="3"/>
  <c r="H65" i="3"/>
  <c r="G65" i="3"/>
  <c r="F65" i="3"/>
  <c r="E65" i="3"/>
  <c r="H64" i="3"/>
  <c r="G64" i="3"/>
  <c r="F64" i="3"/>
  <c r="E64" i="3"/>
  <c r="AI63" i="3"/>
  <c r="AI64" i="3" s="1"/>
  <c r="AI62" i="3"/>
  <c r="E60" i="3"/>
  <c r="E59" i="3"/>
  <c r="AI58" i="3"/>
  <c r="AI59" i="3" s="1"/>
  <c r="AI54" i="3"/>
  <c r="AI41" i="3"/>
  <c r="AI42" i="3" s="1"/>
  <c r="AI35" i="3"/>
  <c r="AI36" i="3" s="1"/>
  <c r="AI33" i="3"/>
  <c r="AI29" i="3"/>
  <c r="AI27" i="3"/>
  <c r="AI23" i="3"/>
  <c r="AI20" i="3"/>
  <c r="AI10" i="3"/>
  <c r="AI11" i="3" s="1"/>
  <c r="A4" i="3"/>
  <c r="K5" i="3" s="1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E40" i="1"/>
  <c r="AD40" i="1"/>
  <c r="AC40" i="1"/>
  <c r="AE126" i="1"/>
  <c r="AC126" i="1"/>
  <c r="AC47" i="1"/>
  <c r="AC48" i="1" s="1"/>
  <c r="AC46" i="1"/>
  <c r="AC15" i="1"/>
  <c r="AC21" i="1"/>
  <c r="AC22" i="1" s="1"/>
  <c r="AC28" i="1"/>
  <c r="AD48" i="1"/>
  <c r="AD47" i="1"/>
  <c r="AD46" i="1"/>
  <c r="AD15" i="1"/>
  <c r="AD22" i="1"/>
  <c r="AD21" i="1"/>
  <c r="AD28" i="1"/>
  <c r="AE47" i="1"/>
  <c r="AE48" i="1" s="1"/>
  <c r="AE46" i="1"/>
  <c r="AE15" i="1"/>
  <c r="AE21" i="1"/>
  <c r="AE22" i="1" s="1"/>
  <c r="AE28" i="1"/>
  <c r="AE55" i="1"/>
  <c r="AE56" i="1" s="1"/>
  <c r="AE57" i="1" s="1"/>
  <c r="AE53" i="1"/>
  <c r="AE49" i="1"/>
  <c r="AD55" i="1"/>
  <c r="AD56" i="1" s="1"/>
  <c r="AD57" i="1" s="1"/>
  <c r="AD53" i="1"/>
  <c r="AD49" i="1"/>
  <c r="AC55" i="1"/>
  <c r="AC56" i="1" s="1"/>
  <c r="AC57" i="1" s="1"/>
  <c r="AC53" i="1"/>
  <c r="AC49" i="1"/>
  <c r="AB8" i="1"/>
  <c r="AB74" i="1"/>
  <c r="AB98" i="1"/>
  <c r="AB110" i="1"/>
  <c r="AB116" i="1"/>
  <c r="AB104" i="1"/>
  <c r="AB122" i="1"/>
  <c r="AB86" i="1"/>
  <c r="AB68" i="1"/>
  <c r="AB92" i="1"/>
  <c r="AB80" i="1"/>
  <c r="AB40" i="1"/>
  <c r="AB48" i="1"/>
  <c r="AB47" i="1"/>
  <c r="AB34" i="1"/>
  <c r="AB46" i="1"/>
  <c r="AB15" i="1"/>
  <c r="AB21" i="1"/>
  <c r="AB22" i="1" s="1"/>
  <c r="AB28" i="1"/>
  <c r="AB55" i="1"/>
  <c r="AB126" i="1" s="1"/>
  <c r="AB53" i="1"/>
  <c r="AB49" i="1"/>
  <c r="Z116" i="1"/>
  <c r="AA110" i="1"/>
  <c r="AA104" i="1"/>
  <c r="AA122" i="1"/>
  <c r="AA86" i="1"/>
  <c r="AA68" i="1"/>
  <c r="AA92" i="1"/>
  <c r="AA80" i="1"/>
  <c r="AA74" i="1"/>
  <c r="AA98" i="1"/>
  <c r="Z110" i="1"/>
  <c r="Z104" i="1"/>
  <c r="Z122" i="1"/>
  <c r="Z86" i="1"/>
  <c r="Z68" i="1"/>
  <c r="Z92" i="1"/>
  <c r="Z80" i="1"/>
  <c r="Z98" i="1"/>
  <c r="Z74" i="1"/>
  <c r="X74" i="1"/>
  <c r="Y74" i="1"/>
  <c r="Y98" i="1"/>
  <c r="Y110" i="1"/>
  <c r="Y104" i="1"/>
  <c r="Y122" i="1"/>
  <c r="Y86" i="1"/>
  <c r="Y68" i="1"/>
  <c r="Y92" i="1"/>
  <c r="Y80" i="1"/>
  <c r="X98" i="1"/>
  <c r="X110" i="1"/>
  <c r="X104" i="1"/>
  <c r="X122" i="1"/>
  <c r="X86" i="1"/>
  <c r="X68" i="1"/>
  <c r="X92" i="1"/>
  <c r="X80" i="1"/>
  <c r="W74" i="1"/>
  <c r="W98" i="1"/>
  <c r="AJ128" i="1"/>
  <c r="AJ129" i="1"/>
  <c r="AJ130" i="1"/>
  <c r="AJ131" i="1"/>
  <c r="AJ132" i="1"/>
  <c r="AJ133" i="1"/>
  <c r="AJ134" i="1"/>
  <c r="AC9" i="1" l="1"/>
  <c r="AD9" i="1"/>
  <c r="AE9" i="1"/>
  <c r="AD126" i="1"/>
  <c r="H120" i="3"/>
  <c r="N52" i="3"/>
  <c r="V32" i="3"/>
  <c r="F32" i="3"/>
  <c r="N19" i="3"/>
  <c r="F19" i="3"/>
  <c r="S5" i="3"/>
  <c r="S7" i="3" s="1"/>
  <c r="F102" i="3"/>
  <c r="F108" i="3"/>
  <c r="M26" i="3"/>
  <c r="K84" i="3"/>
  <c r="M90" i="3"/>
  <c r="K19" i="3"/>
  <c r="AB56" i="1"/>
  <c r="AB57" i="1" s="1"/>
  <c r="AG5" i="3"/>
  <c r="AG7" i="3" s="1"/>
  <c r="AH5" i="3"/>
  <c r="AH7" i="3" s="1"/>
  <c r="AF5" i="3"/>
  <c r="AF7" i="3" s="1"/>
  <c r="AB5" i="3"/>
  <c r="AB7" i="3" s="1"/>
  <c r="AD5" i="3"/>
  <c r="AD7" i="3" s="1"/>
  <c r="AC5" i="3"/>
  <c r="AC7" i="3" s="1"/>
  <c r="AE5" i="3"/>
  <c r="AE7" i="3" s="1"/>
  <c r="W5" i="3"/>
  <c r="W7" i="3" s="1"/>
  <c r="Y5" i="3"/>
  <c r="Y7" i="3" s="1"/>
  <c r="Z5" i="3"/>
  <c r="Z7" i="3" s="1"/>
  <c r="V5" i="3"/>
  <c r="V7" i="3" s="1"/>
  <c r="T5" i="3"/>
  <c r="M5" i="3"/>
  <c r="M7" i="3" s="1"/>
  <c r="AA5" i="3"/>
  <c r="AA7" i="3" s="1"/>
  <c r="N5" i="3"/>
  <c r="N7" i="3" s="1"/>
  <c r="X5" i="3"/>
  <c r="X7" i="3" s="1"/>
  <c r="O5" i="3"/>
  <c r="O7" i="3" s="1"/>
  <c r="P5" i="3"/>
  <c r="P7" i="3" s="1"/>
  <c r="Q5" i="3"/>
  <c r="Q7" i="3" s="1"/>
  <c r="L5" i="3"/>
  <c r="L7" i="3" s="1"/>
  <c r="H72" i="3"/>
  <c r="E120" i="3"/>
  <c r="M102" i="3"/>
  <c r="G108" i="3"/>
  <c r="R84" i="3"/>
  <c r="G96" i="3"/>
  <c r="K32" i="3"/>
  <c r="T90" i="3"/>
  <c r="E56" i="3"/>
  <c r="E57" i="3" s="1"/>
  <c r="E72" i="3"/>
  <c r="D96" i="3"/>
  <c r="E5" i="3"/>
  <c r="J26" i="3"/>
  <c r="S26" i="3"/>
  <c r="N96" i="3"/>
  <c r="N84" i="3"/>
  <c r="AJ127" i="3"/>
  <c r="F72" i="3"/>
  <c r="P84" i="3"/>
  <c r="U96" i="3"/>
  <c r="M96" i="3"/>
  <c r="E96" i="3"/>
  <c r="H5" i="3"/>
  <c r="I108" i="3"/>
  <c r="D72" i="3"/>
  <c r="H52" i="3"/>
  <c r="H26" i="3"/>
  <c r="O84" i="3"/>
  <c r="G84" i="3"/>
  <c r="T96" i="3"/>
  <c r="G19" i="3"/>
  <c r="N108" i="3"/>
  <c r="R108" i="3"/>
  <c r="E108" i="3"/>
  <c r="AI126" i="3"/>
  <c r="E38" i="3"/>
  <c r="P19" i="3"/>
  <c r="D32" i="3"/>
  <c r="G32" i="3"/>
  <c r="U32" i="3"/>
  <c r="M32" i="3"/>
  <c r="E32" i="3"/>
  <c r="F9" i="3"/>
  <c r="I44" i="3"/>
  <c r="P44" i="3"/>
  <c r="M44" i="3"/>
  <c r="E44" i="3"/>
  <c r="U26" i="3"/>
  <c r="AJ126" i="3"/>
  <c r="N26" i="3"/>
  <c r="E13" i="3"/>
  <c r="V38" i="3"/>
  <c r="W38" i="3"/>
  <c r="X38" i="3"/>
  <c r="W90" i="3"/>
  <c r="V90" i="3"/>
  <c r="W96" i="3"/>
  <c r="V96" i="3"/>
  <c r="X44" i="3"/>
  <c r="W44" i="3"/>
  <c r="V44" i="3"/>
  <c r="W32" i="3"/>
  <c r="V52" i="3"/>
  <c r="W52" i="3"/>
  <c r="U44" i="3"/>
  <c r="U38" i="3"/>
  <c r="U90" i="3"/>
  <c r="U19" i="3"/>
  <c r="T26" i="3"/>
  <c r="T19" i="3"/>
  <c r="T52" i="3"/>
  <c r="S52" i="3"/>
  <c r="S32" i="3"/>
  <c r="S38" i="3"/>
  <c r="S44" i="3"/>
  <c r="R52" i="3"/>
  <c r="R96" i="3"/>
  <c r="R90" i="3"/>
  <c r="R44" i="3"/>
  <c r="R38" i="3"/>
  <c r="R26" i="3"/>
  <c r="R19" i="3"/>
  <c r="Q108" i="3"/>
  <c r="P108" i="3"/>
  <c r="O108" i="3"/>
  <c r="Q96" i="3"/>
  <c r="P96" i="3"/>
  <c r="O96" i="3"/>
  <c r="O90" i="3"/>
  <c r="Q52" i="3"/>
  <c r="P52" i="3"/>
  <c r="O52" i="3"/>
  <c r="Q44" i="3"/>
  <c r="O44" i="3"/>
  <c r="Q38" i="3"/>
  <c r="P38" i="3"/>
  <c r="Q32" i="3"/>
  <c r="P32" i="3"/>
  <c r="O32" i="3"/>
  <c r="O26" i="3"/>
  <c r="O13" i="3"/>
  <c r="O19" i="3"/>
  <c r="N102" i="3"/>
  <c r="N38" i="3"/>
  <c r="N44" i="3"/>
  <c r="N90" i="3"/>
  <c r="M38" i="3"/>
  <c r="M108" i="3"/>
  <c r="M84" i="3"/>
  <c r="M13" i="3"/>
  <c r="M52" i="3"/>
  <c r="M19" i="3"/>
  <c r="H38" i="3"/>
  <c r="L108" i="3"/>
  <c r="L102" i="3"/>
  <c r="L96" i="3"/>
  <c r="L90" i="3"/>
  <c r="L84" i="3"/>
  <c r="L44" i="3"/>
  <c r="L38" i="3"/>
  <c r="L32" i="3"/>
  <c r="L26" i="3"/>
  <c r="L19" i="3"/>
  <c r="L13" i="3"/>
  <c r="J38" i="3"/>
  <c r="K38" i="3"/>
  <c r="K108" i="3"/>
  <c r="K102" i="3"/>
  <c r="K96" i="3"/>
  <c r="K26" i="3"/>
  <c r="K52" i="3"/>
  <c r="K6" i="3"/>
  <c r="K7" i="3" s="1"/>
  <c r="H6" i="3"/>
  <c r="H7" i="3" s="1"/>
  <c r="G6" i="3"/>
  <c r="I52" i="3"/>
  <c r="J108" i="3"/>
  <c r="H108" i="3"/>
  <c r="I102" i="3"/>
  <c r="I96" i="3"/>
  <c r="H96" i="3"/>
  <c r="J90" i="3"/>
  <c r="J32" i="3"/>
  <c r="I32" i="3"/>
  <c r="H32" i="3"/>
  <c r="J78" i="3"/>
  <c r="I13" i="3"/>
  <c r="H66" i="3"/>
  <c r="J44" i="3"/>
  <c r="H44" i="3"/>
  <c r="J84" i="3"/>
  <c r="I84" i="3"/>
  <c r="H84" i="3"/>
  <c r="H19" i="3"/>
  <c r="G52" i="3"/>
  <c r="G102" i="3"/>
  <c r="G90" i="3"/>
  <c r="G44" i="3"/>
  <c r="G38" i="3"/>
  <c r="G26" i="3"/>
  <c r="G13" i="3"/>
  <c r="G120" i="3"/>
  <c r="G72" i="3"/>
  <c r="E6" i="3"/>
  <c r="E7" i="3" s="1"/>
  <c r="K13" i="3"/>
  <c r="F84" i="3"/>
  <c r="F44" i="3"/>
  <c r="F38" i="3"/>
  <c r="S90" i="3"/>
  <c r="K90" i="3"/>
  <c r="R5" i="3"/>
  <c r="R7" i="3" s="1"/>
  <c r="J5" i="3"/>
  <c r="J7" i="3" s="1"/>
  <c r="I5" i="3"/>
  <c r="I7" i="3" s="1"/>
  <c r="D56" i="3"/>
  <c r="D9" i="3" s="1"/>
  <c r="E50" i="3"/>
  <c r="E52" i="3" s="1"/>
  <c r="Q90" i="3"/>
  <c r="I90" i="3"/>
  <c r="F5" i="3"/>
  <c r="F52" i="3"/>
  <c r="P13" i="3"/>
  <c r="H13" i="3"/>
  <c r="G5" i="3"/>
  <c r="K120" i="3"/>
  <c r="N13" i="3"/>
  <c r="E51" i="3"/>
  <c r="U5" i="3"/>
  <c r="U7" i="3" s="1"/>
  <c r="D44" i="3"/>
  <c r="F6" i="3"/>
  <c r="F7" i="3" s="1"/>
  <c r="F96" i="3"/>
  <c r="F90" i="3"/>
  <c r="F13" i="3"/>
  <c r="F120" i="3"/>
  <c r="AI31" i="3"/>
  <c r="D108" i="3"/>
  <c r="E61" i="3"/>
  <c r="D38" i="3"/>
  <c r="H78" i="3"/>
  <c r="D51" i="3"/>
  <c r="D6" i="3"/>
  <c r="E78" i="3"/>
  <c r="F66" i="3"/>
  <c r="J120" i="3"/>
  <c r="I120" i="3"/>
  <c r="E66" i="3"/>
  <c r="D84" i="3"/>
  <c r="D61" i="3"/>
  <c r="D102" i="3"/>
  <c r="D90" i="3"/>
  <c r="D78" i="3"/>
  <c r="AI77" i="3"/>
  <c r="D13" i="3"/>
  <c r="D66" i="3"/>
  <c r="D120" i="3"/>
  <c r="D19" i="3"/>
  <c r="AI18" i="3"/>
  <c r="AI19" i="3" s="1"/>
  <c r="D50" i="3"/>
  <c r="AI83" i="3"/>
  <c r="AI84" i="3" s="1"/>
  <c r="AI65" i="3"/>
  <c r="AI66" i="3" s="1"/>
  <c r="AI95" i="3"/>
  <c r="AI96" i="3" s="1"/>
  <c r="AI113" i="3"/>
  <c r="AI114" i="3" s="1"/>
  <c r="G66" i="3"/>
  <c r="G78" i="3"/>
  <c r="AI116" i="3"/>
  <c r="AI76" i="3"/>
  <c r="AI101" i="3"/>
  <c r="AI102" i="3" s="1"/>
  <c r="AI71" i="3"/>
  <c r="AI72" i="3" s="1"/>
  <c r="AI30" i="3"/>
  <c r="F78" i="3"/>
  <c r="AI74" i="3"/>
  <c r="AI118" i="3"/>
  <c r="AI119" i="3"/>
  <c r="AI104" i="3"/>
  <c r="AI89" i="3"/>
  <c r="AI90" i="3" s="1"/>
  <c r="AI28" i="3"/>
  <c r="AI60" i="3"/>
  <c r="AI61" i="3" s="1"/>
  <c r="AI110" i="3"/>
  <c r="AI40" i="3"/>
  <c r="AI47" i="3"/>
  <c r="AI48" i="3"/>
  <c r="AI22" i="3"/>
  <c r="AI21" i="3"/>
  <c r="AI15" i="3"/>
  <c r="AI24" i="3"/>
  <c r="AI25" i="3"/>
  <c r="AI55" i="3"/>
  <c r="AI12" i="3"/>
  <c r="AI13" i="3" s="1"/>
  <c r="AI122" i="3"/>
  <c r="AI49" i="3"/>
  <c r="AI50" i="3" s="1"/>
  <c r="AI53" i="3"/>
  <c r="AI68" i="3"/>
  <c r="AI98" i="3"/>
  <c r="AI107" i="3"/>
  <c r="AI108" i="3" s="1"/>
  <c r="AI92" i="3"/>
  <c r="AI34" i="3"/>
  <c r="AI127" i="1"/>
  <c r="AJ127" i="1" s="1"/>
  <c r="W110" i="1"/>
  <c r="W104" i="1"/>
  <c r="W122" i="1"/>
  <c r="W86" i="1"/>
  <c r="W68" i="1"/>
  <c r="W92" i="1"/>
  <c r="W80" i="1"/>
  <c r="V122" i="1"/>
  <c r="V86" i="1"/>
  <c r="V68" i="1"/>
  <c r="V92" i="1"/>
  <c r="V80" i="1"/>
  <c r="V104" i="1"/>
  <c r="AC114" i="1"/>
  <c r="AD114" i="1"/>
  <c r="AB112" i="1"/>
  <c r="AC112" i="1"/>
  <c r="AD112" i="1"/>
  <c r="AE112" i="1"/>
  <c r="AE114" i="1" s="1"/>
  <c r="AA112" i="1"/>
  <c r="AA114" i="1" s="1"/>
  <c r="AA113" i="1"/>
  <c r="AB113" i="1"/>
  <c r="AC113" i="1"/>
  <c r="AD113" i="1"/>
  <c r="AE113" i="1"/>
  <c r="V110" i="1"/>
  <c r="V98" i="1"/>
  <c r="V74" i="1"/>
  <c r="T74" i="1"/>
  <c r="T98" i="1"/>
  <c r="T110" i="1"/>
  <c r="T104" i="1"/>
  <c r="U74" i="1"/>
  <c r="U98" i="1"/>
  <c r="U92" i="1"/>
  <c r="U110" i="1"/>
  <c r="U104" i="1"/>
  <c r="U122" i="1"/>
  <c r="U86" i="1"/>
  <c r="T86" i="1"/>
  <c r="U68" i="1"/>
  <c r="U80" i="1"/>
  <c r="T122" i="1"/>
  <c r="T68" i="1"/>
  <c r="T92" i="1"/>
  <c r="S92" i="1"/>
  <c r="T80" i="1"/>
  <c r="AA56" i="1"/>
  <c r="AA57" i="1" s="1"/>
  <c r="AA40" i="1"/>
  <c r="AA47" i="1"/>
  <c r="AA48" i="1" s="1"/>
  <c r="AA34" i="1"/>
  <c r="AA46" i="1"/>
  <c r="AA15" i="1"/>
  <c r="AA21" i="1"/>
  <c r="AA22" i="1" s="1"/>
  <c r="AA28" i="1"/>
  <c r="AA55" i="1"/>
  <c r="AA126" i="1" s="1"/>
  <c r="AA53" i="1"/>
  <c r="AA8" i="1" s="1"/>
  <c r="AA49" i="1"/>
  <c r="A4" i="1"/>
  <c r="G7" i="3" l="1"/>
  <c r="AA9" i="1"/>
  <c r="E9" i="3"/>
  <c r="AB9" i="1"/>
  <c r="AI32" i="3"/>
  <c r="AI78" i="3"/>
  <c r="D57" i="3"/>
  <c r="D52" i="3"/>
  <c r="AI120" i="3"/>
  <c r="D5" i="3"/>
  <c r="D7" i="3" s="1"/>
  <c r="AI4" i="3"/>
  <c r="AI5" i="3" s="1"/>
  <c r="AI26" i="3"/>
  <c r="AI51" i="3"/>
  <c r="AI52" i="3" s="1"/>
  <c r="AB114" i="1"/>
  <c r="Z56" i="1"/>
  <c r="Z57" i="1" s="1"/>
  <c r="Z40" i="1"/>
  <c r="Z47" i="1"/>
  <c r="Z48" i="1" s="1"/>
  <c r="Z34" i="1"/>
  <c r="Z46" i="1"/>
  <c r="Z15" i="1"/>
  <c r="Z22" i="1"/>
  <c r="Z21" i="1"/>
  <c r="Z28" i="1"/>
  <c r="Z12" i="1"/>
  <c r="Z13" i="1" s="1"/>
  <c r="AA12" i="1"/>
  <c r="AB12" i="1"/>
  <c r="AC12" i="1"/>
  <c r="AD12" i="1"/>
  <c r="Z11" i="1"/>
  <c r="AA11" i="1"/>
  <c r="AB11" i="1"/>
  <c r="AC11" i="1"/>
  <c r="AD11" i="1"/>
  <c r="Z55" i="1"/>
  <c r="Z126" i="1" s="1"/>
  <c r="Z53" i="1"/>
  <c r="Z8" i="1" s="1"/>
  <c r="Z49" i="1"/>
  <c r="Z4" i="1" s="1"/>
  <c r="AI115" i="1"/>
  <c r="AI116" i="1"/>
  <c r="AI111" i="1"/>
  <c r="AI112" i="1" s="1"/>
  <c r="Z119" i="1"/>
  <c r="Z120" i="1" s="1"/>
  <c r="Z113" i="1"/>
  <c r="Z112" i="1"/>
  <c r="Z114" i="1" s="1"/>
  <c r="Z118" i="1"/>
  <c r="P119" i="1"/>
  <c r="P107" i="1"/>
  <c r="P106" i="1"/>
  <c r="Y55" i="1"/>
  <c r="Y56" i="1" s="1"/>
  <c r="Y57" i="1" s="1"/>
  <c r="Y53" i="1"/>
  <c r="Y8" i="1" s="1"/>
  <c r="Y49" i="1"/>
  <c r="Y4" i="1" s="1"/>
  <c r="X55" i="1"/>
  <c r="X56" i="1" s="1"/>
  <c r="X57" i="1" s="1"/>
  <c r="X53" i="1"/>
  <c r="X8" i="1" s="1"/>
  <c r="X49" i="1"/>
  <c r="X4" i="1" s="1"/>
  <c r="W55" i="1"/>
  <c r="W56" i="1" s="1"/>
  <c r="W57" i="1" s="1"/>
  <c r="W53" i="1"/>
  <c r="W8" i="1" s="1"/>
  <c r="W49" i="1"/>
  <c r="W4" i="1" s="1"/>
  <c r="V55" i="1"/>
  <c r="V56" i="1" s="1"/>
  <c r="V57" i="1" s="1"/>
  <c r="V53" i="1"/>
  <c r="V8" i="1" s="1"/>
  <c r="V49" i="1"/>
  <c r="V4" i="1" s="1"/>
  <c r="V40" i="1"/>
  <c r="V47" i="1"/>
  <c r="V48" i="1" s="1"/>
  <c r="V34" i="1"/>
  <c r="V46" i="1"/>
  <c r="V15" i="1"/>
  <c r="V21" i="1"/>
  <c r="V22" i="1" s="1"/>
  <c r="V28" i="1"/>
  <c r="W40" i="1"/>
  <c r="W47" i="1"/>
  <c r="W48" i="1" s="1"/>
  <c r="W34" i="1"/>
  <c r="W46" i="1"/>
  <c r="W15" i="1"/>
  <c r="W21" i="1"/>
  <c r="W22" i="1" s="1"/>
  <c r="W28" i="1"/>
  <c r="X40" i="1"/>
  <c r="X47" i="1"/>
  <c r="X48" i="1" s="1"/>
  <c r="X34" i="1"/>
  <c r="X46" i="1"/>
  <c r="X15" i="1"/>
  <c r="X21" i="1"/>
  <c r="X22" i="1" s="1"/>
  <c r="X28" i="1"/>
  <c r="Y47" i="1"/>
  <c r="Y48" i="1" s="1"/>
  <c r="Y40" i="1"/>
  <c r="Y34" i="1"/>
  <c r="Y46" i="1"/>
  <c r="Y15" i="1"/>
  <c r="Y21" i="1"/>
  <c r="Y22" i="1" s="1"/>
  <c r="Y28" i="1"/>
  <c r="U47" i="1"/>
  <c r="U48" i="1" s="1"/>
  <c r="U40" i="1"/>
  <c r="U34" i="1"/>
  <c r="U46" i="1"/>
  <c r="U15" i="1"/>
  <c r="U21" i="1"/>
  <c r="U22" i="1" s="1"/>
  <c r="U28" i="1"/>
  <c r="U55" i="1"/>
  <c r="U56" i="1" s="1"/>
  <c r="U57" i="1" s="1"/>
  <c r="U53" i="1"/>
  <c r="U8" i="1" s="1"/>
  <c r="U49" i="1"/>
  <c r="U4" i="1" s="1"/>
  <c r="T55" i="1"/>
  <c r="T56" i="1" s="1"/>
  <c r="T57" i="1" s="1"/>
  <c r="T53" i="1"/>
  <c r="T8" i="1" s="1"/>
  <c r="T49" i="1"/>
  <c r="T4" i="1" s="1"/>
  <c r="S55" i="1"/>
  <c r="S56" i="1" s="1"/>
  <c r="S57" i="1" s="1"/>
  <c r="S53" i="1"/>
  <c r="S8" i="1" s="1"/>
  <c r="S49" i="1"/>
  <c r="S4" i="1" s="1"/>
  <c r="R55" i="1"/>
  <c r="R56" i="1" s="1"/>
  <c r="R57" i="1" s="1"/>
  <c r="R53" i="1"/>
  <c r="R49" i="1"/>
  <c r="Q55" i="1"/>
  <c r="Q56" i="1" s="1"/>
  <c r="Q57" i="1" s="1"/>
  <c r="Q53" i="1"/>
  <c r="Q49" i="1"/>
  <c r="AA4" i="1"/>
  <c r="AB4" i="1"/>
  <c r="AC4" i="1"/>
  <c r="AD4" i="1"/>
  <c r="AE4" i="1"/>
  <c r="AF4" i="1"/>
  <c r="AG4" i="1"/>
  <c r="AH4" i="1"/>
  <c r="AC8" i="1"/>
  <c r="AD8" i="1"/>
  <c r="AE8" i="1"/>
  <c r="AF8" i="1"/>
  <c r="AG8" i="1"/>
  <c r="AH8" i="1"/>
  <c r="S122" i="1"/>
  <c r="R92" i="1"/>
  <c r="AF92" i="1"/>
  <c r="AG92" i="1"/>
  <c r="AH92" i="1"/>
  <c r="Q92" i="1"/>
  <c r="AF56" i="1"/>
  <c r="AG56" i="1"/>
  <c r="AH56" i="1"/>
  <c r="T47" i="1"/>
  <c r="T48" i="1" s="1"/>
  <c r="T40" i="1"/>
  <c r="T34" i="1"/>
  <c r="T46" i="1"/>
  <c r="T15" i="1"/>
  <c r="T21" i="1"/>
  <c r="T22" i="1" s="1"/>
  <c r="T28" i="1"/>
  <c r="R34" i="1"/>
  <c r="R15" i="1"/>
  <c r="R21" i="1"/>
  <c r="R22" i="1" s="1"/>
  <c r="R28" i="1"/>
  <c r="S40" i="1"/>
  <c r="S34" i="1"/>
  <c r="S15" i="1"/>
  <c r="S21" i="1"/>
  <c r="S22" i="1" s="1"/>
  <c r="S28" i="1"/>
  <c r="S74" i="1"/>
  <c r="S104" i="1"/>
  <c r="S110" i="1"/>
  <c r="S86" i="1"/>
  <c r="S68" i="1"/>
  <c r="S80" i="1"/>
  <c r="R74" i="1"/>
  <c r="R104" i="1"/>
  <c r="R110" i="1"/>
  <c r="R122" i="1"/>
  <c r="R86" i="1"/>
  <c r="R68" i="1"/>
  <c r="R80" i="1"/>
  <c r="Q74" i="1"/>
  <c r="Q110" i="1"/>
  <c r="Q104" i="1"/>
  <c r="Q122" i="1"/>
  <c r="Q86" i="1"/>
  <c r="Q68" i="1"/>
  <c r="Q80" i="1"/>
  <c r="P74" i="1"/>
  <c r="P110" i="1"/>
  <c r="P104" i="1"/>
  <c r="P122" i="1"/>
  <c r="P86" i="1"/>
  <c r="P68" i="1"/>
  <c r="P92" i="1"/>
  <c r="P80" i="1"/>
  <c r="O74" i="1"/>
  <c r="O98" i="1"/>
  <c r="O110" i="1"/>
  <c r="O104" i="1"/>
  <c r="O122" i="1"/>
  <c r="O86" i="1"/>
  <c r="O68" i="1"/>
  <c r="O92" i="1"/>
  <c r="O80" i="1"/>
  <c r="N74" i="1"/>
  <c r="N98" i="1"/>
  <c r="N110" i="1"/>
  <c r="N104" i="1"/>
  <c r="N122" i="1"/>
  <c r="N86" i="1"/>
  <c r="N68" i="1"/>
  <c r="N92" i="1"/>
  <c r="N80" i="1"/>
  <c r="Q28" i="1"/>
  <c r="Q47" i="1"/>
  <c r="Q48" i="1" s="1"/>
  <c r="Q40" i="1"/>
  <c r="Q34" i="1"/>
  <c r="Q46" i="1"/>
  <c r="Q15" i="1"/>
  <c r="Q21" i="1"/>
  <c r="Q22" i="1" s="1"/>
  <c r="P47" i="1"/>
  <c r="P48" i="1" s="1"/>
  <c r="P40" i="1"/>
  <c r="P34" i="1"/>
  <c r="P46" i="1"/>
  <c r="P15" i="1"/>
  <c r="P21" i="1"/>
  <c r="P22" i="1" s="1"/>
  <c r="P28" i="1"/>
  <c r="O47" i="1"/>
  <c r="O48" i="1" s="1"/>
  <c r="O40" i="1"/>
  <c r="O34" i="1"/>
  <c r="O46" i="1"/>
  <c r="O15" i="1"/>
  <c r="O21" i="1"/>
  <c r="O22" i="1" s="1"/>
  <c r="O28" i="1"/>
  <c r="P55" i="1"/>
  <c r="P56" i="1" s="1"/>
  <c r="P57" i="1" s="1"/>
  <c r="P53" i="1"/>
  <c r="P49" i="1"/>
  <c r="O55" i="1"/>
  <c r="O56" i="1" s="1"/>
  <c r="O57" i="1" s="1"/>
  <c r="O53" i="1"/>
  <c r="O49" i="1"/>
  <c r="M74" i="1"/>
  <c r="M98" i="1"/>
  <c r="M110" i="1"/>
  <c r="M104" i="1"/>
  <c r="M122" i="1"/>
  <c r="L74" i="1"/>
  <c r="L98" i="1"/>
  <c r="L110" i="1"/>
  <c r="L104" i="1"/>
  <c r="L122" i="1"/>
  <c r="K74" i="1"/>
  <c r="K98" i="1"/>
  <c r="K110" i="1"/>
  <c r="K104" i="1"/>
  <c r="K122" i="1"/>
  <c r="J74" i="1"/>
  <c r="J98" i="1"/>
  <c r="J110" i="1"/>
  <c r="J104" i="1"/>
  <c r="J122" i="1"/>
  <c r="I74" i="1"/>
  <c r="I98" i="1"/>
  <c r="I110" i="1"/>
  <c r="I104" i="1"/>
  <c r="I122" i="1"/>
  <c r="H74" i="1"/>
  <c r="H98" i="1"/>
  <c r="H110" i="1"/>
  <c r="H104" i="1"/>
  <c r="H122" i="1"/>
  <c r="G74" i="1"/>
  <c r="G98" i="1"/>
  <c r="G110" i="1"/>
  <c r="G104" i="1"/>
  <c r="G122" i="1"/>
  <c r="F74" i="1"/>
  <c r="F98" i="1"/>
  <c r="F110" i="1"/>
  <c r="F104" i="1"/>
  <c r="F122" i="1"/>
  <c r="E74" i="1"/>
  <c r="E98" i="1"/>
  <c r="E110" i="1"/>
  <c r="E104" i="1"/>
  <c r="E122" i="1"/>
  <c r="D74" i="1"/>
  <c r="D98" i="1"/>
  <c r="D110" i="1"/>
  <c r="D104" i="1"/>
  <c r="D122" i="1"/>
  <c r="M86" i="1"/>
  <c r="M68" i="1"/>
  <c r="M92" i="1"/>
  <c r="M80" i="1"/>
  <c r="L86" i="1"/>
  <c r="L68" i="1"/>
  <c r="L92" i="1"/>
  <c r="L80" i="1"/>
  <c r="K86" i="1"/>
  <c r="K68" i="1"/>
  <c r="K92" i="1"/>
  <c r="K80" i="1"/>
  <c r="J86" i="1"/>
  <c r="J68" i="1"/>
  <c r="J92" i="1"/>
  <c r="J80" i="1"/>
  <c r="I86" i="1"/>
  <c r="I68" i="1"/>
  <c r="I92" i="1"/>
  <c r="I80" i="1"/>
  <c r="H86" i="1"/>
  <c r="H68" i="1"/>
  <c r="H92" i="1"/>
  <c r="H80" i="1"/>
  <c r="G86" i="1"/>
  <c r="G68" i="1"/>
  <c r="G92" i="1"/>
  <c r="G80" i="1"/>
  <c r="F68" i="1"/>
  <c r="F92" i="1"/>
  <c r="F80" i="1"/>
  <c r="F86" i="1"/>
  <c r="E86" i="1"/>
  <c r="D86" i="1"/>
  <c r="E68" i="1"/>
  <c r="E92" i="1"/>
  <c r="E80" i="1"/>
  <c r="D68" i="1"/>
  <c r="D92" i="1"/>
  <c r="D80" i="1"/>
  <c r="Z9" i="1" l="1"/>
  <c r="V126" i="1"/>
  <c r="AI57" i="3"/>
  <c r="AD13" i="1"/>
  <c r="AC13" i="1"/>
  <c r="AI113" i="1"/>
  <c r="AI114" i="1" s="1"/>
  <c r="AB13" i="1"/>
  <c r="AA13" i="1"/>
  <c r="AG9" i="1"/>
  <c r="AA6" i="1"/>
  <c r="AF9" i="1"/>
  <c r="AG6" i="1"/>
  <c r="V9" i="1"/>
  <c r="Y9" i="1"/>
  <c r="AF6" i="1"/>
  <c r="AD6" i="1"/>
  <c r="X9" i="1"/>
  <c r="V6" i="1"/>
  <c r="Z6" i="1"/>
  <c r="Y6" i="1"/>
  <c r="T6" i="1"/>
  <c r="W9" i="1"/>
  <c r="AH6" i="1"/>
  <c r="AE6" i="1"/>
  <c r="W6" i="1"/>
  <c r="AH9" i="1"/>
  <c r="AC6" i="1"/>
  <c r="AB6" i="1"/>
  <c r="U9" i="1"/>
  <c r="X6" i="1"/>
  <c r="S6" i="1"/>
  <c r="U6" i="1"/>
  <c r="N47" i="1"/>
  <c r="N48" i="1" s="1"/>
  <c r="N40" i="1"/>
  <c r="N34" i="1"/>
  <c r="N46" i="1"/>
  <c r="N15" i="1"/>
  <c r="N21" i="1"/>
  <c r="N22" i="1" s="1"/>
  <c r="N28" i="1"/>
  <c r="N55" i="1"/>
  <c r="N56" i="1" s="1"/>
  <c r="N57" i="1" s="1"/>
  <c r="N53" i="1"/>
  <c r="N8" i="1" s="1"/>
  <c r="N49" i="1"/>
  <c r="N50" i="1" s="1"/>
  <c r="L47" i="1"/>
  <c r="L48" i="1" s="1"/>
  <c r="L40" i="1"/>
  <c r="L34" i="1"/>
  <c r="L46" i="1"/>
  <c r="L15" i="1"/>
  <c r="L21" i="1"/>
  <c r="L28" i="1"/>
  <c r="M40" i="1"/>
  <c r="M47" i="1"/>
  <c r="M48" i="1" s="1"/>
  <c r="M34" i="1"/>
  <c r="M46" i="1"/>
  <c r="M15" i="1"/>
  <c r="M21" i="1"/>
  <c r="M22" i="1" s="1"/>
  <c r="M28" i="1"/>
  <c r="M55" i="1"/>
  <c r="M56" i="1" s="1"/>
  <c r="M53" i="1"/>
  <c r="M49" i="1"/>
  <c r="M4" i="1" s="1"/>
  <c r="L55" i="1"/>
  <c r="L56" i="1" s="1"/>
  <c r="L57" i="1" s="1"/>
  <c r="L53" i="1"/>
  <c r="L8" i="1" s="1"/>
  <c r="L49" i="1"/>
  <c r="L50" i="1" s="1"/>
  <c r="K47" i="1"/>
  <c r="K48" i="1" s="1"/>
  <c r="K40" i="1"/>
  <c r="K34" i="1"/>
  <c r="K46" i="1"/>
  <c r="K15" i="1"/>
  <c r="K21" i="1"/>
  <c r="K22" i="1" s="1"/>
  <c r="K28" i="1"/>
  <c r="K55" i="1"/>
  <c r="K56" i="1" s="1"/>
  <c r="K57" i="1" s="1"/>
  <c r="K53" i="1"/>
  <c r="K8" i="1" s="1"/>
  <c r="K49" i="1"/>
  <c r="K4" i="1" s="1"/>
  <c r="J47" i="1"/>
  <c r="J48" i="1" s="1"/>
  <c r="J40" i="1"/>
  <c r="J34" i="1"/>
  <c r="J46" i="1"/>
  <c r="J15" i="1"/>
  <c r="J21" i="1"/>
  <c r="J22" i="1" s="1"/>
  <c r="J28" i="1"/>
  <c r="J55" i="1"/>
  <c r="J56" i="1" s="1"/>
  <c r="J57" i="1" s="1"/>
  <c r="J54" i="1"/>
  <c r="J53" i="1"/>
  <c r="J49" i="1"/>
  <c r="J50" i="1" s="1"/>
  <c r="I55" i="1"/>
  <c r="I56" i="1" s="1"/>
  <c r="I57" i="1" s="1"/>
  <c r="I53" i="1"/>
  <c r="I49" i="1"/>
  <c r="I4" i="1" s="1"/>
  <c r="H55" i="1"/>
  <c r="H56" i="1" s="1"/>
  <c r="H57" i="1" s="1"/>
  <c r="H53" i="1"/>
  <c r="H8" i="1" s="1"/>
  <c r="H49" i="1"/>
  <c r="H4" i="1" s="1"/>
  <c r="I47" i="1"/>
  <c r="I48" i="1" s="1"/>
  <c r="I40" i="1"/>
  <c r="I34" i="1"/>
  <c r="I46" i="1"/>
  <c r="I15" i="1"/>
  <c r="I21" i="1"/>
  <c r="I22" i="1" s="1"/>
  <c r="I28" i="1"/>
  <c r="H47" i="1"/>
  <c r="H48" i="1" s="1"/>
  <c r="H40" i="1"/>
  <c r="H34" i="1"/>
  <c r="H46" i="1"/>
  <c r="H15" i="1"/>
  <c r="H21" i="1"/>
  <c r="H22" i="1" s="1"/>
  <c r="H28" i="1"/>
  <c r="G55" i="1"/>
  <c r="G56" i="1" s="1"/>
  <c r="G57" i="1" s="1"/>
  <c r="G53" i="1"/>
  <c r="G8" i="1" s="1"/>
  <c r="G49" i="1"/>
  <c r="G4" i="1" s="1"/>
  <c r="G47" i="1"/>
  <c r="G48" i="1" s="1"/>
  <c r="G40" i="1"/>
  <c r="G34" i="1"/>
  <c r="G46" i="1"/>
  <c r="G15" i="1"/>
  <c r="G21" i="1"/>
  <c r="G22" i="1" s="1"/>
  <c r="G28" i="1"/>
  <c r="F47" i="1"/>
  <c r="F48" i="1" s="1"/>
  <c r="F40" i="1"/>
  <c r="F34" i="1"/>
  <c r="F46" i="1"/>
  <c r="F15" i="1"/>
  <c r="F21" i="1"/>
  <c r="F22" i="1" s="1"/>
  <c r="F28" i="1"/>
  <c r="F55" i="1"/>
  <c r="F56" i="1" s="1"/>
  <c r="F57" i="1" s="1"/>
  <c r="F53" i="1"/>
  <c r="F8" i="1" s="1"/>
  <c r="F49" i="1"/>
  <c r="F50" i="1" s="1"/>
  <c r="S119" i="1"/>
  <c r="T119" i="1"/>
  <c r="U119" i="1"/>
  <c r="V119" i="1"/>
  <c r="W119" i="1"/>
  <c r="X119" i="1"/>
  <c r="Y119" i="1"/>
  <c r="AA119" i="1"/>
  <c r="AB119" i="1"/>
  <c r="AC119" i="1"/>
  <c r="AD119" i="1"/>
  <c r="AE119" i="1"/>
  <c r="T118" i="1"/>
  <c r="U118" i="1"/>
  <c r="V118" i="1"/>
  <c r="W118" i="1"/>
  <c r="X118" i="1"/>
  <c r="Y118" i="1"/>
  <c r="AA118" i="1"/>
  <c r="AB118" i="1"/>
  <c r="AC118" i="1"/>
  <c r="AD118" i="1"/>
  <c r="AE118" i="1"/>
  <c r="V107" i="1"/>
  <c r="W107" i="1"/>
  <c r="X107" i="1"/>
  <c r="Y107" i="1"/>
  <c r="Z107" i="1"/>
  <c r="AA107" i="1"/>
  <c r="AB107" i="1"/>
  <c r="AC107" i="1"/>
  <c r="AD107" i="1"/>
  <c r="AE107" i="1"/>
  <c r="V106" i="1"/>
  <c r="W106" i="1"/>
  <c r="W108" i="1" s="1"/>
  <c r="X106" i="1"/>
  <c r="Y106" i="1"/>
  <c r="Z106" i="1"/>
  <c r="AA106" i="1"/>
  <c r="AB106" i="1"/>
  <c r="AC106" i="1"/>
  <c r="AD106" i="1"/>
  <c r="AE106" i="1"/>
  <c r="AE108" i="1" s="1"/>
  <c r="U101" i="1"/>
  <c r="V101" i="1"/>
  <c r="W101" i="1"/>
  <c r="X101" i="1"/>
  <c r="Y101" i="1"/>
  <c r="Z101" i="1"/>
  <c r="AA101" i="1"/>
  <c r="AB101" i="1"/>
  <c r="AC101" i="1"/>
  <c r="AD101" i="1"/>
  <c r="AE101" i="1"/>
  <c r="U100" i="1"/>
  <c r="V100" i="1"/>
  <c r="W100" i="1"/>
  <c r="X100" i="1"/>
  <c r="Y100" i="1"/>
  <c r="Z100" i="1"/>
  <c r="AA100" i="1"/>
  <c r="AB100" i="1"/>
  <c r="AC100" i="1"/>
  <c r="AD100" i="1"/>
  <c r="AE100" i="1"/>
  <c r="U95" i="1"/>
  <c r="V95" i="1"/>
  <c r="W95" i="1"/>
  <c r="X95" i="1"/>
  <c r="Y95" i="1"/>
  <c r="Z95" i="1"/>
  <c r="AA95" i="1"/>
  <c r="AB95" i="1"/>
  <c r="AC95" i="1"/>
  <c r="AD95" i="1"/>
  <c r="AE95" i="1"/>
  <c r="X94" i="1"/>
  <c r="X96" i="1" s="1"/>
  <c r="Y94" i="1"/>
  <c r="Y96" i="1" s="1"/>
  <c r="Z94" i="1"/>
  <c r="AA94" i="1"/>
  <c r="AA96" i="1" s="1"/>
  <c r="AB94" i="1"/>
  <c r="AB96" i="1" s="1"/>
  <c r="AC94" i="1"/>
  <c r="AC96" i="1" s="1"/>
  <c r="AD94" i="1"/>
  <c r="AE94" i="1"/>
  <c r="AE96" i="1" s="1"/>
  <c r="U89" i="1"/>
  <c r="V89" i="1"/>
  <c r="W89" i="1"/>
  <c r="X89" i="1"/>
  <c r="Y89" i="1"/>
  <c r="Z89" i="1"/>
  <c r="AA89" i="1"/>
  <c r="AB89" i="1"/>
  <c r="AC89" i="1"/>
  <c r="AD89" i="1"/>
  <c r="AE89" i="1"/>
  <c r="X88" i="1"/>
  <c r="X90" i="1" s="1"/>
  <c r="Y88" i="1"/>
  <c r="Y90" i="1" s="1"/>
  <c r="Z88" i="1"/>
  <c r="AA88" i="1"/>
  <c r="AB88" i="1"/>
  <c r="AB90" i="1" s="1"/>
  <c r="AC88" i="1"/>
  <c r="AC90" i="1" s="1"/>
  <c r="AD88" i="1"/>
  <c r="AD90" i="1" s="1"/>
  <c r="AE88" i="1"/>
  <c r="AE90" i="1" s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77" i="1"/>
  <c r="W77" i="1"/>
  <c r="X77" i="1"/>
  <c r="Y77" i="1"/>
  <c r="Z77" i="1"/>
  <c r="AA77" i="1"/>
  <c r="AB77" i="1"/>
  <c r="AC77" i="1"/>
  <c r="AD77" i="1"/>
  <c r="AE77" i="1"/>
  <c r="V76" i="1"/>
  <c r="W76" i="1"/>
  <c r="X76" i="1"/>
  <c r="Y76" i="1"/>
  <c r="Z76" i="1"/>
  <c r="AA76" i="1"/>
  <c r="AB76" i="1"/>
  <c r="AC76" i="1"/>
  <c r="AD76" i="1"/>
  <c r="AE76" i="1"/>
  <c r="T71" i="1"/>
  <c r="U71" i="1"/>
  <c r="V71" i="1"/>
  <c r="W71" i="1"/>
  <c r="X71" i="1"/>
  <c r="Y71" i="1"/>
  <c r="Z71" i="1"/>
  <c r="AA71" i="1"/>
  <c r="AB71" i="1"/>
  <c r="AC71" i="1"/>
  <c r="AD71" i="1"/>
  <c r="AE71" i="1"/>
  <c r="T70" i="1"/>
  <c r="U70" i="1"/>
  <c r="V70" i="1"/>
  <c r="W70" i="1"/>
  <c r="X70" i="1"/>
  <c r="Y70" i="1"/>
  <c r="Z70" i="1"/>
  <c r="AA70" i="1"/>
  <c r="AB70" i="1"/>
  <c r="AC70" i="1"/>
  <c r="AD70" i="1"/>
  <c r="AE70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X64" i="1"/>
  <c r="X66" i="1" s="1"/>
  <c r="Y64" i="1"/>
  <c r="Y66" i="1" s="1"/>
  <c r="Z64" i="1"/>
  <c r="AA64" i="1"/>
  <c r="AA66" i="1" s="1"/>
  <c r="AB64" i="1"/>
  <c r="AB66" i="1" s="1"/>
  <c r="AC64" i="1"/>
  <c r="AC66" i="1" s="1"/>
  <c r="AD64" i="1"/>
  <c r="AD66" i="1" s="1"/>
  <c r="AE64" i="1"/>
  <c r="AE66" i="1" s="1"/>
  <c r="V60" i="1"/>
  <c r="W60" i="1"/>
  <c r="X60" i="1"/>
  <c r="Y60" i="1"/>
  <c r="Z60" i="1"/>
  <c r="AA60" i="1"/>
  <c r="AB60" i="1"/>
  <c r="AC60" i="1"/>
  <c r="AD60" i="1"/>
  <c r="AE60" i="1"/>
  <c r="V59" i="1"/>
  <c r="W59" i="1"/>
  <c r="X59" i="1"/>
  <c r="Y59" i="1"/>
  <c r="Z59" i="1"/>
  <c r="AA59" i="1"/>
  <c r="AB59" i="1"/>
  <c r="AC59" i="1"/>
  <c r="AD59" i="1"/>
  <c r="AE59" i="1"/>
  <c r="V51" i="1"/>
  <c r="W51" i="1"/>
  <c r="X51" i="1"/>
  <c r="Y51" i="1"/>
  <c r="Z51" i="1"/>
  <c r="AA51" i="1"/>
  <c r="AB51" i="1"/>
  <c r="AC51" i="1"/>
  <c r="AD51" i="1"/>
  <c r="AE51" i="1"/>
  <c r="V50" i="1"/>
  <c r="W50" i="1"/>
  <c r="X50" i="1"/>
  <c r="Y50" i="1"/>
  <c r="Z50" i="1"/>
  <c r="AA50" i="1"/>
  <c r="AB50" i="1"/>
  <c r="AC50" i="1"/>
  <c r="AD50" i="1"/>
  <c r="AE50" i="1"/>
  <c r="V43" i="1"/>
  <c r="W43" i="1"/>
  <c r="X43" i="1"/>
  <c r="Y43" i="1"/>
  <c r="Z43" i="1"/>
  <c r="AA43" i="1"/>
  <c r="AB43" i="1"/>
  <c r="AC43" i="1"/>
  <c r="AD43" i="1"/>
  <c r="AE43" i="1"/>
  <c r="Z42" i="1"/>
  <c r="AA42" i="1"/>
  <c r="AB42" i="1"/>
  <c r="AC42" i="1"/>
  <c r="AD42" i="1"/>
  <c r="AE42" i="1"/>
  <c r="V37" i="1"/>
  <c r="W37" i="1"/>
  <c r="X37" i="1"/>
  <c r="Y37" i="1"/>
  <c r="Z37" i="1"/>
  <c r="AA37" i="1"/>
  <c r="AB37" i="1"/>
  <c r="AC37" i="1"/>
  <c r="AD37" i="1"/>
  <c r="AE37" i="1"/>
  <c r="V36" i="1"/>
  <c r="W36" i="1"/>
  <c r="X36" i="1"/>
  <c r="Y36" i="1"/>
  <c r="Z36" i="1"/>
  <c r="AA36" i="1"/>
  <c r="AA38" i="1" s="1"/>
  <c r="AB36" i="1"/>
  <c r="AC36" i="1"/>
  <c r="AD36" i="1"/>
  <c r="AE36" i="1"/>
  <c r="T30" i="1"/>
  <c r="U30" i="1"/>
  <c r="V30" i="1"/>
  <c r="W30" i="1"/>
  <c r="X30" i="1"/>
  <c r="Y30" i="1"/>
  <c r="Z30" i="1"/>
  <c r="AA30" i="1"/>
  <c r="AB30" i="1"/>
  <c r="AC30" i="1"/>
  <c r="AD30" i="1"/>
  <c r="AE30" i="1"/>
  <c r="AB31" i="1"/>
  <c r="AC31" i="1"/>
  <c r="AD31" i="1"/>
  <c r="AE31" i="1"/>
  <c r="U25" i="1"/>
  <c r="V25" i="1"/>
  <c r="W25" i="1"/>
  <c r="X25" i="1"/>
  <c r="Y25" i="1"/>
  <c r="Z25" i="1"/>
  <c r="AA25" i="1"/>
  <c r="AB25" i="1"/>
  <c r="AC25" i="1"/>
  <c r="AD25" i="1"/>
  <c r="AE25" i="1"/>
  <c r="U24" i="1"/>
  <c r="V24" i="1"/>
  <c r="V26" i="1" s="1"/>
  <c r="W24" i="1"/>
  <c r="X24" i="1"/>
  <c r="Y24" i="1"/>
  <c r="Z24" i="1"/>
  <c r="AA24" i="1"/>
  <c r="AB24" i="1"/>
  <c r="AC24" i="1"/>
  <c r="AD24" i="1"/>
  <c r="AE24" i="1"/>
  <c r="V18" i="1"/>
  <c r="W18" i="1"/>
  <c r="X18" i="1"/>
  <c r="Y18" i="1"/>
  <c r="Z18" i="1"/>
  <c r="AA18" i="1"/>
  <c r="AB18" i="1"/>
  <c r="AC18" i="1"/>
  <c r="AD18" i="1"/>
  <c r="AE18" i="1"/>
  <c r="X17" i="1"/>
  <c r="X19" i="1" s="1"/>
  <c r="Y17" i="1"/>
  <c r="Y19" i="1" s="1"/>
  <c r="Z17" i="1"/>
  <c r="AA17" i="1"/>
  <c r="AA19" i="1" s="1"/>
  <c r="AB17" i="1"/>
  <c r="AC17" i="1"/>
  <c r="AD17" i="1"/>
  <c r="AD19" i="1" s="1"/>
  <c r="AE17" i="1"/>
  <c r="AE19" i="1" s="1"/>
  <c r="V12" i="1"/>
  <c r="W12" i="1"/>
  <c r="X12" i="1"/>
  <c r="Y12" i="1"/>
  <c r="AE12" i="1"/>
  <c r="AE11" i="1"/>
  <c r="O9" i="1"/>
  <c r="P9" i="1"/>
  <c r="Q9" i="1"/>
  <c r="R9" i="1"/>
  <c r="S9" i="1"/>
  <c r="T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O51" i="1"/>
  <c r="P51" i="1"/>
  <c r="Q51" i="1"/>
  <c r="R51" i="1"/>
  <c r="S51" i="1"/>
  <c r="T51" i="1"/>
  <c r="U51" i="1"/>
  <c r="O50" i="1"/>
  <c r="P50" i="1"/>
  <c r="Q50" i="1"/>
  <c r="R50" i="1"/>
  <c r="S50" i="1"/>
  <c r="T50" i="1"/>
  <c r="U50" i="1"/>
  <c r="E55" i="1"/>
  <c r="E56" i="1" s="1"/>
  <c r="E57" i="1" s="1"/>
  <c r="E53" i="1"/>
  <c r="E8" i="1" s="1"/>
  <c r="E49" i="1"/>
  <c r="E4" i="1" s="1"/>
  <c r="E107" i="1"/>
  <c r="F107" i="1"/>
  <c r="G107" i="1"/>
  <c r="H107" i="1"/>
  <c r="I107" i="1"/>
  <c r="J107" i="1"/>
  <c r="K107" i="1"/>
  <c r="L107" i="1"/>
  <c r="M107" i="1"/>
  <c r="N107" i="1"/>
  <c r="O107" i="1"/>
  <c r="Q107" i="1"/>
  <c r="R107" i="1"/>
  <c r="S107" i="1"/>
  <c r="T107" i="1"/>
  <c r="U107" i="1"/>
  <c r="E106" i="1"/>
  <c r="F106" i="1"/>
  <c r="G106" i="1"/>
  <c r="H106" i="1"/>
  <c r="I106" i="1"/>
  <c r="J106" i="1"/>
  <c r="K106" i="1"/>
  <c r="L106" i="1"/>
  <c r="M106" i="1"/>
  <c r="N106" i="1"/>
  <c r="O106" i="1"/>
  <c r="Q106" i="1"/>
  <c r="R106" i="1"/>
  <c r="S106" i="1"/>
  <c r="T106" i="1"/>
  <c r="U106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E100" i="1"/>
  <c r="F100" i="1"/>
  <c r="F102" i="1" s="1"/>
  <c r="G100" i="1"/>
  <c r="H100" i="1"/>
  <c r="H102" i="1" s="1"/>
  <c r="I100" i="1"/>
  <c r="I102" i="1" s="1"/>
  <c r="J100" i="1"/>
  <c r="J102" i="1" s="1"/>
  <c r="K100" i="1"/>
  <c r="L100" i="1"/>
  <c r="L102" i="1" s="1"/>
  <c r="M100" i="1"/>
  <c r="N100" i="1"/>
  <c r="N102" i="1" s="1"/>
  <c r="O100" i="1"/>
  <c r="P100" i="1"/>
  <c r="P102" i="1" s="1"/>
  <c r="Q100" i="1"/>
  <c r="Q102" i="1" s="1"/>
  <c r="R100" i="1"/>
  <c r="S100" i="1"/>
  <c r="T100" i="1"/>
  <c r="T102" i="1" s="1"/>
  <c r="E47" i="1"/>
  <c r="E48" i="1" s="1"/>
  <c r="E40" i="1"/>
  <c r="E34" i="1"/>
  <c r="E46" i="1"/>
  <c r="E15" i="1"/>
  <c r="E21" i="1"/>
  <c r="E22" i="1" s="1"/>
  <c r="E28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E36" i="1"/>
  <c r="F36" i="1"/>
  <c r="G36" i="1"/>
  <c r="H36" i="1"/>
  <c r="I36" i="1"/>
  <c r="J36" i="1"/>
  <c r="K36" i="1"/>
  <c r="L36" i="1"/>
  <c r="M36" i="1"/>
  <c r="M38" i="1" s="1"/>
  <c r="N36" i="1"/>
  <c r="O36" i="1"/>
  <c r="P36" i="1"/>
  <c r="Q36" i="1"/>
  <c r="R36" i="1"/>
  <c r="S36" i="1"/>
  <c r="T36" i="1"/>
  <c r="U36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U32" i="1" s="1"/>
  <c r="V31" i="1"/>
  <c r="W31" i="1"/>
  <c r="X31" i="1"/>
  <c r="Y31" i="1"/>
  <c r="Z31" i="1"/>
  <c r="AA31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E76" i="1"/>
  <c r="F76" i="1"/>
  <c r="G76" i="1"/>
  <c r="H76" i="1"/>
  <c r="I76" i="1"/>
  <c r="J76" i="1"/>
  <c r="K76" i="1"/>
  <c r="L76" i="1"/>
  <c r="L78" i="1" s="1"/>
  <c r="M76" i="1"/>
  <c r="N76" i="1"/>
  <c r="O76" i="1"/>
  <c r="P76" i="1"/>
  <c r="Q76" i="1"/>
  <c r="R76" i="1"/>
  <c r="S76" i="1"/>
  <c r="T76" i="1"/>
  <c r="U76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V19" i="1" s="1"/>
  <c r="W17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E24" i="1"/>
  <c r="F24" i="1"/>
  <c r="F26" i="1" s="1"/>
  <c r="G24" i="1"/>
  <c r="G26" i="1" s="1"/>
  <c r="H24" i="1"/>
  <c r="I24" i="1"/>
  <c r="J24" i="1"/>
  <c r="K24" i="1"/>
  <c r="L24" i="1"/>
  <c r="M24" i="1"/>
  <c r="M26" i="1" s="1"/>
  <c r="N24" i="1"/>
  <c r="N26" i="1" s="1"/>
  <c r="O24" i="1"/>
  <c r="P24" i="1"/>
  <c r="P26" i="1" s="1"/>
  <c r="Q24" i="1"/>
  <c r="Q26" i="1" s="1"/>
  <c r="R24" i="1"/>
  <c r="S24" i="1"/>
  <c r="S26" i="1" s="1"/>
  <c r="T24" i="1"/>
  <c r="T26" i="1" s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E94" i="1"/>
  <c r="E96" i="1" s="1"/>
  <c r="F94" i="1"/>
  <c r="G94" i="1"/>
  <c r="G96" i="1" s="1"/>
  <c r="H94" i="1"/>
  <c r="I94" i="1"/>
  <c r="J94" i="1"/>
  <c r="K94" i="1"/>
  <c r="K96" i="1" s="1"/>
  <c r="L94" i="1"/>
  <c r="M94" i="1"/>
  <c r="N94" i="1"/>
  <c r="N96" i="1" s="1"/>
  <c r="O94" i="1"/>
  <c r="P94" i="1"/>
  <c r="P96" i="1" s="1"/>
  <c r="Q94" i="1"/>
  <c r="R94" i="1"/>
  <c r="S94" i="1"/>
  <c r="T94" i="1"/>
  <c r="T96" i="1" s="1"/>
  <c r="U94" i="1"/>
  <c r="V94" i="1"/>
  <c r="W94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E88" i="1"/>
  <c r="E90" i="1" s="1"/>
  <c r="F88" i="1"/>
  <c r="G88" i="1"/>
  <c r="G90" i="1" s="1"/>
  <c r="H88" i="1"/>
  <c r="H90" i="1" s="1"/>
  <c r="I88" i="1"/>
  <c r="I90" i="1" s="1"/>
  <c r="J88" i="1"/>
  <c r="K88" i="1"/>
  <c r="L88" i="1"/>
  <c r="L90" i="1" s="1"/>
  <c r="M88" i="1"/>
  <c r="M90" i="1" s="1"/>
  <c r="N88" i="1"/>
  <c r="N90" i="1" s="1"/>
  <c r="O88" i="1"/>
  <c r="P88" i="1"/>
  <c r="P90" i="1" s="1"/>
  <c r="Q88" i="1"/>
  <c r="R88" i="1"/>
  <c r="S88" i="1"/>
  <c r="S90" i="1" s="1"/>
  <c r="T88" i="1"/>
  <c r="T90" i="1" s="1"/>
  <c r="U88" i="1"/>
  <c r="V88" i="1"/>
  <c r="W88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O8" i="1"/>
  <c r="P8" i="1"/>
  <c r="Q8" i="1"/>
  <c r="R8" i="1"/>
  <c r="J4" i="1"/>
  <c r="O4" i="1"/>
  <c r="P4" i="1"/>
  <c r="Q4" i="1"/>
  <c r="R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W66" i="1" s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E119" i="1"/>
  <c r="F119" i="1"/>
  <c r="G119" i="1"/>
  <c r="H119" i="1"/>
  <c r="I119" i="1"/>
  <c r="J119" i="1"/>
  <c r="K119" i="1"/>
  <c r="L119" i="1"/>
  <c r="M119" i="1"/>
  <c r="N119" i="1"/>
  <c r="O119" i="1"/>
  <c r="Q119" i="1"/>
  <c r="R119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E120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I115" i="2"/>
  <c r="G114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H114" i="2" s="1"/>
  <c r="AG112" i="2"/>
  <c r="AG114" i="2" s="1"/>
  <c r="AF112" i="2"/>
  <c r="AF114" i="2" s="1"/>
  <c r="AE112" i="2"/>
  <c r="AE114" i="2" s="1"/>
  <c r="AD112" i="2"/>
  <c r="AD114" i="2" s="1"/>
  <c r="AC112" i="2"/>
  <c r="AB112" i="2"/>
  <c r="AB114" i="2" s="1"/>
  <c r="AA112" i="2"/>
  <c r="Z112" i="2"/>
  <c r="Z114" i="2" s="1"/>
  <c r="Y112" i="2"/>
  <c r="Y114" i="2" s="1"/>
  <c r="X112" i="2"/>
  <c r="X114" i="2" s="1"/>
  <c r="W112" i="2"/>
  <c r="W114" i="2" s="1"/>
  <c r="V112" i="2"/>
  <c r="V114" i="2" s="1"/>
  <c r="U112" i="2"/>
  <c r="T112" i="2"/>
  <c r="T114" i="2" s="1"/>
  <c r="S112" i="2"/>
  <c r="R112" i="2"/>
  <c r="R114" i="2" s="1"/>
  <c r="Q112" i="2"/>
  <c r="Q114" i="2" s="1"/>
  <c r="P112" i="2"/>
  <c r="P114" i="2" s="1"/>
  <c r="O112" i="2"/>
  <c r="O114" i="2" s="1"/>
  <c r="N112" i="2"/>
  <c r="N114" i="2" s="1"/>
  <c r="M112" i="2"/>
  <c r="L112" i="2"/>
  <c r="L114" i="2" s="1"/>
  <c r="K112" i="2"/>
  <c r="J112" i="2"/>
  <c r="J114" i="2" s="1"/>
  <c r="I112" i="2"/>
  <c r="I114" i="2" s="1"/>
  <c r="H112" i="2"/>
  <c r="H114" i="2" s="1"/>
  <c r="G112" i="2"/>
  <c r="F112" i="2"/>
  <c r="F114" i="2" s="1"/>
  <c r="E112" i="2"/>
  <c r="D112" i="2"/>
  <c r="D114" i="2" s="1"/>
  <c r="AI111" i="2"/>
  <c r="AI112" i="2" s="1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I109" i="2"/>
  <c r="H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106" i="2"/>
  <c r="AH108" i="2" s="1"/>
  <c r="AG106" i="2"/>
  <c r="AG108" i="2" s="1"/>
  <c r="AF106" i="2"/>
  <c r="AF108" i="2" s="1"/>
  <c r="AE106" i="2"/>
  <c r="AE108" i="2" s="1"/>
  <c r="AD106" i="2"/>
  <c r="AD108" i="2" s="1"/>
  <c r="AC106" i="2"/>
  <c r="AB106" i="2"/>
  <c r="AB108" i="2" s="1"/>
  <c r="AA106" i="2"/>
  <c r="Z106" i="2"/>
  <c r="Z108" i="2" s="1"/>
  <c r="Y106" i="2"/>
  <c r="Y108" i="2" s="1"/>
  <c r="X106" i="2"/>
  <c r="X108" i="2" s="1"/>
  <c r="W106" i="2"/>
  <c r="W108" i="2" s="1"/>
  <c r="V106" i="2"/>
  <c r="V108" i="2" s="1"/>
  <c r="U106" i="2"/>
  <c r="T106" i="2"/>
  <c r="T108" i="2" s="1"/>
  <c r="S106" i="2"/>
  <c r="R106" i="2"/>
  <c r="R108" i="2" s="1"/>
  <c r="Q106" i="2"/>
  <c r="Q108" i="2" s="1"/>
  <c r="P106" i="2"/>
  <c r="P108" i="2" s="1"/>
  <c r="O106" i="2"/>
  <c r="O108" i="2" s="1"/>
  <c r="N106" i="2"/>
  <c r="N108" i="2" s="1"/>
  <c r="M106" i="2"/>
  <c r="L106" i="2"/>
  <c r="L108" i="2" s="1"/>
  <c r="K106" i="2"/>
  <c r="J106" i="2"/>
  <c r="J108" i="2" s="1"/>
  <c r="I106" i="2"/>
  <c r="I108" i="2" s="1"/>
  <c r="H106" i="2"/>
  <c r="G106" i="2"/>
  <c r="G108" i="2" s="1"/>
  <c r="F106" i="2"/>
  <c r="F108" i="2" s="1"/>
  <c r="E106" i="2"/>
  <c r="D106" i="2"/>
  <c r="D108" i="2" s="1"/>
  <c r="AI105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P104" i="2"/>
  <c r="O104" i="2"/>
  <c r="M104" i="2"/>
  <c r="L104" i="2"/>
  <c r="K104" i="2"/>
  <c r="J104" i="2"/>
  <c r="I104" i="2"/>
  <c r="H104" i="2"/>
  <c r="G104" i="2"/>
  <c r="F104" i="2"/>
  <c r="E104" i="2"/>
  <c r="D104" i="2"/>
  <c r="AI103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D101" i="2"/>
  <c r="AH100" i="2"/>
  <c r="AH102" i="2" s="1"/>
  <c r="AG100" i="2"/>
  <c r="AF100" i="2"/>
  <c r="AF102" i="2" s="1"/>
  <c r="AE100" i="2"/>
  <c r="AD100" i="2"/>
  <c r="AC100" i="2"/>
  <c r="AC102" i="2" s="1"/>
  <c r="AB100" i="2"/>
  <c r="AB102" i="2" s="1"/>
  <c r="AA100" i="2"/>
  <c r="AA102" i="2" s="1"/>
  <c r="Z100" i="2"/>
  <c r="Z102" i="2" s="1"/>
  <c r="Y100" i="2"/>
  <c r="X100" i="2"/>
  <c r="X102" i="2" s="1"/>
  <c r="W100" i="2"/>
  <c r="V100" i="2"/>
  <c r="V102" i="2" s="1"/>
  <c r="U100" i="2"/>
  <c r="U102" i="2" s="1"/>
  <c r="T100" i="2"/>
  <c r="T102" i="2" s="1"/>
  <c r="S100" i="2"/>
  <c r="S102" i="2" s="1"/>
  <c r="R100" i="2"/>
  <c r="R102" i="2" s="1"/>
  <c r="Q100" i="2"/>
  <c r="P100" i="2"/>
  <c r="P102" i="2" s="1"/>
  <c r="O100" i="2"/>
  <c r="N100" i="2"/>
  <c r="N102" i="2" s="1"/>
  <c r="M100" i="2"/>
  <c r="M102" i="2" s="1"/>
  <c r="L100" i="2"/>
  <c r="L102" i="2" s="1"/>
  <c r="K100" i="2"/>
  <c r="K102" i="2" s="1"/>
  <c r="J100" i="2"/>
  <c r="J102" i="2" s="1"/>
  <c r="I100" i="2"/>
  <c r="H100" i="2"/>
  <c r="H102" i="2" s="1"/>
  <c r="G100" i="2"/>
  <c r="F100" i="2"/>
  <c r="F102" i="2" s="1"/>
  <c r="D100" i="2"/>
  <c r="D102" i="2" s="1"/>
  <c r="E99" i="2"/>
  <c r="E101" i="2" s="1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I97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I96" i="2" s="1"/>
  <c r="H95" i="2"/>
  <c r="G95" i="2"/>
  <c r="F95" i="2"/>
  <c r="E95" i="2"/>
  <c r="D95" i="2"/>
  <c r="AH94" i="2"/>
  <c r="AH96" i="2" s="1"/>
  <c r="AG94" i="2"/>
  <c r="AG96" i="2" s="1"/>
  <c r="AF94" i="2"/>
  <c r="AF96" i="2" s="1"/>
  <c r="AE94" i="2"/>
  <c r="AD94" i="2"/>
  <c r="AD96" i="2" s="1"/>
  <c r="AC94" i="2"/>
  <c r="AC96" i="2" s="1"/>
  <c r="AB94" i="2"/>
  <c r="AB96" i="2" s="1"/>
  <c r="AA94" i="2"/>
  <c r="AA96" i="2" s="1"/>
  <c r="Z94" i="2"/>
  <c r="Z96" i="2" s="1"/>
  <c r="Y94" i="2"/>
  <c r="X94" i="2"/>
  <c r="X96" i="2" s="1"/>
  <c r="W94" i="2"/>
  <c r="V94" i="2"/>
  <c r="V96" i="2" s="1"/>
  <c r="U94" i="2"/>
  <c r="U96" i="2" s="1"/>
  <c r="T94" i="2"/>
  <c r="T96" i="2" s="1"/>
  <c r="S94" i="2"/>
  <c r="S96" i="2" s="1"/>
  <c r="R94" i="2"/>
  <c r="R96" i="2" s="1"/>
  <c r="Q94" i="2"/>
  <c r="Q96" i="2" s="1"/>
  <c r="P94" i="2"/>
  <c r="P96" i="2" s="1"/>
  <c r="O94" i="2"/>
  <c r="N94" i="2"/>
  <c r="N96" i="2" s="1"/>
  <c r="M94" i="2"/>
  <c r="M96" i="2" s="1"/>
  <c r="L94" i="2"/>
  <c r="L96" i="2" s="1"/>
  <c r="K94" i="2"/>
  <c r="K96" i="2" s="1"/>
  <c r="J94" i="2"/>
  <c r="J96" i="2" s="1"/>
  <c r="I94" i="2"/>
  <c r="H94" i="2"/>
  <c r="H96" i="2" s="1"/>
  <c r="G94" i="2"/>
  <c r="F94" i="2"/>
  <c r="F96" i="2" s="1"/>
  <c r="E94" i="2"/>
  <c r="E96" i="2" s="1"/>
  <c r="D94" i="2"/>
  <c r="D96" i="2" s="1"/>
  <c r="AI93" i="2"/>
  <c r="AI94" i="2" s="1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I91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K90" i="2" s="1"/>
  <c r="J89" i="2"/>
  <c r="I89" i="2"/>
  <c r="H89" i="2"/>
  <c r="G89" i="2"/>
  <c r="F89" i="2"/>
  <c r="E89" i="2"/>
  <c r="D89" i="2"/>
  <c r="AH88" i="2"/>
  <c r="AH90" i="2" s="1"/>
  <c r="AG88" i="2"/>
  <c r="AF88" i="2"/>
  <c r="AF90" i="2" s="1"/>
  <c r="AE88" i="2"/>
  <c r="AE90" i="2" s="1"/>
  <c r="AD88" i="2"/>
  <c r="AD90" i="2" s="1"/>
  <c r="AC88" i="2"/>
  <c r="AC90" i="2" s="1"/>
  <c r="AB88" i="2"/>
  <c r="AB90" i="2" s="1"/>
  <c r="AA88" i="2"/>
  <c r="AA90" i="2" s="1"/>
  <c r="Z88" i="2"/>
  <c r="Z90" i="2" s="1"/>
  <c r="Y88" i="2"/>
  <c r="X88" i="2"/>
  <c r="X90" i="2" s="1"/>
  <c r="W88" i="2"/>
  <c r="W90" i="2" s="1"/>
  <c r="V88" i="2"/>
  <c r="V90" i="2" s="1"/>
  <c r="U88" i="2"/>
  <c r="U90" i="2" s="1"/>
  <c r="T88" i="2"/>
  <c r="T90" i="2" s="1"/>
  <c r="S88" i="2"/>
  <c r="S90" i="2" s="1"/>
  <c r="R88" i="2"/>
  <c r="R90" i="2" s="1"/>
  <c r="Q88" i="2"/>
  <c r="P88" i="2"/>
  <c r="P90" i="2" s="1"/>
  <c r="O88" i="2"/>
  <c r="O90" i="2" s="1"/>
  <c r="N88" i="2"/>
  <c r="N90" i="2" s="1"/>
  <c r="M88" i="2"/>
  <c r="M90" i="2" s="1"/>
  <c r="L88" i="2"/>
  <c r="L90" i="2" s="1"/>
  <c r="K88" i="2"/>
  <c r="J88" i="2"/>
  <c r="J90" i="2" s="1"/>
  <c r="I88" i="2"/>
  <c r="H88" i="2"/>
  <c r="H90" i="2" s="1"/>
  <c r="G88" i="2"/>
  <c r="G90" i="2" s="1"/>
  <c r="F88" i="2"/>
  <c r="F90" i="2" s="1"/>
  <c r="E88" i="2"/>
  <c r="E90" i="2" s="1"/>
  <c r="D88" i="2"/>
  <c r="D90" i="2" s="1"/>
  <c r="AI87" i="2"/>
  <c r="AI89" i="2" s="1"/>
  <c r="AH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AI85" i="2"/>
  <c r="AH83" i="2"/>
  <c r="AG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H84" i="2" s="1"/>
  <c r="AG82" i="2"/>
  <c r="AE82" i="2"/>
  <c r="AE84" i="2" s="1"/>
  <c r="AD82" i="2"/>
  <c r="AC82" i="2"/>
  <c r="AC84" i="2" s="1"/>
  <c r="AB82" i="2"/>
  <c r="AB84" i="2" s="1"/>
  <c r="AA82" i="2"/>
  <c r="AA84" i="2" s="1"/>
  <c r="Z82" i="2"/>
  <c r="Z84" i="2" s="1"/>
  <c r="Y82" i="2"/>
  <c r="Y84" i="2" s="1"/>
  <c r="X82" i="2"/>
  <c r="W82" i="2"/>
  <c r="W84" i="2" s="1"/>
  <c r="V82" i="2"/>
  <c r="U82" i="2"/>
  <c r="U84" i="2" s="1"/>
  <c r="T82" i="2"/>
  <c r="S82" i="2"/>
  <c r="S84" i="2" s="1"/>
  <c r="R82" i="2"/>
  <c r="R84" i="2" s="1"/>
  <c r="Q82" i="2"/>
  <c r="Q84" i="2" s="1"/>
  <c r="P82" i="2"/>
  <c r="O82" i="2"/>
  <c r="O84" i="2" s="1"/>
  <c r="N82" i="2"/>
  <c r="M82" i="2"/>
  <c r="M84" i="2" s="1"/>
  <c r="L82" i="2"/>
  <c r="L84" i="2" s="1"/>
  <c r="K82" i="2"/>
  <c r="K84" i="2" s="1"/>
  <c r="J82" i="2"/>
  <c r="J84" i="2" s="1"/>
  <c r="I82" i="2"/>
  <c r="I84" i="2" s="1"/>
  <c r="H82" i="2"/>
  <c r="G82" i="2"/>
  <c r="G84" i="2" s="1"/>
  <c r="F82" i="2"/>
  <c r="E82" i="2"/>
  <c r="E84" i="2" s="1"/>
  <c r="D82" i="2"/>
  <c r="AF81" i="2"/>
  <c r="AI81" i="2" s="1"/>
  <c r="AI82" i="2" s="1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I80" i="2" s="1"/>
  <c r="AI79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76" i="2"/>
  <c r="AH78" i="2" s="1"/>
  <c r="AG76" i="2"/>
  <c r="AG78" i="2" s="1"/>
  <c r="AF76" i="2"/>
  <c r="AF78" i="2" s="1"/>
  <c r="AE76" i="2"/>
  <c r="AE78" i="2" s="1"/>
  <c r="AD76" i="2"/>
  <c r="AD78" i="2" s="1"/>
  <c r="AC76" i="2"/>
  <c r="AB76" i="2"/>
  <c r="AB78" i="2" s="1"/>
  <c r="AA76" i="2"/>
  <c r="AA78" i="2" s="1"/>
  <c r="Z76" i="2"/>
  <c r="Z78" i="2" s="1"/>
  <c r="Y76" i="2"/>
  <c r="Y78" i="2" s="1"/>
  <c r="X76" i="2"/>
  <c r="X78" i="2" s="1"/>
  <c r="W76" i="2"/>
  <c r="V76" i="2"/>
  <c r="V78" i="2" s="1"/>
  <c r="U76" i="2"/>
  <c r="T76" i="2"/>
  <c r="T78" i="2" s="1"/>
  <c r="S76" i="2"/>
  <c r="S78" i="2" s="1"/>
  <c r="R76" i="2"/>
  <c r="R78" i="2" s="1"/>
  <c r="Q76" i="2"/>
  <c r="Q78" i="2" s="1"/>
  <c r="P76" i="2"/>
  <c r="P78" i="2" s="1"/>
  <c r="O76" i="2"/>
  <c r="N76" i="2"/>
  <c r="N78" i="2" s="1"/>
  <c r="M76" i="2"/>
  <c r="L76" i="2"/>
  <c r="L78" i="2" s="1"/>
  <c r="K76" i="2"/>
  <c r="K78" i="2" s="1"/>
  <c r="J76" i="2"/>
  <c r="J78" i="2" s="1"/>
  <c r="I76" i="2"/>
  <c r="I78" i="2" s="1"/>
  <c r="H76" i="2"/>
  <c r="H78" i="2" s="1"/>
  <c r="G76" i="2"/>
  <c r="F76" i="2"/>
  <c r="F78" i="2" s="1"/>
  <c r="E76" i="2"/>
  <c r="D76" i="2"/>
  <c r="D78" i="2" s="1"/>
  <c r="AI75" i="2"/>
  <c r="AI76" i="2" s="1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I73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H70" i="2"/>
  <c r="AH72" i="2" s="1"/>
  <c r="AG70" i="2"/>
  <c r="AG72" i="2" s="1"/>
  <c r="AF70" i="2"/>
  <c r="AF72" i="2" s="1"/>
  <c r="AE70" i="2"/>
  <c r="AE72" i="2" s="1"/>
  <c r="AD70" i="2"/>
  <c r="AC70" i="2"/>
  <c r="AC72" i="2" s="1"/>
  <c r="AB70" i="2"/>
  <c r="AA70" i="2"/>
  <c r="AA72" i="2" s="1"/>
  <c r="Z70" i="2"/>
  <c r="Z72" i="2" s="1"/>
  <c r="Y70" i="2"/>
  <c r="Y72" i="2" s="1"/>
  <c r="X70" i="2"/>
  <c r="X72" i="2" s="1"/>
  <c r="W70" i="2"/>
  <c r="W72" i="2" s="1"/>
  <c r="V70" i="2"/>
  <c r="U70" i="2"/>
  <c r="U72" i="2" s="1"/>
  <c r="T70" i="2"/>
  <c r="S70" i="2"/>
  <c r="S72" i="2" s="1"/>
  <c r="R70" i="2"/>
  <c r="R72" i="2" s="1"/>
  <c r="Q70" i="2"/>
  <c r="P70" i="2"/>
  <c r="P72" i="2" s="1"/>
  <c r="O70" i="2"/>
  <c r="O72" i="2" s="1"/>
  <c r="N70" i="2"/>
  <c r="M70" i="2"/>
  <c r="M72" i="2" s="1"/>
  <c r="L70" i="2"/>
  <c r="K70" i="2"/>
  <c r="K72" i="2" s="1"/>
  <c r="J70" i="2"/>
  <c r="J72" i="2" s="1"/>
  <c r="I70" i="2"/>
  <c r="H70" i="2"/>
  <c r="H72" i="2" s="1"/>
  <c r="G70" i="2"/>
  <c r="G72" i="2" s="1"/>
  <c r="F70" i="2"/>
  <c r="E70" i="2"/>
  <c r="E72" i="2" s="1"/>
  <c r="D70" i="2"/>
  <c r="AI69" i="2"/>
  <c r="AI70" i="2" s="1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S9" i="2" s="1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I67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H66" i="2" s="1"/>
  <c r="AG64" i="2"/>
  <c r="AF64" i="2"/>
  <c r="AF66" i="2" s="1"/>
  <c r="AE64" i="2"/>
  <c r="AD64" i="2"/>
  <c r="AD66" i="2" s="1"/>
  <c r="AC64" i="2"/>
  <c r="AC66" i="2" s="1"/>
  <c r="AB64" i="2"/>
  <c r="AB66" i="2" s="1"/>
  <c r="AA64" i="2"/>
  <c r="AA66" i="2" s="1"/>
  <c r="Z64" i="2"/>
  <c r="Z66" i="2" s="1"/>
  <c r="Y64" i="2"/>
  <c r="Y66" i="2" s="1"/>
  <c r="X64" i="2"/>
  <c r="X66" i="2" s="1"/>
  <c r="W64" i="2"/>
  <c r="V64" i="2"/>
  <c r="V66" i="2" s="1"/>
  <c r="U64" i="2"/>
  <c r="U66" i="2" s="1"/>
  <c r="T64" i="2"/>
  <c r="T66" i="2" s="1"/>
  <c r="S64" i="2"/>
  <c r="S66" i="2" s="1"/>
  <c r="R64" i="2"/>
  <c r="R66" i="2" s="1"/>
  <c r="Q64" i="2"/>
  <c r="P64" i="2"/>
  <c r="P66" i="2" s="1"/>
  <c r="O64" i="2"/>
  <c r="N64" i="2"/>
  <c r="N66" i="2" s="1"/>
  <c r="M64" i="2"/>
  <c r="M66" i="2" s="1"/>
  <c r="L64" i="2"/>
  <c r="L66" i="2" s="1"/>
  <c r="K64" i="2"/>
  <c r="K66" i="2" s="1"/>
  <c r="J64" i="2"/>
  <c r="J66" i="2" s="1"/>
  <c r="I64" i="2"/>
  <c r="I66" i="2" s="1"/>
  <c r="H64" i="2"/>
  <c r="H66" i="2" s="1"/>
  <c r="G64" i="2"/>
  <c r="F64" i="2"/>
  <c r="F66" i="2" s="1"/>
  <c r="E64" i="2"/>
  <c r="E66" i="2" s="1"/>
  <c r="D64" i="2"/>
  <c r="D66" i="2" s="1"/>
  <c r="AI63" i="2"/>
  <c r="AI62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H59" i="2"/>
  <c r="AH61" i="2" s="1"/>
  <c r="AG59" i="2"/>
  <c r="AF59" i="2"/>
  <c r="AF61" i="2" s="1"/>
  <c r="AE59" i="2"/>
  <c r="AE61" i="2" s="1"/>
  <c r="AD59" i="2"/>
  <c r="AD61" i="2" s="1"/>
  <c r="AC59" i="2"/>
  <c r="AC61" i="2" s="1"/>
  <c r="AB59" i="2"/>
  <c r="AB61" i="2" s="1"/>
  <c r="AA59" i="2"/>
  <c r="Z59" i="2"/>
  <c r="Z61" i="2" s="1"/>
  <c r="Y59" i="2"/>
  <c r="X59" i="2"/>
  <c r="X61" i="2" s="1"/>
  <c r="W59" i="2"/>
  <c r="W61" i="2" s="1"/>
  <c r="V59" i="2"/>
  <c r="V61" i="2" s="1"/>
  <c r="U59" i="2"/>
  <c r="U61" i="2" s="1"/>
  <c r="T59" i="2"/>
  <c r="T61" i="2" s="1"/>
  <c r="S59" i="2"/>
  <c r="R59" i="2"/>
  <c r="R61" i="2" s="1"/>
  <c r="Q59" i="2"/>
  <c r="P59" i="2"/>
  <c r="P61" i="2" s="1"/>
  <c r="O59" i="2"/>
  <c r="O61" i="2" s="1"/>
  <c r="N59" i="2"/>
  <c r="N61" i="2" s="1"/>
  <c r="M59" i="2"/>
  <c r="M61" i="2" s="1"/>
  <c r="L59" i="2"/>
  <c r="L61" i="2" s="1"/>
  <c r="K59" i="2"/>
  <c r="J59" i="2"/>
  <c r="J61" i="2" s="1"/>
  <c r="I59" i="2"/>
  <c r="H59" i="2"/>
  <c r="H61" i="2" s="1"/>
  <c r="G59" i="2"/>
  <c r="G61" i="2" s="1"/>
  <c r="F59" i="2"/>
  <c r="F61" i="2" s="1"/>
  <c r="E59" i="2"/>
  <c r="E61" i="2" s="1"/>
  <c r="D59" i="2"/>
  <c r="D61" i="2" s="1"/>
  <c r="AI58" i="2"/>
  <c r="AI60" i="2" s="1"/>
  <c r="AH56" i="2"/>
  <c r="AH57" i="2" s="1"/>
  <c r="AF56" i="2"/>
  <c r="AF57" i="2" s="1"/>
  <c r="AE56" i="2"/>
  <c r="AE57" i="2" s="1"/>
  <c r="F56" i="2"/>
  <c r="F57" i="2" s="1"/>
  <c r="AH55" i="2"/>
  <c r="AH120" i="2" s="1"/>
  <c r="AG55" i="2"/>
  <c r="AG56" i="2" s="1"/>
  <c r="AG57" i="2" s="1"/>
  <c r="AF55" i="2"/>
  <c r="AF120" i="2" s="1"/>
  <c r="AE55" i="2"/>
  <c r="AE120" i="2" s="1"/>
  <c r="AD55" i="2"/>
  <c r="AC55" i="2"/>
  <c r="AC56" i="2" s="1"/>
  <c r="AC57" i="2" s="1"/>
  <c r="AB55" i="2"/>
  <c r="AA55" i="2"/>
  <c r="Z55" i="2"/>
  <c r="Z120" i="2" s="1"/>
  <c r="Y55" i="2"/>
  <c r="Y56" i="2" s="1"/>
  <c r="Y57" i="2" s="1"/>
  <c r="X55" i="2"/>
  <c r="X120" i="2" s="1"/>
  <c r="W55" i="2"/>
  <c r="W120" i="2" s="1"/>
  <c r="V55" i="2"/>
  <c r="U55" i="2"/>
  <c r="U56" i="2" s="1"/>
  <c r="U57" i="2" s="1"/>
  <c r="T55" i="2"/>
  <c r="T120" i="2" s="1"/>
  <c r="S55" i="2"/>
  <c r="S120" i="2" s="1"/>
  <c r="R55" i="2"/>
  <c r="R120" i="2" s="1"/>
  <c r="Q55" i="2"/>
  <c r="Q120" i="2" s="1"/>
  <c r="P55" i="2"/>
  <c r="P120" i="2" s="1"/>
  <c r="O55" i="2"/>
  <c r="O120" i="2" s="1"/>
  <c r="N55" i="2"/>
  <c r="N120" i="2" s="1"/>
  <c r="M55" i="2"/>
  <c r="M56" i="2" s="1"/>
  <c r="M57" i="2" s="1"/>
  <c r="L55" i="2"/>
  <c r="L120" i="2" s="1"/>
  <c r="K55" i="2"/>
  <c r="K120" i="2" s="1"/>
  <c r="J55" i="2"/>
  <c r="J120" i="2" s="1"/>
  <c r="I55" i="2"/>
  <c r="I120" i="2" s="1"/>
  <c r="H55" i="2"/>
  <c r="H120" i="2" s="1"/>
  <c r="G55" i="2"/>
  <c r="G120" i="2" s="1"/>
  <c r="F55" i="2"/>
  <c r="F120" i="2" s="1"/>
  <c r="E55" i="2"/>
  <c r="E56" i="2" s="1"/>
  <c r="E57" i="2" s="1"/>
  <c r="D55" i="2"/>
  <c r="D120" i="2" s="1"/>
  <c r="AI54" i="2"/>
  <c r="J54" i="2"/>
  <c r="AH53" i="2"/>
  <c r="AH8" i="2" s="1"/>
  <c r="AG53" i="2"/>
  <c r="AF53" i="2"/>
  <c r="AF8" i="2" s="1"/>
  <c r="AE53" i="2"/>
  <c r="AD53" i="2"/>
  <c r="AC53" i="2"/>
  <c r="AB53" i="2"/>
  <c r="AB8" i="2" s="1"/>
  <c r="AA53" i="2"/>
  <c r="Z53" i="2"/>
  <c r="Z8" i="2" s="1"/>
  <c r="Y53" i="2"/>
  <c r="X53" i="2"/>
  <c r="X8" i="2" s="1"/>
  <c r="W53" i="2"/>
  <c r="V53" i="2"/>
  <c r="U53" i="2"/>
  <c r="T53" i="2"/>
  <c r="T8" i="2" s="1"/>
  <c r="S53" i="2"/>
  <c r="R53" i="2"/>
  <c r="R8" i="2" s="1"/>
  <c r="Q53" i="2"/>
  <c r="P53" i="2"/>
  <c r="P51" i="2" s="1"/>
  <c r="O53" i="2"/>
  <c r="N53" i="2"/>
  <c r="M53" i="2"/>
  <c r="L53" i="2"/>
  <c r="L8" i="2" s="1"/>
  <c r="K53" i="2"/>
  <c r="J53" i="2"/>
  <c r="J8" i="2" s="1"/>
  <c r="I53" i="2"/>
  <c r="H53" i="2"/>
  <c r="H8" i="2" s="1"/>
  <c r="G53" i="2"/>
  <c r="F53" i="2"/>
  <c r="E53" i="2"/>
  <c r="D53" i="2"/>
  <c r="AD51" i="2"/>
  <c r="N51" i="2"/>
  <c r="N50" i="2"/>
  <c r="N52" i="2" s="1"/>
  <c r="H50" i="2"/>
  <c r="F50" i="2"/>
  <c r="AH49" i="2"/>
  <c r="AG49" i="2"/>
  <c r="AG51" i="2" s="1"/>
  <c r="AF49" i="2"/>
  <c r="AF50" i="2" s="1"/>
  <c r="AE49" i="2"/>
  <c r="AE51" i="2" s="1"/>
  <c r="AD49" i="2"/>
  <c r="AD50" i="2" s="1"/>
  <c r="AD52" i="2" s="1"/>
  <c r="AC49" i="2"/>
  <c r="AB49" i="2"/>
  <c r="AA49" i="2"/>
  <c r="AA51" i="2" s="1"/>
  <c r="Z49" i="2"/>
  <c r="Y49" i="2"/>
  <c r="Y51" i="2" s="1"/>
  <c r="X49" i="2"/>
  <c r="X50" i="2" s="1"/>
  <c r="W49" i="2"/>
  <c r="W51" i="2" s="1"/>
  <c r="V49" i="2"/>
  <c r="V50" i="2" s="1"/>
  <c r="U49" i="2"/>
  <c r="T49" i="2"/>
  <c r="S49" i="2"/>
  <c r="S51" i="2" s="1"/>
  <c r="R49" i="2"/>
  <c r="Q49" i="2"/>
  <c r="Q51" i="2" s="1"/>
  <c r="P49" i="2"/>
  <c r="P50" i="2" s="1"/>
  <c r="O49" i="2"/>
  <c r="O51" i="2" s="1"/>
  <c r="N49" i="2"/>
  <c r="M49" i="2"/>
  <c r="L49" i="2"/>
  <c r="K49" i="2"/>
  <c r="K51" i="2" s="1"/>
  <c r="J49" i="2"/>
  <c r="I49" i="2"/>
  <c r="I51" i="2" s="1"/>
  <c r="H49" i="2"/>
  <c r="G49" i="2"/>
  <c r="G51" i="2" s="1"/>
  <c r="F49" i="2"/>
  <c r="F51" i="2" s="1"/>
  <c r="E49" i="2"/>
  <c r="D49" i="2"/>
  <c r="AH47" i="2"/>
  <c r="AH48" i="2" s="1"/>
  <c r="AG47" i="2"/>
  <c r="AG48" i="2" s="1"/>
  <c r="AF47" i="2"/>
  <c r="AF48" i="2" s="1"/>
  <c r="AE47" i="2"/>
  <c r="AE48" i="2" s="1"/>
  <c r="AD47" i="2"/>
  <c r="AD48" i="2" s="1"/>
  <c r="AC47" i="2"/>
  <c r="AC48" i="2" s="1"/>
  <c r="AB47" i="2"/>
  <c r="AB48" i="2" s="1"/>
  <c r="AA47" i="2"/>
  <c r="AA48" i="2" s="1"/>
  <c r="Z47" i="2"/>
  <c r="Z48" i="2" s="1"/>
  <c r="Y47" i="2"/>
  <c r="Y48" i="2" s="1"/>
  <c r="X47" i="2"/>
  <c r="X48" i="2" s="1"/>
  <c r="W47" i="2"/>
  <c r="W48" i="2" s="1"/>
  <c r="V47" i="2"/>
  <c r="V48" i="2" s="1"/>
  <c r="U47" i="2"/>
  <c r="U48" i="2" s="1"/>
  <c r="T47" i="2"/>
  <c r="T48" i="2" s="1"/>
  <c r="S47" i="2"/>
  <c r="S48" i="2" s="1"/>
  <c r="R47" i="2"/>
  <c r="R48" i="2" s="1"/>
  <c r="Q47" i="2"/>
  <c r="Q48" i="2" s="1"/>
  <c r="P47" i="2"/>
  <c r="P48" i="2" s="1"/>
  <c r="O47" i="2"/>
  <c r="O48" i="2" s="1"/>
  <c r="N47" i="2"/>
  <c r="N48" i="2" s="1"/>
  <c r="M47" i="2"/>
  <c r="M48" i="2" s="1"/>
  <c r="L47" i="2"/>
  <c r="L48" i="2" s="1"/>
  <c r="K47" i="2"/>
  <c r="K48" i="2" s="1"/>
  <c r="J47" i="2"/>
  <c r="J48" i="2" s="1"/>
  <c r="I47" i="2"/>
  <c r="I48" i="2" s="1"/>
  <c r="H47" i="2"/>
  <c r="H48" i="2" s="1"/>
  <c r="G47" i="2"/>
  <c r="G48" i="2" s="1"/>
  <c r="F47" i="2"/>
  <c r="F48" i="2" s="1"/>
  <c r="E47" i="2"/>
  <c r="E48" i="2" s="1"/>
  <c r="D47" i="2"/>
  <c r="D48" i="2" s="1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I45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H42" i="2"/>
  <c r="AG42" i="2"/>
  <c r="AG44" i="2" s="1"/>
  <c r="AF42" i="2"/>
  <c r="AE42" i="2"/>
  <c r="AE44" i="2" s="1"/>
  <c r="AD42" i="2"/>
  <c r="AC42" i="2"/>
  <c r="AC44" i="2" s="1"/>
  <c r="AB42" i="2"/>
  <c r="AB44" i="2" s="1"/>
  <c r="AA42" i="2"/>
  <c r="AA44" i="2" s="1"/>
  <c r="Z42" i="2"/>
  <c r="Y42" i="2"/>
  <c r="Y44" i="2" s="1"/>
  <c r="X42" i="2"/>
  <c r="W42" i="2"/>
  <c r="V42" i="2"/>
  <c r="V44" i="2" s="1"/>
  <c r="U42" i="2"/>
  <c r="U44" i="2" s="1"/>
  <c r="T42" i="2"/>
  <c r="T44" i="2" s="1"/>
  <c r="S42" i="2"/>
  <c r="S44" i="2" s="1"/>
  <c r="R42" i="2"/>
  <c r="Q42" i="2"/>
  <c r="Q44" i="2" s="1"/>
  <c r="P42" i="2"/>
  <c r="O42" i="2"/>
  <c r="N42" i="2"/>
  <c r="M42" i="2"/>
  <c r="M44" i="2" s="1"/>
  <c r="L42" i="2"/>
  <c r="L44" i="2" s="1"/>
  <c r="K42" i="2"/>
  <c r="K44" i="2" s="1"/>
  <c r="J42" i="2"/>
  <c r="I42" i="2"/>
  <c r="H42" i="2"/>
  <c r="G42" i="2"/>
  <c r="G44" i="2" s="1"/>
  <c r="F42" i="2"/>
  <c r="F44" i="2" s="1"/>
  <c r="E42" i="2"/>
  <c r="E44" i="2" s="1"/>
  <c r="D42" i="2"/>
  <c r="D44" i="2" s="1"/>
  <c r="AI41" i="2"/>
  <c r="AI42" i="2" s="1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I39" i="2"/>
  <c r="X38" i="2"/>
  <c r="P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H36" i="2"/>
  <c r="AH38" i="2" s="1"/>
  <c r="AG36" i="2"/>
  <c r="AF36" i="2"/>
  <c r="AF38" i="2" s="1"/>
  <c r="AE36" i="2"/>
  <c r="AE38" i="2" s="1"/>
  <c r="AD36" i="2"/>
  <c r="AD38" i="2" s="1"/>
  <c r="AC36" i="2"/>
  <c r="AB36" i="2"/>
  <c r="AB38" i="2" s="1"/>
  <c r="AA36" i="2"/>
  <c r="Z36" i="2"/>
  <c r="Z38" i="2" s="1"/>
  <c r="Y36" i="2"/>
  <c r="X36" i="2"/>
  <c r="W36" i="2"/>
  <c r="W38" i="2" s="1"/>
  <c r="V36" i="2"/>
  <c r="V38" i="2" s="1"/>
  <c r="U36" i="2"/>
  <c r="T36" i="2"/>
  <c r="T38" i="2" s="1"/>
  <c r="S36" i="2"/>
  <c r="S38" i="2" s="1"/>
  <c r="R36" i="2"/>
  <c r="R38" i="2" s="1"/>
  <c r="Q36" i="2"/>
  <c r="P36" i="2"/>
  <c r="O36" i="2"/>
  <c r="O38" i="2" s="1"/>
  <c r="N36" i="2"/>
  <c r="N38" i="2" s="1"/>
  <c r="M36" i="2"/>
  <c r="L36" i="2"/>
  <c r="L38" i="2" s="1"/>
  <c r="K36" i="2"/>
  <c r="J36" i="2"/>
  <c r="J38" i="2" s="1"/>
  <c r="I36" i="2"/>
  <c r="H36" i="2"/>
  <c r="H38" i="2" s="1"/>
  <c r="G36" i="2"/>
  <c r="G38" i="2" s="1"/>
  <c r="F36" i="2"/>
  <c r="F38" i="2" s="1"/>
  <c r="E36" i="2"/>
  <c r="D36" i="2"/>
  <c r="D38" i="2" s="1"/>
  <c r="AI35" i="2"/>
  <c r="AI37" i="2" s="1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AF32" i="2"/>
  <c r="M32" i="2"/>
  <c r="J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H30" i="2"/>
  <c r="AH32" i="2" s="1"/>
  <c r="AG30" i="2"/>
  <c r="AG32" i="2" s="1"/>
  <c r="AF30" i="2"/>
  <c r="AE30" i="2"/>
  <c r="AE32" i="2" s="1"/>
  <c r="AD30" i="2"/>
  <c r="AD32" i="2" s="1"/>
  <c r="AC30" i="2"/>
  <c r="AC32" i="2" s="1"/>
  <c r="AB30" i="2"/>
  <c r="AB32" i="2" s="1"/>
  <c r="AA30" i="2"/>
  <c r="AA32" i="2" s="1"/>
  <c r="Z30" i="2"/>
  <c r="Z32" i="2" s="1"/>
  <c r="Y30" i="2"/>
  <c r="Y32" i="2" s="1"/>
  <c r="X30" i="2"/>
  <c r="X32" i="2" s="1"/>
  <c r="W30" i="2"/>
  <c r="W32" i="2" s="1"/>
  <c r="V30" i="2"/>
  <c r="V32" i="2" s="1"/>
  <c r="U30" i="2"/>
  <c r="U32" i="2" s="1"/>
  <c r="T30" i="2"/>
  <c r="T32" i="2" s="1"/>
  <c r="S30" i="2"/>
  <c r="S32" i="2" s="1"/>
  <c r="R30" i="2"/>
  <c r="R32" i="2" s="1"/>
  <c r="Q30" i="2"/>
  <c r="Q32" i="2" s="1"/>
  <c r="P30" i="2"/>
  <c r="P32" i="2" s="1"/>
  <c r="O30" i="2"/>
  <c r="O32" i="2" s="1"/>
  <c r="N30" i="2"/>
  <c r="N32" i="2" s="1"/>
  <c r="M30" i="2"/>
  <c r="L30" i="2"/>
  <c r="L32" i="2" s="1"/>
  <c r="K30" i="2"/>
  <c r="K32" i="2" s="1"/>
  <c r="J30" i="2"/>
  <c r="I30" i="2"/>
  <c r="I32" i="2" s="1"/>
  <c r="H30" i="2"/>
  <c r="H32" i="2" s="1"/>
  <c r="G30" i="2"/>
  <c r="G32" i="2" s="1"/>
  <c r="F30" i="2"/>
  <c r="F32" i="2" s="1"/>
  <c r="E30" i="2"/>
  <c r="E32" i="2" s="1"/>
  <c r="D30" i="2"/>
  <c r="D32" i="2" s="1"/>
  <c r="AI29" i="2"/>
  <c r="AI31" i="2" s="1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T9" i="2" s="1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I27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H24" i="2"/>
  <c r="AH26" i="2" s="1"/>
  <c r="AG24" i="2"/>
  <c r="AG26" i="2" s="1"/>
  <c r="AF24" i="2"/>
  <c r="AF26" i="2" s="1"/>
  <c r="AE24" i="2"/>
  <c r="AE26" i="2" s="1"/>
  <c r="AD24" i="2"/>
  <c r="AC24" i="2"/>
  <c r="AC26" i="2" s="1"/>
  <c r="AB24" i="2"/>
  <c r="AA24" i="2"/>
  <c r="AA26" i="2" s="1"/>
  <c r="Z24" i="2"/>
  <c r="Z26" i="2" s="1"/>
  <c r="Y24" i="2"/>
  <c r="Y26" i="2" s="1"/>
  <c r="X24" i="2"/>
  <c r="X26" i="2" s="1"/>
  <c r="W24" i="2"/>
  <c r="W26" i="2" s="1"/>
  <c r="V24" i="2"/>
  <c r="U24" i="2"/>
  <c r="U26" i="2" s="1"/>
  <c r="T24" i="2"/>
  <c r="S24" i="2"/>
  <c r="S26" i="2" s="1"/>
  <c r="R24" i="2"/>
  <c r="R26" i="2" s="1"/>
  <c r="P24" i="2"/>
  <c r="P26" i="2" s="1"/>
  <c r="O24" i="2"/>
  <c r="O26" i="2" s="1"/>
  <c r="N24" i="2"/>
  <c r="M24" i="2"/>
  <c r="M26" i="2" s="1"/>
  <c r="L24" i="2"/>
  <c r="K24" i="2"/>
  <c r="K26" i="2" s="1"/>
  <c r="J24" i="2"/>
  <c r="J26" i="2" s="1"/>
  <c r="I24" i="2"/>
  <c r="I26" i="2" s="1"/>
  <c r="H24" i="2"/>
  <c r="H26" i="2" s="1"/>
  <c r="G24" i="2"/>
  <c r="G26" i="2" s="1"/>
  <c r="F24" i="2"/>
  <c r="E24" i="2"/>
  <c r="E26" i="2" s="1"/>
  <c r="D24" i="2"/>
  <c r="AI23" i="2"/>
  <c r="AI24" i="2" s="1"/>
  <c r="Q23" i="2"/>
  <c r="Q24" i="2" s="1"/>
  <c r="AH21" i="2"/>
  <c r="AH22" i="2" s="1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AI20" i="2"/>
  <c r="AH18" i="2"/>
  <c r="AG18" i="2"/>
  <c r="AF18" i="2"/>
  <c r="AE18" i="2"/>
  <c r="AD18" i="2"/>
  <c r="AD19" i="2" s="1"/>
  <c r="AC18" i="2"/>
  <c r="AB18" i="2"/>
  <c r="AA18" i="2"/>
  <c r="Z18" i="2"/>
  <c r="Y18" i="2"/>
  <c r="X18" i="2"/>
  <c r="W18" i="2"/>
  <c r="V18" i="2"/>
  <c r="V19" i="2" s="1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F19" i="2" s="1"/>
  <c r="E18" i="2"/>
  <c r="D18" i="2"/>
  <c r="AH17" i="2"/>
  <c r="AG17" i="2"/>
  <c r="AG19" i="2" s="1"/>
  <c r="AF17" i="2"/>
  <c r="AE17" i="2"/>
  <c r="AE19" i="2" s="1"/>
  <c r="AD17" i="2"/>
  <c r="AC17" i="2"/>
  <c r="AC19" i="2" s="1"/>
  <c r="AB17" i="2"/>
  <c r="AB19" i="2" s="1"/>
  <c r="AA17" i="2"/>
  <c r="AA19" i="2" s="1"/>
  <c r="Z17" i="2"/>
  <c r="Y17" i="2"/>
  <c r="Y19" i="2" s="1"/>
  <c r="X17" i="2"/>
  <c r="W17" i="2"/>
  <c r="W19" i="2" s="1"/>
  <c r="V17" i="2"/>
  <c r="U17" i="2"/>
  <c r="U19" i="2" s="1"/>
  <c r="T17" i="2"/>
  <c r="T19" i="2" s="1"/>
  <c r="S17" i="2"/>
  <c r="S19" i="2" s="1"/>
  <c r="R17" i="2"/>
  <c r="Q17" i="2"/>
  <c r="Q19" i="2" s="1"/>
  <c r="P17" i="2"/>
  <c r="O17" i="2"/>
  <c r="O19" i="2" s="1"/>
  <c r="N17" i="2"/>
  <c r="N19" i="2" s="1"/>
  <c r="M17" i="2"/>
  <c r="M19" i="2" s="1"/>
  <c r="L17" i="2"/>
  <c r="L19" i="2" s="1"/>
  <c r="K17" i="2"/>
  <c r="K19" i="2" s="1"/>
  <c r="J17" i="2"/>
  <c r="I17" i="2"/>
  <c r="I19" i="2" s="1"/>
  <c r="H17" i="2"/>
  <c r="G17" i="2"/>
  <c r="G19" i="2" s="1"/>
  <c r="F17" i="2"/>
  <c r="E17" i="2"/>
  <c r="E19" i="2" s="1"/>
  <c r="D17" i="2"/>
  <c r="D19" i="2" s="1"/>
  <c r="AI16" i="2"/>
  <c r="AI17" i="2" s="1"/>
  <c r="AH15" i="2"/>
  <c r="AG15" i="2"/>
  <c r="AF15" i="2"/>
  <c r="AE15" i="2"/>
  <c r="AE9" i="2" s="1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Q9" i="2" s="1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I14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H11" i="2"/>
  <c r="AH13" i="2" s="1"/>
  <c r="AG11" i="2"/>
  <c r="AF11" i="2"/>
  <c r="AF13" i="2" s="1"/>
  <c r="AE11" i="2"/>
  <c r="AD11" i="2"/>
  <c r="AD13" i="2" s="1"/>
  <c r="AC11" i="2"/>
  <c r="AB11" i="2"/>
  <c r="AB13" i="2" s="1"/>
  <c r="AA11" i="2"/>
  <c r="Z11" i="2"/>
  <c r="Z13" i="2" s="1"/>
  <c r="Y11" i="2"/>
  <c r="X11" i="2"/>
  <c r="X13" i="2" s="1"/>
  <c r="W11" i="2"/>
  <c r="V11" i="2"/>
  <c r="V13" i="2" s="1"/>
  <c r="U11" i="2"/>
  <c r="T11" i="2"/>
  <c r="T13" i="2" s="1"/>
  <c r="S11" i="2"/>
  <c r="R11" i="2"/>
  <c r="R13" i="2" s="1"/>
  <c r="Q11" i="2"/>
  <c r="P11" i="2"/>
  <c r="P13" i="2" s="1"/>
  <c r="O11" i="2"/>
  <c r="N11" i="2"/>
  <c r="N13" i="2" s="1"/>
  <c r="M11" i="2"/>
  <c r="L11" i="2"/>
  <c r="L13" i="2" s="1"/>
  <c r="K11" i="2"/>
  <c r="J11" i="2"/>
  <c r="J13" i="2" s="1"/>
  <c r="I11" i="2"/>
  <c r="H11" i="2"/>
  <c r="H13" i="2" s="1"/>
  <c r="G11" i="2"/>
  <c r="F11" i="2"/>
  <c r="F13" i="2" s="1"/>
  <c r="E11" i="2"/>
  <c r="D11" i="2"/>
  <c r="D13" i="2" s="1"/>
  <c r="AI10" i="2"/>
  <c r="AI11" i="2" s="1"/>
  <c r="AG8" i="2"/>
  <c r="AG6" i="2" s="1"/>
  <c r="AG7" i="2" s="1"/>
  <c r="AE8" i="2"/>
  <c r="AD8" i="2"/>
  <c r="AC8" i="2"/>
  <c r="AA8" i="2"/>
  <c r="Y8" i="2"/>
  <c r="W8" i="2"/>
  <c r="V8" i="2"/>
  <c r="U8" i="2"/>
  <c r="S8" i="2"/>
  <c r="Q8" i="2"/>
  <c r="Q6" i="2" s="1"/>
  <c r="O8" i="2"/>
  <c r="N8" i="2"/>
  <c r="M8" i="2"/>
  <c r="K8" i="2"/>
  <c r="I8" i="2"/>
  <c r="G8" i="2"/>
  <c r="F8" i="2"/>
  <c r="E8" i="2"/>
  <c r="AH4" i="2"/>
  <c r="AG4" i="2"/>
  <c r="AG5" i="2" s="1"/>
  <c r="AF4" i="2"/>
  <c r="AF5" i="2" s="1"/>
  <c r="AE4" i="2"/>
  <c r="AE6" i="2" s="1"/>
  <c r="AD4" i="2"/>
  <c r="AD6" i="2" s="1"/>
  <c r="AB4" i="2"/>
  <c r="Z4" i="2"/>
  <c r="Y4" i="2"/>
  <c r="Y6" i="2" s="1"/>
  <c r="X4" i="2"/>
  <c r="W4" i="2"/>
  <c r="W6" i="2" s="1"/>
  <c r="V4" i="2"/>
  <c r="V6" i="2" s="1"/>
  <c r="T4" i="2"/>
  <c r="R4" i="2"/>
  <c r="Q4" i="2"/>
  <c r="P4" i="2"/>
  <c r="P5" i="2" s="1"/>
  <c r="O4" i="2"/>
  <c r="O6" i="2" s="1"/>
  <c r="N4" i="2"/>
  <c r="N6" i="2" s="1"/>
  <c r="L4" i="2"/>
  <c r="J4" i="2"/>
  <c r="I4" i="2"/>
  <c r="I5" i="2" s="1"/>
  <c r="H4" i="2"/>
  <c r="H5" i="2" s="1"/>
  <c r="G4" i="2"/>
  <c r="G6" i="2" s="1"/>
  <c r="F4" i="2"/>
  <c r="F6" i="2" s="1"/>
  <c r="D4" i="2"/>
  <c r="A4" i="2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X5" i="2" l="1"/>
  <c r="G13" i="2"/>
  <c r="O13" i="2"/>
  <c r="W13" i="2"/>
  <c r="AE13" i="2"/>
  <c r="H19" i="2"/>
  <c r="P19" i="2"/>
  <c r="X19" i="2"/>
  <c r="AF19" i="2"/>
  <c r="D26" i="2"/>
  <c r="L26" i="2"/>
  <c r="T26" i="2"/>
  <c r="AB26" i="2"/>
  <c r="K38" i="2"/>
  <c r="AA38" i="2"/>
  <c r="H44" i="2"/>
  <c r="P44" i="2"/>
  <c r="X44" i="2"/>
  <c r="AF44" i="2"/>
  <c r="I44" i="2"/>
  <c r="D51" i="2"/>
  <c r="L51" i="2"/>
  <c r="T51" i="2"/>
  <c r="AB51" i="2"/>
  <c r="I61" i="2"/>
  <c r="Q61" i="2"/>
  <c r="Y61" i="2"/>
  <c r="AG61" i="2"/>
  <c r="G66" i="2"/>
  <c r="O66" i="2"/>
  <c r="W66" i="2"/>
  <c r="AE66" i="2"/>
  <c r="D72" i="2"/>
  <c r="L72" i="2"/>
  <c r="T72" i="2"/>
  <c r="AB72" i="2"/>
  <c r="E78" i="2"/>
  <c r="M78" i="2"/>
  <c r="U78" i="2"/>
  <c r="AC78" i="2"/>
  <c r="I90" i="2"/>
  <c r="Q90" i="2"/>
  <c r="Y90" i="2"/>
  <c r="AG90" i="2"/>
  <c r="G96" i="2"/>
  <c r="O96" i="2"/>
  <c r="W96" i="2"/>
  <c r="AE96" i="2"/>
  <c r="AI107" i="2"/>
  <c r="K108" i="2"/>
  <c r="S108" i="2"/>
  <c r="AA108" i="2"/>
  <c r="K114" i="2"/>
  <c r="S114" i="2"/>
  <c r="AA114" i="2"/>
  <c r="F52" i="2"/>
  <c r="AH6" i="2"/>
  <c r="N84" i="2"/>
  <c r="Q5" i="2"/>
  <c r="Z6" i="2"/>
  <c r="I6" i="2"/>
  <c r="I7" i="2" s="1"/>
  <c r="I13" i="2"/>
  <c r="Q13" i="2"/>
  <c r="Y13" i="2"/>
  <c r="AG13" i="2"/>
  <c r="J19" i="2"/>
  <c r="R19" i="2"/>
  <c r="Z19" i="2"/>
  <c r="AH19" i="2"/>
  <c r="F26" i="2"/>
  <c r="N26" i="2"/>
  <c r="V26" i="2"/>
  <c r="AD26" i="2"/>
  <c r="E38" i="2"/>
  <c r="M38" i="2"/>
  <c r="U38" i="2"/>
  <c r="AC38" i="2"/>
  <c r="J44" i="2"/>
  <c r="R44" i="2"/>
  <c r="Z44" i="2"/>
  <c r="AH44" i="2"/>
  <c r="L56" i="2"/>
  <c r="L57" i="2" s="1"/>
  <c r="K61" i="2"/>
  <c r="S61" i="2"/>
  <c r="AA61" i="2"/>
  <c r="Q66" i="2"/>
  <c r="AG66" i="2"/>
  <c r="F72" i="2"/>
  <c r="N72" i="2"/>
  <c r="V72" i="2"/>
  <c r="AD72" i="2"/>
  <c r="G78" i="2"/>
  <c r="O78" i="2"/>
  <c r="W78" i="2"/>
  <c r="Y96" i="2"/>
  <c r="E108" i="2"/>
  <c r="M108" i="2"/>
  <c r="U108" i="2"/>
  <c r="AC108" i="2"/>
  <c r="E114" i="2"/>
  <c r="M114" i="2"/>
  <c r="U114" i="2"/>
  <c r="AC114" i="2"/>
  <c r="AI116" i="2"/>
  <c r="M120" i="2"/>
  <c r="P84" i="1"/>
  <c r="J38" i="1"/>
  <c r="AI34" i="2"/>
  <c r="F84" i="2"/>
  <c r="O102" i="2"/>
  <c r="R6" i="2"/>
  <c r="AA4" i="2"/>
  <c r="AA5" i="2" s="1"/>
  <c r="Y5" i="2"/>
  <c r="AI12" i="2"/>
  <c r="AI13" i="2" s="1"/>
  <c r="AI18" i="2"/>
  <c r="AI19" i="2" s="1"/>
  <c r="X9" i="2"/>
  <c r="AF9" i="2"/>
  <c r="F9" i="2"/>
  <c r="V51" i="2"/>
  <c r="V52" i="2" s="1"/>
  <c r="N56" i="2"/>
  <c r="H84" i="2"/>
  <c r="P84" i="2"/>
  <c r="X84" i="2"/>
  <c r="AG84" i="2"/>
  <c r="AI83" i="2"/>
  <c r="AI84" i="2" s="1"/>
  <c r="I102" i="2"/>
  <c r="Q102" i="2"/>
  <c r="Y102" i="2"/>
  <c r="AG102" i="2"/>
  <c r="U120" i="2"/>
  <c r="AI53" i="2"/>
  <c r="AI1" i="2" s="1"/>
  <c r="AJ1" i="2" s="1"/>
  <c r="AJ2" i="2" s="1"/>
  <c r="AD84" i="2"/>
  <c r="W102" i="2"/>
  <c r="J6" i="2"/>
  <c r="S4" i="2"/>
  <c r="S6" i="2" s="1"/>
  <c r="AB6" i="2"/>
  <c r="K13" i="2"/>
  <c r="S13" i="2"/>
  <c r="AA13" i="2"/>
  <c r="Q25" i="2"/>
  <c r="Q26" i="2" s="1"/>
  <c r="W56" i="2"/>
  <c r="W57" i="2" s="1"/>
  <c r="AI65" i="2"/>
  <c r="I72" i="2"/>
  <c r="Q72" i="2"/>
  <c r="AC120" i="2"/>
  <c r="D6" i="2"/>
  <c r="L9" i="2"/>
  <c r="Y7" i="2"/>
  <c r="G102" i="2"/>
  <c r="K4" i="2"/>
  <c r="K5" i="2" s="1"/>
  <c r="AI15" i="2"/>
  <c r="M9" i="2"/>
  <c r="U9" i="2"/>
  <c r="AC9" i="2"/>
  <c r="AI21" i="2"/>
  <c r="H6" i="2"/>
  <c r="H7" i="2" s="1"/>
  <c r="X6" i="2"/>
  <c r="X7" i="2" s="1"/>
  <c r="AF6" i="2"/>
  <c r="AF7" i="2" s="1"/>
  <c r="X56" i="2"/>
  <c r="X57" i="2" s="1"/>
  <c r="T84" i="2"/>
  <c r="AI95" i="2"/>
  <c r="V84" i="2"/>
  <c r="AE102" i="2"/>
  <c r="T6" i="2"/>
  <c r="L6" i="2"/>
  <c r="D8" i="2"/>
  <c r="E13" i="2"/>
  <c r="M13" i="2"/>
  <c r="U13" i="2"/>
  <c r="AC13" i="2"/>
  <c r="AI30" i="2"/>
  <c r="AI32" i="2" s="1"/>
  <c r="I38" i="2"/>
  <c r="Q38" i="2"/>
  <c r="Y38" i="2"/>
  <c r="AG38" i="2"/>
  <c r="N44" i="2"/>
  <c r="AD44" i="2"/>
  <c r="O44" i="2"/>
  <c r="W44" i="2"/>
  <c r="AI43" i="2"/>
  <c r="AI44" i="2" s="1"/>
  <c r="J51" i="2"/>
  <c r="R51" i="2"/>
  <c r="Z51" i="2"/>
  <c r="AH51" i="2"/>
  <c r="X51" i="2"/>
  <c r="X52" i="2" s="1"/>
  <c r="Z56" i="2"/>
  <c r="Z57" i="2" s="1"/>
  <c r="AI71" i="2"/>
  <c r="AI72" i="2" s="1"/>
  <c r="AI77" i="2"/>
  <c r="AI92" i="2"/>
  <c r="AI99" i="2"/>
  <c r="AI101" i="2" s="1"/>
  <c r="AD102" i="2"/>
  <c r="AI104" i="2"/>
  <c r="X38" i="1"/>
  <c r="Z52" i="1"/>
  <c r="AB52" i="1"/>
  <c r="AD96" i="1"/>
  <c r="AD26" i="1"/>
  <c r="AE78" i="1"/>
  <c r="AB120" i="1"/>
  <c r="AB19" i="1"/>
  <c r="Z90" i="1"/>
  <c r="Z19" i="1"/>
  <c r="U78" i="1"/>
  <c r="E78" i="1"/>
  <c r="M50" i="1"/>
  <c r="R96" i="1"/>
  <c r="J51" i="1"/>
  <c r="M51" i="1"/>
  <c r="M52" i="1" s="1"/>
  <c r="E108" i="1"/>
  <c r="E120" i="1"/>
  <c r="V66" i="1"/>
  <c r="O52" i="1"/>
  <c r="N13" i="1"/>
  <c r="F13" i="1"/>
  <c r="I50" i="1"/>
  <c r="L72" i="1"/>
  <c r="L4" i="1"/>
  <c r="K102" i="1"/>
  <c r="Z66" i="1"/>
  <c r="Y72" i="1"/>
  <c r="AA90" i="1"/>
  <c r="Y44" i="1"/>
  <c r="R108" i="1"/>
  <c r="E51" i="1"/>
  <c r="G61" i="1"/>
  <c r="AB61" i="1"/>
  <c r="AD78" i="1"/>
  <c r="AD108" i="1"/>
  <c r="J26" i="1"/>
  <c r="N4" i="1"/>
  <c r="N6" i="1" s="1"/>
  <c r="G108" i="1"/>
  <c r="I26" i="1"/>
  <c r="G38" i="1"/>
  <c r="F108" i="1"/>
  <c r="K61" i="1"/>
  <c r="Z72" i="1"/>
  <c r="AB78" i="1"/>
  <c r="AD120" i="1"/>
  <c r="O90" i="1"/>
  <c r="N19" i="1"/>
  <c r="F19" i="1"/>
  <c r="E102" i="1"/>
  <c r="H50" i="1"/>
  <c r="H51" i="1"/>
  <c r="E19" i="1"/>
  <c r="G51" i="1"/>
  <c r="AC26" i="1"/>
  <c r="AE32" i="1"/>
  <c r="N51" i="1"/>
  <c r="N52" i="1" s="1"/>
  <c r="R66" i="1"/>
  <c r="Z38" i="1"/>
  <c r="AD44" i="1"/>
  <c r="AD52" i="1"/>
  <c r="V52" i="1"/>
  <c r="J90" i="1"/>
  <c r="G102" i="1"/>
  <c r="Q90" i="1"/>
  <c r="F72" i="1"/>
  <c r="E32" i="1"/>
  <c r="T32" i="1"/>
  <c r="T38" i="1"/>
  <c r="AC52" i="1"/>
  <c r="AC102" i="1"/>
  <c r="X102" i="1"/>
  <c r="AA108" i="1"/>
  <c r="AE120" i="1"/>
  <c r="W120" i="1"/>
  <c r="I51" i="1"/>
  <c r="E26" i="1"/>
  <c r="W44" i="1"/>
  <c r="E66" i="1"/>
  <c r="AD84" i="1"/>
  <c r="AB102" i="1"/>
  <c r="Z108" i="1"/>
  <c r="M96" i="1"/>
  <c r="O102" i="1"/>
  <c r="W13" i="1"/>
  <c r="V96" i="1"/>
  <c r="I19" i="1"/>
  <c r="S78" i="1"/>
  <c r="K78" i="1"/>
  <c r="O84" i="1"/>
  <c r="G84" i="1"/>
  <c r="P44" i="1"/>
  <c r="Y78" i="1"/>
  <c r="AC84" i="1"/>
  <c r="AA102" i="1"/>
  <c r="G50" i="1"/>
  <c r="F51" i="1"/>
  <c r="AC61" i="1"/>
  <c r="X78" i="1"/>
  <c r="S102" i="1"/>
  <c r="E72" i="1"/>
  <c r="G66" i="1"/>
  <c r="E13" i="1"/>
  <c r="F84" i="1"/>
  <c r="E50" i="1"/>
  <c r="X26" i="1"/>
  <c r="AC19" i="1"/>
  <c r="E9" i="1"/>
  <c r="F120" i="1"/>
  <c r="M8" i="1"/>
  <c r="M6" i="1" s="1"/>
  <c r="AD32" i="1"/>
  <c r="J8" i="1"/>
  <c r="J6" i="1" s="1"/>
  <c r="N44" i="1"/>
  <c r="P108" i="1"/>
  <c r="L51" i="1"/>
  <c r="L52" i="1" s="1"/>
  <c r="U61" i="1"/>
  <c r="E61" i="1"/>
  <c r="V13" i="1"/>
  <c r="AA26" i="1"/>
  <c r="AC44" i="1"/>
  <c r="W78" i="1"/>
  <c r="AA84" i="1"/>
  <c r="O96" i="1"/>
  <c r="F4" i="1"/>
  <c r="F6" i="1" s="1"/>
  <c r="I8" i="1"/>
  <c r="I6" i="1" s="1"/>
  <c r="E38" i="1"/>
  <c r="T44" i="1"/>
  <c r="Z26" i="1"/>
  <c r="AB44" i="1"/>
  <c r="AA61" i="1"/>
  <c r="V78" i="1"/>
  <c r="Z84" i="1"/>
  <c r="AE102" i="1"/>
  <c r="Z96" i="1"/>
  <c r="AE26" i="1"/>
  <c r="AA120" i="1"/>
  <c r="S120" i="1"/>
  <c r="Q13" i="1"/>
  <c r="I13" i="1"/>
  <c r="AB26" i="1"/>
  <c r="AE38" i="1"/>
  <c r="W38" i="1"/>
  <c r="AD102" i="1"/>
  <c r="Y102" i="1"/>
  <c r="AB108" i="1"/>
  <c r="W19" i="1"/>
  <c r="Y84" i="1"/>
  <c r="V120" i="1"/>
  <c r="Y108" i="1"/>
  <c r="X108" i="1"/>
  <c r="V108" i="1"/>
  <c r="W102" i="1"/>
  <c r="V102" i="1"/>
  <c r="AE13" i="1"/>
  <c r="W26" i="1"/>
  <c r="W90" i="1"/>
  <c r="V90" i="1"/>
  <c r="U90" i="1"/>
  <c r="X13" i="1"/>
  <c r="U38" i="1"/>
  <c r="Q52" i="1"/>
  <c r="T120" i="1"/>
  <c r="AB72" i="1"/>
  <c r="X72" i="1"/>
  <c r="AE72" i="1"/>
  <c r="W72" i="1"/>
  <c r="AD72" i="1"/>
  <c r="V72" i="1"/>
  <c r="AC72" i="1"/>
  <c r="Z32" i="1"/>
  <c r="T52" i="1"/>
  <c r="S52" i="1"/>
  <c r="AC32" i="1"/>
  <c r="Y38" i="1"/>
  <c r="V44" i="1"/>
  <c r="Y52" i="1"/>
  <c r="AA52" i="1"/>
  <c r="X61" i="1"/>
  <c r="Z61" i="1"/>
  <c r="AA72" i="1"/>
  <c r="AB84" i="1"/>
  <c r="X120" i="1"/>
  <c r="J120" i="1"/>
  <c r="R72" i="1"/>
  <c r="J66" i="1"/>
  <c r="U13" i="1"/>
  <c r="M13" i="1"/>
  <c r="J78" i="1"/>
  <c r="R52" i="1"/>
  <c r="AE44" i="1"/>
  <c r="X52" i="1"/>
  <c r="AE61" i="1"/>
  <c r="W61" i="1"/>
  <c r="Y61" i="1"/>
  <c r="AA78" i="1"/>
  <c r="AC78" i="1"/>
  <c r="N9" i="1"/>
  <c r="I120" i="1"/>
  <c r="S13" i="1"/>
  <c r="K13" i="1"/>
  <c r="G19" i="1"/>
  <c r="I78" i="1"/>
  <c r="M84" i="1"/>
  <c r="E84" i="1"/>
  <c r="T108" i="1"/>
  <c r="Y26" i="1"/>
  <c r="AE52" i="1"/>
  <c r="W52" i="1"/>
  <c r="AD61" i="1"/>
  <c r="V61" i="1"/>
  <c r="Z78" i="1"/>
  <c r="Z102" i="1"/>
  <c r="J9" i="1"/>
  <c r="S66" i="1"/>
  <c r="AC120" i="1"/>
  <c r="Y120" i="1"/>
  <c r="G72" i="1"/>
  <c r="Q96" i="1"/>
  <c r="P78" i="1"/>
  <c r="V32" i="1"/>
  <c r="Y13" i="1"/>
  <c r="X84" i="1"/>
  <c r="M72" i="1"/>
  <c r="F66" i="1"/>
  <c r="P13" i="1"/>
  <c r="H13" i="1"/>
  <c r="L19" i="1"/>
  <c r="M19" i="1"/>
  <c r="R84" i="1"/>
  <c r="I108" i="1"/>
  <c r="N61" i="1"/>
  <c r="X32" i="1"/>
  <c r="AB38" i="1"/>
  <c r="AD38" i="1"/>
  <c r="V38" i="1"/>
  <c r="AA44" i="1"/>
  <c r="AE84" i="1"/>
  <c r="W84" i="1"/>
  <c r="AC108" i="1"/>
  <c r="L9" i="1"/>
  <c r="O72" i="1"/>
  <c r="O13" i="1"/>
  <c r="W96" i="1"/>
  <c r="M44" i="1"/>
  <c r="E44" i="1"/>
  <c r="U52" i="1"/>
  <c r="W32" i="1"/>
  <c r="AC38" i="1"/>
  <c r="Z44" i="1"/>
  <c r="X44" i="1"/>
  <c r="V84" i="1"/>
  <c r="U96" i="1"/>
  <c r="U26" i="1"/>
  <c r="U72" i="1"/>
  <c r="U108" i="1"/>
  <c r="U120" i="1"/>
  <c r="U84" i="1"/>
  <c r="U66" i="1"/>
  <c r="U19" i="1"/>
  <c r="U44" i="1"/>
  <c r="P52" i="1"/>
  <c r="J72" i="1"/>
  <c r="R38" i="1"/>
  <c r="L22" i="1"/>
  <c r="S38" i="1"/>
  <c r="K120" i="1"/>
  <c r="Q72" i="1"/>
  <c r="R78" i="1"/>
  <c r="M9" i="1"/>
  <c r="S96" i="1"/>
  <c r="L120" i="1"/>
  <c r="I72" i="1"/>
  <c r="N66" i="1"/>
  <c r="G13" i="1"/>
  <c r="L32" i="1"/>
  <c r="I38" i="1"/>
  <c r="H96" i="1"/>
  <c r="H78" i="1"/>
  <c r="Q78" i="1"/>
  <c r="J32" i="1"/>
  <c r="Q84" i="1"/>
  <c r="I84" i="1"/>
  <c r="J84" i="1"/>
  <c r="O38" i="1"/>
  <c r="H38" i="1"/>
  <c r="J44" i="1"/>
  <c r="S108" i="1"/>
  <c r="L108" i="1"/>
  <c r="H61" i="1"/>
  <c r="AB32" i="1"/>
  <c r="I9" i="1"/>
  <c r="M57" i="1"/>
  <c r="F90" i="1"/>
  <c r="T78" i="1"/>
  <c r="O108" i="1"/>
  <c r="H19" i="1"/>
  <c r="L84" i="1"/>
  <c r="I66" i="1"/>
  <c r="AA32" i="1"/>
  <c r="L96" i="1"/>
  <c r="T66" i="1"/>
  <c r="H66" i="1"/>
  <c r="F38" i="1"/>
  <c r="H44" i="1"/>
  <c r="J108" i="1"/>
  <c r="J52" i="1"/>
  <c r="O61" i="1"/>
  <c r="L44" i="1"/>
  <c r="O66" i="1"/>
  <c r="R13" i="1"/>
  <c r="J13" i="1"/>
  <c r="K19" i="1"/>
  <c r="M78" i="1"/>
  <c r="N78" i="1"/>
  <c r="H32" i="1"/>
  <c r="N84" i="1"/>
  <c r="L38" i="1"/>
  <c r="Q108" i="1"/>
  <c r="Y32" i="1"/>
  <c r="R90" i="1"/>
  <c r="S32" i="1"/>
  <c r="S44" i="1"/>
  <c r="R44" i="1"/>
  <c r="Q44" i="1"/>
  <c r="O44" i="1"/>
  <c r="T84" i="1"/>
  <c r="T13" i="1"/>
  <c r="T72" i="1"/>
  <c r="T19" i="1"/>
  <c r="T61" i="1"/>
  <c r="S61" i="1"/>
  <c r="S72" i="1"/>
  <c r="S19" i="1"/>
  <c r="S84" i="1"/>
  <c r="R32" i="1"/>
  <c r="Q32" i="1"/>
  <c r="P32" i="1"/>
  <c r="O32" i="1"/>
  <c r="R26" i="1"/>
  <c r="R102" i="1"/>
  <c r="Q38" i="1"/>
  <c r="P38" i="1"/>
  <c r="O26" i="1"/>
  <c r="R61" i="1"/>
  <c r="Q61" i="1"/>
  <c r="P61" i="1"/>
  <c r="O78" i="1"/>
  <c r="Q66" i="1"/>
  <c r="P66" i="1"/>
  <c r="P72" i="1"/>
  <c r="O6" i="1"/>
  <c r="R120" i="1"/>
  <c r="R6" i="1"/>
  <c r="Q120" i="1"/>
  <c r="Q6" i="1"/>
  <c r="P120" i="1"/>
  <c r="P6" i="1"/>
  <c r="O120" i="1"/>
  <c r="R19" i="1"/>
  <c r="Q19" i="1"/>
  <c r="P19" i="1"/>
  <c r="O19" i="1"/>
  <c r="N72" i="1"/>
  <c r="N120" i="1"/>
  <c r="N38" i="1"/>
  <c r="N32" i="1"/>
  <c r="N108" i="1"/>
  <c r="M61" i="1"/>
  <c r="M32" i="1"/>
  <c r="M108" i="1"/>
  <c r="M102" i="1"/>
  <c r="M66" i="1"/>
  <c r="M120" i="1"/>
  <c r="L13" i="1"/>
  <c r="L66" i="1"/>
  <c r="L26" i="1"/>
  <c r="L61" i="1"/>
  <c r="L6" i="1"/>
  <c r="K9" i="1"/>
  <c r="K66" i="1"/>
  <c r="K72" i="1"/>
  <c r="K32" i="1"/>
  <c r="K90" i="1"/>
  <c r="K50" i="1"/>
  <c r="K51" i="1"/>
  <c r="K108" i="1"/>
  <c r="K44" i="1"/>
  <c r="K38" i="1"/>
  <c r="K84" i="1"/>
  <c r="K6" i="1"/>
  <c r="K26" i="1"/>
  <c r="I32" i="1"/>
  <c r="H9" i="1"/>
  <c r="J96" i="1"/>
  <c r="I96" i="1"/>
  <c r="H108" i="1"/>
  <c r="I44" i="1"/>
  <c r="H84" i="1"/>
  <c r="H26" i="1"/>
  <c r="H72" i="1"/>
  <c r="H120" i="1"/>
  <c r="J61" i="1"/>
  <c r="I61" i="1"/>
  <c r="J19" i="1"/>
  <c r="H6" i="1"/>
  <c r="G9" i="1"/>
  <c r="G78" i="1"/>
  <c r="G32" i="1"/>
  <c r="G120" i="1"/>
  <c r="G44" i="1"/>
  <c r="G6" i="1"/>
  <c r="F9" i="1"/>
  <c r="F44" i="1"/>
  <c r="F52" i="1"/>
  <c r="F78" i="1"/>
  <c r="F32" i="1"/>
  <c r="F96" i="1"/>
  <c r="F61" i="1"/>
  <c r="U102" i="1"/>
  <c r="E6" i="1"/>
  <c r="Q7" i="2"/>
  <c r="AI25" i="2"/>
  <c r="AI26" i="2" s="1"/>
  <c r="E50" i="2"/>
  <c r="E4" i="2"/>
  <c r="E51" i="2"/>
  <c r="U50" i="2"/>
  <c r="U4" i="2"/>
  <c r="Y9" i="2"/>
  <c r="W9" i="2"/>
  <c r="AI22" i="2"/>
  <c r="R9" i="2"/>
  <c r="Z9" i="2"/>
  <c r="AH9" i="2"/>
  <c r="M4" i="2"/>
  <c r="M50" i="2"/>
  <c r="M52" i="2" s="1"/>
  <c r="AC50" i="2"/>
  <c r="AC4" i="2"/>
  <c r="AC51" i="2"/>
  <c r="AG9" i="2"/>
  <c r="P52" i="2"/>
  <c r="M51" i="2"/>
  <c r="D84" i="2"/>
  <c r="AI59" i="2"/>
  <c r="AI61" i="2" s="1"/>
  <c r="G7" i="2"/>
  <c r="AI8" i="2"/>
  <c r="U51" i="2"/>
  <c r="J5" i="2"/>
  <c r="J7" i="2" s="1"/>
  <c r="R5" i="2"/>
  <c r="R7" i="2" s="1"/>
  <c r="Z5" i="2"/>
  <c r="AH5" i="2"/>
  <c r="AH7" i="2" s="1"/>
  <c r="AI28" i="2"/>
  <c r="AI78" i="2"/>
  <c r="AI88" i="2"/>
  <c r="AI90" i="2" s="1"/>
  <c r="AI96" i="2"/>
  <c r="S5" i="2"/>
  <c r="S7" i="2" s="1"/>
  <c r="AA6" i="2"/>
  <c r="AA7" i="2" s="1"/>
  <c r="AI40" i="2"/>
  <c r="AI51" i="2"/>
  <c r="AI52" i="2" s="1"/>
  <c r="AA120" i="2"/>
  <c r="AA56" i="2"/>
  <c r="AI55" i="2"/>
  <c r="D5" i="2"/>
  <c r="L5" i="2"/>
  <c r="L7" i="2" s="1"/>
  <c r="T5" i="2"/>
  <c r="AB5" i="2"/>
  <c r="AB7" i="2" s="1"/>
  <c r="AB120" i="2"/>
  <c r="AB56" i="2"/>
  <c r="AB57" i="2" s="1"/>
  <c r="D56" i="2"/>
  <c r="AI86" i="2"/>
  <c r="AI98" i="2"/>
  <c r="AI110" i="2"/>
  <c r="E9" i="2"/>
  <c r="AI36" i="2"/>
  <c r="AI38" i="2" s="1"/>
  <c r="AI48" i="2"/>
  <c r="H51" i="2"/>
  <c r="H52" i="2" s="1"/>
  <c r="AI68" i="2"/>
  <c r="F5" i="2"/>
  <c r="F7" i="2" s="1"/>
  <c r="N5" i="2"/>
  <c r="N7" i="2" s="1"/>
  <c r="V5" i="2"/>
  <c r="V7" i="2" s="1"/>
  <c r="AD5" i="2"/>
  <c r="AD7" i="2" s="1"/>
  <c r="AI46" i="2"/>
  <c r="AF51" i="2"/>
  <c r="AF52" i="2" s="1"/>
  <c r="V56" i="2"/>
  <c r="V120" i="2"/>
  <c r="AD56" i="2"/>
  <c r="AD120" i="2"/>
  <c r="K56" i="2"/>
  <c r="W5" i="2"/>
  <c r="W7" i="2" s="1"/>
  <c r="AI64" i="2"/>
  <c r="AI66" i="2" s="1"/>
  <c r="G5" i="2"/>
  <c r="O5" i="2"/>
  <c r="O7" i="2" s="1"/>
  <c r="AE5" i="2"/>
  <c r="AE7" i="2" s="1"/>
  <c r="P8" i="2"/>
  <c r="P6" i="2" s="1"/>
  <c r="P7" i="2" s="1"/>
  <c r="AI74" i="2"/>
  <c r="AI108" i="2"/>
  <c r="I50" i="2"/>
  <c r="I52" i="2" s="1"/>
  <c r="Q50" i="2"/>
  <c r="Q52" i="2" s="1"/>
  <c r="Y50" i="2"/>
  <c r="Y52" i="2" s="1"/>
  <c r="AG50" i="2"/>
  <c r="AG52" i="2" s="1"/>
  <c r="G56" i="2"/>
  <c r="G57" i="2" s="1"/>
  <c r="O56" i="2"/>
  <c r="O57" i="2" s="1"/>
  <c r="J50" i="2"/>
  <c r="J52" i="2" s="1"/>
  <c r="R50" i="2"/>
  <c r="R52" i="2" s="1"/>
  <c r="Z50" i="2"/>
  <c r="Z52" i="2" s="1"/>
  <c r="AH50" i="2"/>
  <c r="AH52" i="2" s="1"/>
  <c r="H56" i="2"/>
  <c r="H57" i="2" s="1"/>
  <c r="P56" i="2"/>
  <c r="P57" i="2" s="1"/>
  <c r="AI47" i="2"/>
  <c r="AI49" i="2"/>
  <c r="AI50" i="2" s="1"/>
  <c r="K50" i="2"/>
  <c r="K52" i="2" s="1"/>
  <c r="S50" i="2"/>
  <c r="S52" i="2" s="1"/>
  <c r="AA50" i="2"/>
  <c r="AA52" i="2" s="1"/>
  <c r="I56" i="2"/>
  <c r="AI106" i="2"/>
  <c r="D50" i="2"/>
  <c r="D52" i="2" s="1"/>
  <c r="L50" i="2"/>
  <c r="T50" i="2"/>
  <c r="T52" i="2" s="1"/>
  <c r="AB50" i="2"/>
  <c r="AB52" i="2" s="1"/>
  <c r="J56" i="2"/>
  <c r="J57" i="2" s="1"/>
  <c r="AF82" i="2"/>
  <c r="AF83" i="2"/>
  <c r="AI113" i="2"/>
  <c r="AI114" i="2" s="1"/>
  <c r="Y120" i="2"/>
  <c r="AG120" i="2"/>
  <c r="AI100" i="2"/>
  <c r="AI102" i="2" s="1"/>
  <c r="G50" i="2"/>
  <c r="G52" i="2" s="1"/>
  <c r="O50" i="2"/>
  <c r="O52" i="2" s="1"/>
  <c r="W50" i="2"/>
  <c r="W52" i="2" s="1"/>
  <c r="AE50" i="2"/>
  <c r="AE52" i="2" s="1"/>
  <c r="E100" i="2"/>
  <c r="E102" i="2" s="1"/>
  <c r="AF84" i="2" l="1"/>
  <c r="Z7" i="2"/>
  <c r="AB9" i="2"/>
  <c r="D7" i="2"/>
  <c r="K6" i="2"/>
  <c r="K7" i="2" s="1"/>
  <c r="T7" i="2"/>
  <c r="L52" i="2"/>
  <c r="AI120" i="2"/>
  <c r="AJ120" i="2" s="1"/>
  <c r="AJ117" i="2"/>
  <c r="AC52" i="2"/>
  <c r="N57" i="2"/>
  <c r="N9" i="2"/>
  <c r="I52" i="1"/>
  <c r="H52" i="1"/>
  <c r="E52" i="1"/>
  <c r="G52" i="1"/>
  <c r="K52" i="1"/>
  <c r="G9" i="2"/>
  <c r="V9" i="2"/>
  <c r="V57" i="2"/>
  <c r="D57" i="2"/>
  <c r="AI56" i="2"/>
  <c r="E6" i="2"/>
  <c r="E5" i="2"/>
  <c r="AI4" i="2"/>
  <c r="AI5" i="2" s="1"/>
  <c r="K57" i="2"/>
  <c r="K9" i="2"/>
  <c r="E52" i="2"/>
  <c r="I57" i="2"/>
  <c r="I9" i="2"/>
  <c r="AA57" i="2"/>
  <c r="AA9" i="2"/>
  <c r="AC6" i="2"/>
  <c r="AC5" i="2"/>
  <c r="H9" i="2"/>
  <c r="D9" i="2"/>
  <c r="J9" i="2"/>
  <c r="M6" i="2"/>
  <c r="M5" i="2"/>
  <c r="U6" i="2"/>
  <c r="U7" i="2" s="1"/>
  <c r="U5" i="2"/>
  <c r="AD57" i="2"/>
  <c r="AD9" i="2"/>
  <c r="P9" i="2"/>
  <c r="O9" i="2"/>
  <c r="U52" i="2"/>
  <c r="E7" i="2" l="1"/>
  <c r="AI9" i="2"/>
  <c r="AC7" i="2"/>
  <c r="M7" i="2"/>
  <c r="AI6" i="2"/>
  <c r="AI7" i="2" s="1"/>
  <c r="AI57" i="2"/>
  <c r="D47" i="1" l="1"/>
  <c r="D48" i="1" s="1"/>
  <c r="D40" i="1"/>
  <c r="D34" i="1"/>
  <c r="D46" i="1"/>
  <c r="D15" i="1"/>
  <c r="AI15" i="1" s="1"/>
  <c r="D28" i="1"/>
  <c r="D55" i="1"/>
  <c r="D126" i="1" s="1"/>
  <c r="D53" i="1"/>
  <c r="D8" i="1" s="1"/>
  <c r="AI8" i="1" s="1"/>
  <c r="D49" i="1"/>
  <c r="D11" i="1"/>
  <c r="D12" i="1"/>
  <c r="D17" i="1"/>
  <c r="D18" i="1"/>
  <c r="D22" i="1"/>
  <c r="D24" i="1"/>
  <c r="D25" i="1"/>
  <c r="D30" i="1"/>
  <c r="D31" i="1"/>
  <c r="D36" i="1"/>
  <c r="D37" i="1"/>
  <c r="D42" i="1"/>
  <c r="D43" i="1"/>
  <c r="AG126" i="1"/>
  <c r="D59" i="1"/>
  <c r="D60" i="1"/>
  <c r="D64" i="1"/>
  <c r="D65" i="1"/>
  <c r="D70" i="1"/>
  <c r="D71" i="1"/>
  <c r="D76" i="1"/>
  <c r="D77" i="1"/>
  <c r="D82" i="1"/>
  <c r="D83" i="1"/>
  <c r="D88" i="1"/>
  <c r="D89" i="1"/>
  <c r="D94" i="1"/>
  <c r="D95" i="1"/>
  <c r="D100" i="1"/>
  <c r="D101" i="1"/>
  <c r="D106" i="1"/>
  <c r="D107" i="1"/>
  <c r="D118" i="1"/>
  <c r="D119" i="1"/>
  <c r="AI54" i="1"/>
  <c r="AI109" i="1"/>
  <c r="AI105" i="1"/>
  <c r="AI106" i="1" s="1"/>
  <c r="AI103" i="1"/>
  <c r="AI99" i="1"/>
  <c r="AI79" i="1"/>
  <c r="AI75" i="1"/>
  <c r="AI14" i="1"/>
  <c r="AI10" i="1"/>
  <c r="AI67" i="1"/>
  <c r="AI63" i="1"/>
  <c r="AI73" i="1"/>
  <c r="AI69" i="1"/>
  <c r="AI121" i="1"/>
  <c r="AI117" i="1"/>
  <c r="AF126" i="1"/>
  <c r="AH126" i="1"/>
  <c r="D56" i="1" l="1"/>
  <c r="D57" i="1" s="1"/>
  <c r="D66" i="1"/>
  <c r="D50" i="1"/>
  <c r="D4" i="1"/>
  <c r="AG5" i="1"/>
  <c r="AG7" i="1" s="1"/>
  <c r="Y5" i="1"/>
  <c r="Y7" i="1" s="1"/>
  <c r="Z5" i="1"/>
  <c r="Z7" i="1" s="1"/>
  <c r="AA5" i="1"/>
  <c r="AA7" i="1" s="1"/>
  <c r="AE5" i="1"/>
  <c r="AE7" i="1" s="1"/>
  <c r="AB5" i="1"/>
  <c r="AB7" i="1" s="1"/>
  <c r="W5" i="1"/>
  <c r="W7" i="1" s="1"/>
  <c r="T5" i="1"/>
  <c r="T7" i="1" s="1"/>
  <c r="AH5" i="1"/>
  <c r="AH7" i="1" s="1"/>
  <c r="AD5" i="1"/>
  <c r="AD7" i="1" s="1"/>
  <c r="AC5" i="1"/>
  <c r="AC7" i="1" s="1"/>
  <c r="V5" i="1"/>
  <c r="V7" i="1" s="1"/>
  <c r="S5" i="1"/>
  <c r="S7" i="1" s="1"/>
  <c r="X5" i="1"/>
  <c r="X7" i="1" s="1"/>
  <c r="U5" i="1"/>
  <c r="U7" i="1" s="1"/>
  <c r="AF5" i="1"/>
  <c r="AF7" i="1" s="1"/>
  <c r="M5" i="1"/>
  <c r="M7" i="1" s="1"/>
  <c r="H5" i="1"/>
  <c r="H7" i="1" s="1"/>
  <c r="K5" i="1"/>
  <c r="K7" i="1" s="1"/>
  <c r="O5" i="1"/>
  <c r="O7" i="1" s="1"/>
  <c r="N5" i="1"/>
  <c r="N7" i="1" s="1"/>
  <c r="I5" i="1"/>
  <c r="I7" i="1" s="1"/>
  <c r="G5" i="1"/>
  <c r="G7" i="1" s="1"/>
  <c r="F5" i="1"/>
  <c r="F7" i="1" s="1"/>
  <c r="J5" i="1"/>
  <c r="J7" i="1" s="1"/>
  <c r="R5" i="1"/>
  <c r="R7" i="1" s="1"/>
  <c r="L5" i="1"/>
  <c r="L7" i="1" s="1"/>
  <c r="P5" i="1"/>
  <c r="P7" i="1" s="1"/>
  <c r="E5" i="1"/>
  <c r="E7" i="1" s="1"/>
  <c r="Q5" i="1"/>
  <c r="Q7" i="1" s="1"/>
  <c r="D13" i="1"/>
  <c r="D108" i="1"/>
  <c r="D32" i="1"/>
  <c r="D102" i="1"/>
  <c r="D96" i="1"/>
  <c r="D78" i="1"/>
  <c r="D90" i="1"/>
  <c r="D51" i="1"/>
  <c r="D44" i="1"/>
  <c r="D38" i="1"/>
  <c r="D84" i="1"/>
  <c r="D26" i="1"/>
  <c r="D72" i="1"/>
  <c r="D120" i="1"/>
  <c r="D19" i="1"/>
  <c r="AI22" i="1"/>
  <c r="D61" i="1"/>
  <c r="D9" i="1"/>
  <c r="AI9" i="1" s="1"/>
  <c r="AI48" i="1"/>
  <c r="AI57" i="1"/>
  <c r="Y126" i="1"/>
  <c r="X126" i="1"/>
  <c r="W126" i="1"/>
  <c r="U126" i="1"/>
  <c r="R126" i="1"/>
  <c r="S126" i="1"/>
  <c r="T126" i="1"/>
  <c r="Q126" i="1"/>
  <c r="P126" i="1"/>
  <c r="O126" i="1"/>
  <c r="D5" i="1" l="1"/>
  <c r="AI4" i="1"/>
  <c r="D6" i="1"/>
  <c r="D7" i="1" s="1"/>
  <c r="D52" i="1"/>
  <c r="N126" i="1"/>
  <c r="L126" i="1"/>
  <c r="E126" i="1"/>
  <c r="F126" i="1"/>
  <c r="G126" i="1"/>
  <c r="H126" i="1"/>
  <c r="I126" i="1"/>
  <c r="J126" i="1"/>
  <c r="K126" i="1"/>
  <c r="AI126" i="1" l="1"/>
  <c r="AI5" i="1"/>
  <c r="AI6" i="1"/>
  <c r="AI7" i="1" s="1"/>
  <c r="M126" i="1"/>
  <c r="AJ126" i="1" l="1"/>
  <c r="AI97" i="1"/>
  <c r="AI93" i="1"/>
  <c r="AI91" i="1"/>
  <c r="AI87" i="1"/>
  <c r="AI88" i="1" s="1"/>
  <c r="AI85" i="1"/>
  <c r="AI81" i="1"/>
  <c r="AI82" i="1" s="1"/>
  <c r="AI70" i="1"/>
  <c r="AI64" i="1"/>
  <c r="AI62" i="1"/>
  <c r="AI58" i="1"/>
  <c r="AI59" i="1" s="1"/>
  <c r="AI45" i="1"/>
  <c r="AI41" i="1"/>
  <c r="AI42" i="1" s="1"/>
  <c r="AI39" i="1"/>
  <c r="AI35" i="1"/>
  <c r="AI33" i="1"/>
  <c r="AI29" i="1"/>
  <c r="AI30" i="1" s="1"/>
  <c r="AI27" i="1"/>
  <c r="AI23" i="1"/>
  <c r="AI24" i="1" s="1"/>
  <c r="AI20" i="1"/>
  <c r="AI16" i="1"/>
  <c r="AI17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11" i="1" l="1"/>
  <c r="AI95" i="1"/>
  <c r="AI77" i="1"/>
  <c r="AI89" i="1"/>
  <c r="AI90" i="1" s="1"/>
  <c r="AI18" i="1"/>
  <c r="AI19" i="1" s="1"/>
  <c r="AI37" i="1"/>
  <c r="AI40" i="1"/>
  <c r="AI119" i="1"/>
  <c r="AI25" i="1"/>
  <c r="AI26" i="1" s="1"/>
  <c r="AI28" i="1"/>
  <c r="AI60" i="1"/>
  <c r="AI61" i="1" s="1"/>
  <c r="AI65" i="1"/>
  <c r="AI66" i="1" s="1"/>
  <c r="AI71" i="1"/>
  <c r="AI72" i="1" s="1"/>
  <c r="AI83" i="1"/>
  <c r="AI84" i="1" s="1"/>
  <c r="AI86" i="1"/>
  <c r="AI101" i="1"/>
  <c r="AI43" i="1"/>
  <c r="AI44" i="1" s="1"/>
  <c r="AI92" i="1"/>
  <c r="AI107" i="1"/>
  <c r="AI108" i="1" s="1"/>
  <c r="AI74" i="1"/>
  <c r="AI110" i="1"/>
  <c r="AI47" i="1"/>
  <c r="AI46" i="1"/>
  <c r="AI68" i="1"/>
  <c r="AI98" i="1"/>
  <c r="AI53" i="1"/>
  <c r="AI1" i="1" s="1"/>
  <c r="AJ1" i="1" s="1"/>
  <c r="AI21" i="1"/>
  <c r="AI31" i="1"/>
  <c r="AI32" i="1" s="1"/>
  <c r="AI104" i="1"/>
  <c r="AI34" i="1"/>
  <c r="AI80" i="1"/>
  <c r="AI118" i="1"/>
  <c r="AI122" i="1"/>
  <c r="AI49" i="1"/>
  <c r="AI50" i="1" s="1"/>
  <c r="AI55" i="1"/>
  <c r="AI94" i="1"/>
  <c r="AI36" i="1"/>
  <c r="AI100" i="1"/>
  <c r="AI76" i="1"/>
  <c r="AJ123" i="1" l="1"/>
  <c r="AI78" i="1"/>
  <c r="AI96" i="1"/>
  <c r="AI38" i="1"/>
  <c r="AI120" i="1"/>
  <c r="AI102" i="1"/>
  <c r="AI56" i="1"/>
  <c r="AI51" i="1"/>
  <c r="AI52" i="1" s="1"/>
  <c r="AI12" i="1"/>
  <c r="AI13" i="1" s="1"/>
  <c r="AJ2" i="1" l="1"/>
  <c r="G9" i="3"/>
  <c r="AI56" i="3"/>
  <c r="AI45" i="3"/>
  <c r="T43" i="3"/>
  <c r="T44" i="3" s="1"/>
  <c r="AI39" i="3"/>
  <c r="T46" i="3"/>
  <c r="AI46" i="3" s="1"/>
  <c r="AI1" i="3" l="1"/>
  <c r="AJ1" i="3" s="1"/>
  <c r="AJ2" i="3" s="1"/>
  <c r="AI43" i="3"/>
  <c r="AI44" i="3" s="1"/>
  <c r="AI37" i="3"/>
  <c r="AI38" i="3" s="1"/>
  <c r="T8" i="3"/>
  <c r="T37" i="3"/>
  <c r="T38" i="3" s="1"/>
  <c r="AJ123" i="3"/>
  <c r="T9" i="3"/>
  <c r="AI9" i="3" s="1"/>
  <c r="AI8" i="3" l="1"/>
  <c r="AI6" i="3" s="1"/>
  <c r="AI7" i="3" s="1"/>
  <c r="T6" i="3"/>
  <c r="T7" i="3" s="1"/>
  <c r="I8" i="19" l="1"/>
  <c r="I120" i="19"/>
  <c r="I58" i="19"/>
  <c r="I6" i="19" l="1"/>
  <c r="I7" i="19" s="1"/>
  <c r="D120" i="19"/>
  <c r="AI120" i="19" s="1"/>
  <c r="AJ120" i="19" s="1"/>
  <c r="D8" i="19"/>
  <c r="D6" i="19" s="1"/>
  <c r="D7" i="19" s="1"/>
  <c r="AI59" i="19"/>
  <c r="D58" i="19"/>
  <c r="AI58" i="19"/>
  <c r="AJ58" i="19" s="1"/>
  <c r="AJ59" i="19" s="1"/>
  <c r="AI8" i="19" l="1"/>
  <c r="AJ8" i="19" l="1"/>
  <c r="AJ6" i="19" s="1"/>
  <c r="AJ7" i="19" s="1"/>
  <c r="AI6" i="19"/>
  <c r="AI7" i="19" s="1"/>
  <c r="AJ105" i="24"/>
  <c r="AI105" i="24"/>
</calcChain>
</file>

<file path=xl/comments1.xml><?xml version="1.0" encoding="utf-8"?>
<comments xmlns="http://schemas.openxmlformats.org/spreadsheetml/2006/main">
  <authors>
    <author>Vana Patel</author>
  </authors>
  <commentList>
    <comment ref="AJ1" authorId="0" shapeId="0">
      <text>
        <r>
          <rPr>
            <b/>
            <sz val="9"/>
            <color indexed="81"/>
            <rFont val="Tahoma"/>
            <family val="2"/>
          </rPr>
          <t>Vana Patel:</t>
        </r>
        <r>
          <rPr>
            <sz val="9"/>
            <color indexed="81"/>
            <rFont val="Tahoma"/>
            <family val="2"/>
          </rPr>
          <t xml:space="preserve">
Average revenue till date 
</t>
        </r>
      </text>
    </comment>
    <comment ref="AD59" authorId="0" shapeId="0">
      <text>
        <r>
          <rPr>
            <b/>
            <sz val="9"/>
            <color indexed="81"/>
            <rFont val="Tahoma"/>
            <family val="2"/>
          </rPr>
          <t>Vana Patel:
pending data from Enrique</t>
        </r>
      </text>
    </comment>
  </commentList>
</comments>
</file>

<file path=xl/comments2.xml><?xml version="1.0" encoding="utf-8"?>
<comments xmlns="http://schemas.openxmlformats.org/spreadsheetml/2006/main">
  <authors>
    <author>Vana Patel</author>
  </authors>
  <commentList>
    <comment ref="AJ1" authorId="0" shapeId="0">
      <text>
        <r>
          <rPr>
            <b/>
            <sz val="9"/>
            <color indexed="81"/>
            <rFont val="Tahoma"/>
            <family val="2"/>
          </rPr>
          <t>Vana Patel:</t>
        </r>
        <r>
          <rPr>
            <sz val="9"/>
            <color indexed="81"/>
            <rFont val="Tahoma"/>
            <family val="2"/>
          </rPr>
          <t xml:space="preserve">
Average revenue till date 
</t>
        </r>
      </text>
    </comment>
    <comment ref="AD52" authorId="0" shapeId="0">
      <text>
        <r>
          <rPr>
            <b/>
            <sz val="9"/>
            <color indexed="81"/>
            <rFont val="Tahoma"/>
            <family val="2"/>
          </rPr>
          <t>Vana Patel:
pending data from Enrique</t>
        </r>
      </text>
    </comment>
  </commentList>
</comments>
</file>

<file path=xl/comments3.xml><?xml version="1.0" encoding="utf-8"?>
<comments xmlns="http://schemas.openxmlformats.org/spreadsheetml/2006/main">
  <authors>
    <author>Vana Patel</author>
  </authors>
  <commentList>
    <comment ref="AJ1" authorId="0" shapeId="0">
      <text>
        <r>
          <rPr>
            <b/>
            <sz val="9"/>
            <color indexed="81"/>
            <rFont val="Tahoma"/>
            <family val="2"/>
          </rPr>
          <t>Vana Patel:</t>
        </r>
        <r>
          <rPr>
            <sz val="9"/>
            <color indexed="81"/>
            <rFont val="Tahoma"/>
            <family val="2"/>
          </rPr>
          <t xml:space="preserve">
Average revenue till date 
</t>
        </r>
      </text>
    </comment>
  </commentList>
</comments>
</file>

<file path=xl/sharedStrings.xml><?xml version="1.0" encoding="utf-8"?>
<sst xmlns="http://schemas.openxmlformats.org/spreadsheetml/2006/main" count="1760" uniqueCount="85">
  <si>
    <t>Day of Month</t>
  </si>
  <si>
    <t xml:space="preserve"> </t>
  </si>
  <si>
    <t>Sunday</t>
  </si>
  <si>
    <t>Monday</t>
  </si>
  <si>
    <t>Tuesday</t>
  </si>
  <si>
    <t>Wednesday</t>
  </si>
  <si>
    <t>Thursday</t>
  </si>
  <si>
    <t>Friday</t>
  </si>
  <si>
    <t>Saturday</t>
  </si>
  <si>
    <t>MTD</t>
  </si>
  <si>
    <t>Property</t>
  </si>
  <si>
    <t>Day</t>
  </si>
  <si>
    <t>Total</t>
  </si>
  <si>
    <t>Projection</t>
  </si>
  <si>
    <t>Atlantic Hotels Mgmt (Umbrella)</t>
  </si>
  <si>
    <t>Rms Sold</t>
  </si>
  <si>
    <t>Occ %</t>
  </si>
  <si>
    <t>ADR</t>
  </si>
  <si>
    <t>RevPAR</t>
  </si>
  <si>
    <t>Room Rev</t>
  </si>
  <si>
    <t>Payroll %</t>
  </si>
  <si>
    <t>Residence Inn Canyon</t>
  </si>
  <si>
    <t>EsOcc</t>
  </si>
  <si>
    <t>EsADR</t>
  </si>
  <si>
    <t>EsRevPar</t>
  </si>
  <si>
    <t>TPS Lewisville</t>
  </si>
  <si>
    <t>TPS Desoto</t>
  </si>
  <si>
    <t>Element Gaston</t>
  </si>
  <si>
    <t>Comfort Grapevine</t>
  </si>
  <si>
    <t>Hampton Grapevine</t>
  </si>
  <si>
    <t>M&amp;M - Aloft</t>
  </si>
  <si>
    <t>Room Revenue</t>
  </si>
  <si>
    <t>M&amp;M - Element</t>
  </si>
  <si>
    <t>M&amp;M - Aloft Element</t>
  </si>
  <si>
    <t>Food &amp; Bev Sales</t>
  </si>
  <si>
    <t>Total Revenue</t>
  </si>
  <si>
    <t>HIE West</t>
  </si>
  <si>
    <t>HIE Waco</t>
  </si>
  <si>
    <t>TPS Waco</t>
  </si>
  <si>
    <t>Hampton Waco</t>
  </si>
  <si>
    <t>HIE Galleria</t>
  </si>
  <si>
    <t>Hampton Colony</t>
  </si>
  <si>
    <t>Staybridge Irving</t>
  </si>
  <si>
    <t>Home 2 McKinney</t>
  </si>
  <si>
    <t>SHS McKinney</t>
  </si>
  <si>
    <t>Homewood Colony</t>
  </si>
  <si>
    <t>HIE Garland</t>
  </si>
  <si>
    <t>Daily Sales (Average)</t>
  </si>
  <si>
    <t>MoM Increase/Decrease%</t>
  </si>
  <si>
    <t>May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</si>
  <si>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</si>
  <si>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</si>
  <si>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</si>
  <si>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</si>
  <si>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</si>
  <si>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</si>
  <si>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</si>
  <si>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</si>
  <si>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April</t>
  </si>
  <si>
    <t>March</t>
  </si>
  <si>
    <t>Feb</t>
  </si>
  <si>
    <t>Jan</t>
  </si>
  <si>
    <t xml:space="preserve">October </t>
  </si>
  <si>
    <t xml:space="preserve">Revenue </t>
  </si>
  <si>
    <t xml:space="preserve"> Budget </t>
  </si>
  <si>
    <t xml:space="preserve"> Difference </t>
  </si>
  <si>
    <t>YTD Revenue</t>
  </si>
  <si>
    <t xml:space="preserve"> YTD Budget </t>
  </si>
  <si>
    <t xml:space="preserve"> YTD Difference </t>
  </si>
  <si>
    <t>M&amp;M</t>
  </si>
  <si>
    <t>Canyon</t>
  </si>
  <si>
    <t>Gaston Element</t>
  </si>
  <si>
    <t>Grapevine HI</t>
  </si>
  <si>
    <t>Grapevine CS</t>
  </si>
  <si>
    <t>McKinney H2</t>
  </si>
  <si>
    <t>McKinney SHS</t>
  </si>
  <si>
    <t>Staybridge Suites</t>
  </si>
  <si>
    <t>total payroll for 2 GV hotels</t>
  </si>
  <si>
    <t>2GV hotels labor without sales</t>
  </si>
  <si>
    <t>Payroll</t>
  </si>
  <si>
    <t>Labor without sales</t>
  </si>
  <si>
    <t>time clock is down</t>
  </si>
  <si>
    <t xml:space="preserve">Aloft time clock internet was out </t>
  </si>
  <si>
    <t>Time clock is down</t>
  </si>
  <si>
    <t>time clock was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</si>
</sst>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.00%;_(* \(#,##0.00%\);_(* &quot;-&quot;??_);_(@_)"/>
    <numFmt numFmtId="168" formatCode="&quot;$&quot;#,##0.00"/>
    <numFmt numFmtId="169" formatCode="_(* #,##0_);_(* \(#,##0\);_(* &quot;-&quot;??_);_(@_)"/>
    <numFmt numFmtId="170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48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2" fillId="0" borderId="0" xfId="1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3" borderId="1" xfId="0" applyFont="1" applyFill="1" applyBorder="1"/>
    <xf numFmtId="0" fontId="3" fillId="3" borderId="2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3" fillId="3" borderId="6" xfId="0" applyFont="1" applyFill="1" applyBorder="1" applyAlignment="1">
      <alignment horizontal="center"/>
    </xf>
    <xf numFmtId="167" fontId="6" fillId="3" borderId="0" xfId="0" applyNumberFormat="1" applyFont="1" applyFill="1" applyAlignment="1">
      <alignment horizontal="center"/>
    </xf>
    <xf numFmtId="10" fontId="7" fillId="3" borderId="7" xfId="0" applyNumberFormat="1" applyFont="1" applyFill="1" applyBorder="1" applyAlignment="1">
      <alignment horizontal="center"/>
    </xf>
    <xf numFmtId="166" fontId="6" fillId="3" borderId="0" xfId="0" applyNumberFormat="1" applyFont="1" applyFill="1" applyAlignment="1">
      <alignment horizontal="center"/>
    </xf>
    <xf numFmtId="166" fontId="7" fillId="3" borderId="7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9" fontId="2" fillId="0" borderId="0" xfId="2" applyFont="1"/>
    <xf numFmtId="9" fontId="2" fillId="3" borderId="5" xfId="2" applyFont="1" applyFill="1" applyBorder="1"/>
    <xf numFmtId="9" fontId="6" fillId="3" borderId="0" xfId="2" applyFont="1" applyFill="1" applyBorder="1" applyAlignment="1">
      <alignment horizontal="center"/>
    </xf>
    <xf numFmtId="9" fontId="7" fillId="3" borderId="0" xfId="2" applyFont="1" applyFill="1" applyBorder="1" applyAlignment="1">
      <alignment horizontal="center"/>
    </xf>
    <xf numFmtId="9" fontId="7" fillId="3" borderId="7" xfId="2" applyFont="1" applyFill="1" applyBorder="1" applyAlignment="1">
      <alignment horizontal="center"/>
    </xf>
    <xf numFmtId="0" fontId="2" fillId="4" borderId="8" xfId="0" applyFont="1" applyFill="1" applyBorder="1"/>
    <xf numFmtId="0" fontId="3" fillId="4" borderId="9" xfId="0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4" borderId="5" xfId="0" applyFont="1" applyFill="1" applyBorder="1"/>
    <xf numFmtId="0" fontId="3" fillId="4" borderId="6" xfId="0" applyFont="1" applyFill="1" applyBorder="1" applyAlignment="1">
      <alignment horizontal="center"/>
    </xf>
    <xf numFmtId="167" fontId="6" fillId="4" borderId="0" xfId="0" applyNumberFormat="1" applyFont="1" applyFill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166" fontId="6" fillId="4" borderId="0" xfId="0" applyNumberFormat="1" applyFont="1" applyFill="1" applyAlignment="1">
      <alignment horizontal="center"/>
    </xf>
    <xf numFmtId="166" fontId="7" fillId="4" borderId="7" xfId="0" applyNumberFormat="1" applyFont="1" applyFill="1" applyBorder="1" applyAlignment="1">
      <alignment horizontal="center"/>
    </xf>
    <xf numFmtId="164" fontId="7" fillId="4" borderId="7" xfId="0" applyNumberFormat="1" applyFont="1" applyFill="1" applyBorder="1" applyAlignment="1">
      <alignment horizontal="center"/>
    </xf>
    <xf numFmtId="9" fontId="2" fillId="4" borderId="5" xfId="2" applyFont="1" applyFill="1" applyBorder="1"/>
    <xf numFmtId="0" fontId="3" fillId="0" borderId="6" xfId="0" applyFont="1" applyBorder="1" applyAlignment="1">
      <alignment horizontal="center"/>
    </xf>
    <xf numFmtId="9" fontId="6" fillId="4" borderId="0" xfId="2" applyFont="1" applyFill="1" applyBorder="1" applyAlignment="1">
      <alignment horizontal="center"/>
    </xf>
    <xf numFmtId="9" fontId="7" fillId="4" borderId="0" xfId="2" applyFont="1" applyFill="1" applyBorder="1" applyAlignment="1">
      <alignment horizontal="center"/>
    </xf>
    <xf numFmtId="9" fontId="7" fillId="4" borderId="7" xfId="2" applyFont="1" applyFill="1" applyBorder="1" applyAlignment="1">
      <alignment horizontal="center"/>
    </xf>
    <xf numFmtId="0" fontId="2" fillId="3" borderId="8" xfId="0" applyFont="1" applyFill="1" applyBorder="1"/>
    <xf numFmtId="0" fontId="3" fillId="3" borderId="9" xfId="0" applyFon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9" fontId="2" fillId="4" borderId="10" xfId="2" applyFont="1" applyFill="1" applyBorder="1"/>
    <xf numFmtId="9" fontId="6" fillId="4" borderId="12" xfId="2" applyFont="1" applyFill="1" applyBorder="1" applyAlignment="1">
      <alignment horizontal="center"/>
    </xf>
    <xf numFmtId="9" fontId="7" fillId="4" borderId="12" xfId="2" applyFont="1" applyFill="1" applyBorder="1" applyAlignment="1">
      <alignment horizontal="center"/>
    </xf>
    <xf numFmtId="9" fontId="7" fillId="4" borderId="13" xfId="2" applyFont="1" applyFill="1" applyBorder="1" applyAlignment="1">
      <alignment horizontal="center"/>
    </xf>
    <xf numFmtId="9" fontId="7" fillId="0" borderId="12" xfId="2" applyFont="1" applyFill="1" applyBorder="1" applyAlignment="1">
      <alignment horizontal="center"/>
    </xf>
    <xf numFmtId="9" fontId="0" fillId="0" borderId="14" xfId="2" applyFont="1" applyBorder="1"/>
    <xf numFmtId="164" fontId="4" fillId="5" borderId="3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166" fontId="7" fillId="0" borderId="19" xfId="1" applyFont="1" applyFill="1" applyBorder="1" applyAlignment="1">
      <alignment horizontal="center"/>
    </xf>
    <xf numFmtId="9" fontId="7" fillId="3" borderId="14" xfId="2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4" fontId="5" fillId="4" borderId="22" xfId="0" applyNumberFormat="1" applyFont="1" applyFill="1" applyBorder="1" applyAlignment="1">
      <alignment horizontal="center"/>
    </xf>
    <xf numFmtId="164" fontId="4" fillId="4" borderId="22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3" borderId="14" xfId="0" applyNumberFormat="1" applyFont="1" applyFill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9" fontId="7" fillId="5" borderId="0" xfId="2" applyFont="1" applyFill="1"/>
    <xf numFmtId="9" fontId="7" fillId="0" borderId="0" xfId="2" applyFont="1"/>
    <xf numFmtId="9" fontId="7" fillId="3" borderId="0" xfId="2" applyFont="1" applyFill="1"/>
    <xf numFmtId="9" fontId="7" fillId="3" borderId="0" xfId="2" applyFont="1" applyFill="1" applyAlignment="1">
      <alignment horizontal="center"/>
    </xf>
    <xf numFmtId="9" fontId="7" fillId="3" borderId="7" xfId="0" applyNumberFormat="1" applyFont="1" applyFill="1" applyBorder="1" applyAlignment="1">
      <alignment horizontal="center"/>
    </xf>
    <xf numFmtId="9" fontId="3" fillId="3" borderId="6" xfId="2" applyFont="1" applyFill="1" applyBorder="1" applyAlignment="1">
      <alignment horizontal="center"/>
    </xf>
    <xf numFmtId="9" fontId="7" fillId="5" borderId="0" xfId="2" applyFont="1" applyFill="1" applyBorder="1" applyAlignment="1">
      <alignment horizontal="center"/>
    </xf>
    <xf numFmtId="9" fontId="7" fillId="5" borderId="13" xfId="2" applyFont="1" applyFill="1" applyBorder="1" applyAlignment="1">
      <alignment horizontal="center"/>
    </xf>
    <xf numFmtId="9" fontId="2" fillId="3" borderId="20" xfId="2" applyFont="1" applyFill="1" applyBorder="1"/>
    <xf numFmtId="0" fontId="3" fillId="3" borderId="21" xfId="0" applyFont="1" applyFill="1" applyBorder="1" applyAlignment="1">
      <alignment horizontal="center"/>
    </xf>
    <xf numFmtId="9" fontId="6" fillId="3" borderId="12" xfId="2" applyFont="1" applyFill="1" applyBorder="1" applyAlignment="1">
      <alignment horizontal="center"/>
    </xf>
    <xf numFmtId="9" fontId="7" fillId="3" borderId="12" xfId="2" applyFont="1" applyFill="1" applyBorder="1" applyAlignment="1">
      <alignment horizontal="center"/>
    </xf>
    <xf numFmtId="9" fontId="7" fillId="3" borderId="13" xfId="2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1" applyFont="1" applyAlignment="1">
      <alignment horizontal="center" wrapText="1"/>
    </xf>
    <xf numFmtId="0" fontId="0" fillId="5" borderId="0" xfId="0" applyFill="1"/>
    <xf numFmtId="164" fontId="4" fillId="4" borderId="4" xfId="0" applyNumberFormat="1" applyFont="1" applyFill="1" applyBorder="1" applyAlignment="1">
      <alignment horizontal="center"/>
    </xf>
    <xf numFmtId="166" fontId="7" fillId="4" borderId="12" xfId="2" applyNumberFormat="1" applyFont="1" applyFill="1" applyBorder="1" applyAlignment="1">
      <alignment horizontal="center"/>
    </xf>
    <xf numFmtId="166" fontId="7" fillId="3" borderId="12" xfId="2" applyNumberFormat="1" applyFont="1" applyFill="1" applyBorder="1" applyAlignment="1">
      <alignment horizontal="center"/>
    </xf>
    <xf numFmtId="166" fontId="7" fillId="3" borderId="0" xfId="2" applyNumberFormat="1" applyFont="1" applyFill="1" applyBorder="1" applyAlignment="1">
      <alignment horizontal="center"/>
    </xf>
    <xf numFmtId="165" fontId="2" fillId="0" borderId="0" xfId="3" applyFont="1" applyAlignment="1">
      <alignment horizontal="center"/>
    </xf>
    <xf numFmtId="165" fontId="6" fillId="3" borderId="0" xfId="3" applyFont="1" applyFill="1" applyAlignment="1">
      <alignment horizontal="center"/>
    </xf>
    <xf numFmtId="165" fontId="7" fillId="0" borderId="0" xfId="3" applyFont="1" applyAlignment="1">
      <alignment horizontal="center"/>
    </xf>
    <xf numFmtId="9" fontId="0" fillId="0" borderId="0" xfId="2" applyFont="1"/>
    <xf numFmtId="0" fontId="7" fillId="3" borderId="0" xfId="2" applyNumberFormat="1" applyFont="1" applyFill="1" applyBorder="1" applyAlignment="1">
      <alignment horizontal="center"/>
    </xf>
    <xf numFmtId="167" fontId="6" fillId="5" borderId="0" xfId="0" applyNumberFormat="1" applyFont="1" applyFill="1" applyAlignment="1">
      <alignment horizontal="center"/>
    </xf>
    <xf numFmtId="166" fontId="6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9" fontId="7" fillId="0" borderId="14" xfId="2" applyFont="1" applyBorder="1"/>
    <xf numFmtId="166" fontId="7" fillId="3" borderId="0" xfId="1" applyFont="1" applyFill="1" applyAlignment="1">
      <alignment horizontal="center"/>
    </xf>
    <xf numFmtId="9" fontId="2" fillId="4" borderId="1" xfId="2" applyFont="1" applyFill="1" applyBorder="1"/>
    <xf numFmtId="0" fontId="3" fillId="4" borderId="2" xfId="0" applyFont="1" applyFill="1" applyBorder="1" applyAlignment="1">
      <alignment horizontal="center"/>
    </xf>
    <xf numFmtId="9" fontId="2" fillId="4" borderId="20" xfId="2" applyFont="1" applyFill="1" applyBorder="1"/>
    <xf numFmtId="0" fontId="3" fillId="0" borderId="21" xfId="0" applyFont="1" applyBorder="1" applyAlignment="1">
      <alignment horizontal="center"/>
    </xf>
    <xf numFmtId="10" fontId="7" fillId="4" borderId="0" xfId="2" applyNumberFormat="1" applyFont="1" applyFill="1" applyBorder="1" applyAlignment="1">
      <alignment horizontal="center"/>
    </xf>
    <xf numFmtId="168" fontId="7" fillId="4" borderId="0" xfId="2" applyNumberFormat="1" applyFont="1" applyFill="1" applyBorder="1" applyAlignment="1">
      <alignment horizontal="center"/>
    </xf>
    <xf numFmtId="2" fontId="7" fillId="4" borderId="0" xfId="3" applyNumberFormat="1" applyFont="1" applyFill="1" applyBorder="1" applyAlignment="1">
      <alignment horizontal="center"/>
    </xf>
    <xf numFmtId="2" fontId="7" fillId="4" borderId="0" xfId="2" applyNumberFormat="1" applyFont="1" applyFill="1" applyBorder="1" applyAlignment="1">
      <alignment horizontal="center"/>
    </xf>
    <xf numFmtId="0" fontId="7" fillId="4" borderId="7" xfId="2" applyNumberFormat="1" applyFont="1" applyFill="1" applyBorder="1" applyAlignment="1">
      <alignment horizontal="center"/>
    </xf>
    <xf numFmtId="2" fontId="7" fillId="4" borderId="7" xfId="2" applyNumberFormat="1" applyFont="1" applyFill="1" applyBorder="1" applyAlignment="1">
      <alignment horizontal="center"/>
    </xf>
    <xf numFmtId="10" fontId="7" fillId="4" borderId="7" xfId="2" applyNumberFormat="1" applyFont="1" applyFill="1" applyBorder="1" applyAlignment="1">
      <alignment horizontal="center"/>
    </xf>
    <xf numFmtId="0" fontId="7" fillId="5" borderId="0" xfId="0" applyFont="1" applyFill="1"/>
    <xf numFmtId="9" fontId="7" fillId="5" borderId="0" xfId="2" applyFont="1" applyFill="1" applyAlignment="1"/>
    <xf numFmtId="9" fontId="7" fillId="3" borderId="0" xfId="2" applyFont="1" applyFill="1" applyBorder="1" applyAlignment="1"/>
    <xf numFmtId="165" fontId="7" fillId="4" borderId="0" xfId="3" applyFont="1" applyFill="1" applyBorder="1" applyAlignment="1">
      <alignment horizontal="center"/>
    </xf>
    <xf numFmtId="0" fontId="7" fillId="4" borderId="0" xfId="2" applyNumberFormat="1" applyFont="1" applyFill="1" applyBorder="1" applyAlignment="1">
      <alignment horizontal="center"/>
    </xf>
    <xf numFmtId="10" fontId="2" fillId="0" borderId="0" xfId="2" applyNumberFormat="1" applyFont="1"/>
    <xf numFmtId="9" fontId="7" fillId="5" borderId="0" xfId="2" applyFont="1" applyFill="1" applyAlignment="1">
      <alignment horizontal="center"/>
    </xf>
    <xf numFmtId="9" fontId="7" fillId="5" borderId="0" xfId="0" applyNumberFormat="1" applyFont="1" applyFill="1" applyAlignment="1">
      <alignment horizontal="center"/>
    </xf>
    <xf numFmtId="0" fontId="7" fillId="4" borderId="12" xfId="2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9" fontId="7" fillId="4" borderId="14" xfId="2" applyFont="1" applyFill="1" applyBorder="1" applyAlignment="1">
      <alignment horizontal="center"/>
    </xf>
    <xf numFmtId="164" fontId="4" fillId="4" borderId="24" xfId="0" applyNumberFormat="1" applyFont="1" applyFill="1" applyBorder="1" applyAlignment="1">
      <alignment horizontal="center"/>
    </xf>
    <xf numFmtId="0" fontId="6" fillId="4" borderId="0" xfId="2" applyNumberFormat="1" applyFont="1" applyFill="1" applyBorder="1" applyAlignment="1">
      <alignment horizontal="center"/>
    </xf>
    <xf numFmtId="2" fontId="6" fillId="4" borderId="0" xfId="2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 wrapText="1"/>
    </xf>
    <xf numFmtId="169" fontId="6" fillId="3" borderId="0" xfId="0" applyNumberFormat="1" applyFont="1" applyFill="1" applyAlignment="1">
      <alignment horizontal="center"/>
    </xf>
    <xf numFmtId="169" fontId="4" fillId="3" borderId="3" xfId="0" applyNumberFormat="1" applyFont="1" applyFill="1" applyBorder="1" applyAlignment="1">
      <alignment horizontal="center"/>
    </xf>
    <xf numFmtId="169" fontId="7" fillId="3" borderId="0" xfId="0" applyNumberFormat="1" applyFont="1" applyFill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9" fontId="7" fillId="4" borderId="0" xfId="2" applyNumberFormat="1" applyFont="1" applyFill="1" applyBorder="1" applyAlignment="1">
      <alignment horizontal="center"/>
    </xf>
    <xf numFmtId="169" fontId="4" fillId="4" borderId="22" xfId="0" applyNumberFormat="1" applyFont="1" applyFill="1" applyBorder="1" applyAlignment="1">
      <alignment horizontal="center"/>
    </xf>
    <xf numFmtId="169" fontId="4" fillId="3" borderId="0" xfId="0" applyNumberFormat="1" applyFont="1" applyFill="1" applyAlignment="1">
      <alignment horizontal="center"/>
    </xf>
    <xf numFmtId="169" fontId="0" fillId="0" borderId="0" xfId="0" applyNumberFormat="1"/>
    <xf numFmtId="9" fontId="0" fillId="5" borderId="0" xfId="2" applyFont="1" applyFill="1"/>
    <xf numFmtId="9" fontId="0" fillId="5" borderId="0" xfId="2" applyFont="1" applyFill="1" applyAlignment="1">
      <alignment horizontal="center"/>
    </xf>
    <xf numFmtId="166" fontId="6" fillId="3" borderId="0" xfId="1" applyFont="1" applyFill="1" applyBorder="1" applyAlignment="1">
      <alignment horizontal="center"/>
    </xf>
    <xf numFmtId="0" fontId="2" fillId="4" borderId="20" xfId="0" applyFont="1" applyFill="1" applyBorder="1"/>
    <xf numFmtId="164" fontId="7" fillId="4" borderId="25" xfId="0" applyNumberFormat="1" applyFont="1" applyFill="1" applyBorder="1" applyAlignment="1">
      <alignment horizontal="center"/>
    </xf>
    <xf numFmtId="166" fontId="2" fillId="0" borderId="14" xfId="1" applyFont="1" applyBorder="1"/>
    <xf numFmtId="0" fontId="0" fillId="0" borderId="14" xfId="0" applyBorder="1"/>
    <xf numFmtId="9" fontId="2" fillId="0" borderId="0" xfId="2" applyFont="1" applyFill="1"/>
    <xf numFmtId="0" fontId="2" fillId="0" borderId="14" xfId="0" applyFont="1" applyBorder="1"/>
    <xf numFmtId="170" fontId="6" fillId="3" borderId="0" xfId="1" applyNumberFormat="1" applyFont="1" applyFill="1" applyBorder="1" applyAlignment="1">
      <alignment horizontal="center"/>
    </xf>
    <xf numFmtId="170" fontId="6" fillId="3" borderId="12" xfId="1" applyNumberFormat="1" applyFont="1" applyFill="1" applyBorder="1" applyAlignment="1">
      <alignment horizontal="center"/>
    </xf>
    <xf numFmtId="9" fontId="6" fillId="3" borderId="0" xfId="2" applyFont="1" applyFill="1" applyAlignment="1">
      <alignment horizontal="center"/>
    </xf>
    <xf numFmtId="164" fontId="5" fillId="3" borderId="2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0" fontId="7" fillId="3" borderId="6" xfId="0" applyNumberFormat="1" applyFont="1" applyFill="1" applyBorder="1" applyAlignment="1">
      <alignment horizontal="center"/>
    </xf>
    <xf numFmtId="166" fontId="7" fillId="3" borderId="6" xfId="0" applyNumberFormat="1" applyFont="1" applyFill="1" applyBorder="1" applyAlignment="1">
      <alignment horizontal="center"/>
    </xf>
    <xf numFmtId="0" fontId="2" fillId="3" borderId="20" xfId="0" applyFont="1" applyFill="1" applyBorder="1"/>
    <xf numFmtId="166" fontId="6" fillId="3" borderId="14" xfId="0" applyNumberFormat="1" applyFont="1" applyFill="1" applyBorder="1" applyAlignment="1">
      <alignment horizontal="center"/>
    </xf>
    <xf numFmtId="166" fontId="7" fillId="3" borderId="21" xfId="0" applyNumberFormat="1" applyFont="1" applyFill="1" applyBorder="1" applyAlignment="1">
      <alignment horizontal="center"/>
    </xf>
    <xf numFmtId="166" fontId="6" fillId="3" borderId="22" xfId="0" applyNumberFormat="1" applyFont="1" applyFill="1" applyBorder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2" fillId="6" borderId="1" xfId="0" applyFont="1" applyFill="1" applyBorder="1"/>
    <xf numFmtId="0" fontId="3" fillId="6" borderId="2" xfId="0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2" fillId="6" borderId="5" xfId="0" applyFont="1" applyFill="1" applyBorder="1"/>
    <xf numFmtId="0" fontId="3" fillId="6" borderId="6" xfId="0" applyFont="1" applyFill="1" applyBorder="1" applyAlignment="1">
      <alignment horizontal="center"/>
    </xf>
    <xf numFmtId="167" fontId="6" fillId="6" borderId="0" xfId="0" applyNumberFormat="1" applyFont="1" applyFill="1" applyAlignment="1">
      <alignment horizontal="center"/>
    </xf>
    <xf numFmtId="166" fontId="6" fillId="6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9" fontId="2" fillId="6" borderId="5" xfId="2" applyFont="1" applyFill="1" applyBorder="1"/>
    <xf numFmtId="9" fontId="6" fillId="6" borderId="0" xfId="2" applyFont="1" applyFill="1" applyBorder="1" applyAlignment="1">
      <alignment horizontal="center"/>
    </xf>
    <xf numFmtId="166" fontId="6" fillId="6" borderId="0" xfId="1" applyFont="1" applyFill="1" applyBorder="1" applyAlignment="1">
      <alignment horizontal="center"/>
    </xf>
    <xf numFmtId="0" fontId="2" fillId="6" borderId="8" xfId="0" applyFont="1" applyFill="1" applyBorder="1"/>
    <xf numFmtId="0" fontId="3" fillId="6" borderId="9" xfId="0" applyFont="1" applyFill="1" applyBorder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166" fontId="7" fillId="4" borderId="27" xfId="0" applyNumberFormat="1" applyFont="1" applyFill="1" applyBorder="1" applyAlignment="1">
      <alignment horizontal="center"/>
    </xf>
    <xf numFmtId="164" fontId="7" fillId="4" borderId="27" xfId="0" applyNumberFormat="1" applyFont="1" applyFill="1" applyBorder="1" applyAlignment="1">
      <alignment horizontal="center"/>
    </xf>
    <xf numFmtId="9" fontId="7" fillId="4" borderId="29" xfId="2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10" fontId="7" fillId="6" borderId="27" xfId="0" applyNumberFormat="1" applyFont="1" applyFill="1" applyBorder="1" applyAlignment="1">
      <alignment horizontal="center"/>
    </xf>
    <xf numFmtId="166" fontId="7" fillId="6" borderId="27" xfId="0" applyNumberFormat="1" applyFont="1" applyFill="1" applyBorder="1" applyAlignment="1">
      <alignment horizontal="center"/>
    </xf>
    <xf numFmtId="164" fontId="7" fillId="6" borderId="27" xfId="0" applyNumberFormat="1" applyFont="1" applyFill="1" applyBorder="1" applyAlignment="1">
      <alignment horizontal="center"/>
    </xf>
    <xf numFmtId="9" fontId="7" fillId="6" borderId="27" xfId="2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9" fontId="7" fillId="4" borderId="27" xfId="2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64" fontId="7" fillId="4" borderId="30" xfId="0" applyNumberFormat="1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center"/>
    </xf>
    <xf numFmtId="9" fontId="7" fillId="4" borderId="30" xfId="2" applyFont="1" applyFill="1" applyBorder="1" applyAlignment="1">
      <alignment horizontal="center"/>
    </xf>
    <xf numFmtId="164" fontId="4" fillId="4" borderId="27" xfId="0" applyNumberFormat="1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9" fontId="7" fillId="6" borderId="30" xfId="2" applyFont="1" applyFill="1" applyBorder="1" applyAlignment="1">
      <alignment horizontal="center"/>
    </xf>
    <xf numFmtId="169" fontId="2" fillId="4" borderId="27" xfId="1" applyNumberFormat="1" applyFont="1" applyFill="1" applyBorder="1"/>
    <xf numFmtId="10" fontId="2" fillId="4" borderId="27" xfId="2" applyNumberFormat="1" applyFont="1" applyFill="1" applyBorder="1"/>
    <xf numFmtId="166" fontId="2" fillId="4" borderId="27" xfId="1" applyFont="1" applyFill="1" applyBorder="1"/>
    <xf numFmtId="166" fontId="6" fillId="4" borderId="0" xfId="1" applyFont="1" applyFill="1" applyBorder="1" applyAlignment="1">
      <alignment horizontal="center"/>
    </xf>
    <xf numFmtId="166" fontId="6" fillId="4" borderId="0" xfId="1" applyFont="1" applyFill="1" applyBorder="1" applyAlignment="1">
      <alignment horizontal="center" wrapText="1"/>
    </xf>
    <xf numFmtId="169" fontId="2" fillId="6" borderId="27" xfId="1" applyNumberFormat="1" applyFont="1" applyFill="1" applyBorder="1"/>
    <xf numFmtId="10" fontId="2" fillId="6" borderId="27" xfId="2" applyNumberFormat="1" applyFont="1" applyFill="1" applyBorder="1"/>
    <xf numFmtId="166" fontId="2" fillId="6" borderId="27" xfId="1" applyFont="1" applyFill="1" applyBorder="1"/>
    <xf numFmtId="164" fontId="5" fillId="4" borderId="0" xfId="0" applyNumberFormat="1" applyFont="1" applyFill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2" fillId="4" borderId="1" xfId="0" applyFont="1" applyFill="1" applyBorder="1"/>
    <xf numFmtId="9" fontId="6" fillId="4" borderId="14" xfId="2" applyFont="1" applyFill="1" applyBorder="1" applyAlignment="1">
      <alignment horizontal="center"/>
    </xf>
    <xf numFmtId="0" fontId="2" fillId="4" borderId="0" xfId="0" applyFont="1" applyFill="1"/>
    <xf numFmtId="169" fontId="2" fillId="4" borderId="26" xfId="1" applyNumberFormat="1" applyFont="1" applyFill="1" applyBorder="1"/>
    <xf numFmtId="0" fontId="2" fillId="6" borderId="20" xfId="0" applyFont="1" applyFill="1" applyBorder="1"/>
    <xf numFmtId="0" fontId="3" fillId="6" borderId="21" xfId="0" applyFont="1" applyFill="1" applyBorder="1" applyAlignment="1">
      <alignment horizontal="center"/>
    </xf>
    <xf numFmtId="166" fontId="6" fillId="6" borderId="22" xfId="0" applyNumberFormat="1" applyFont="1" applyFill="1" applyBorder="1" applyAlignment="1">
      <alignment horizontal="center"/>
    </xf>
    <xf numFmtId="164" fontId="4" fillId="6" borderId="26" xfId="0" applyNumberFormat="1" applyFont="1" applyFill="1" applyBorder="1" applyAlignment="1">
      <alignment horizontal="center"/>
    </xf>
    <xf numFmtId="169" fontId="2" fillId="6" borderId="2" xfId="1" applyNumberFormat="1" applyFont="1" applyFill="1" applyBorder="1"/>
    <xf numFmtId="10" fontId="2" fillId="6" borderId="6" xfId="2" applyNumberFormat="1" applyFont="1" applyFill="1" applyBorder="1"/>
    <xf numFmtId="166" fontId="2" fillId="6" borderId="6" xfId="1" applyFont="1" applyFill="1" applyBorder="1"/>
    <xf numFmtId="3" fontId="2" fillId="6" borderId="20" xfId="0" applyNumberFormat="1" applyFont="1" applyFill="1" applyBorder="1" applyAlignment="1">
      <alignment horizontal="right"/>
    </xf>
    <xf numFmtId="3" fontId="3" fillId="6" borderId="21" xfId="0" applyNumberFormat="1" applyFont="1" applyFill="1" applyBorder="1" applyAlignment="1">
      <alignment horizontal="right"/>
    </xf>
    <xf numFmtId="3" fontId="6" fillId="6" borderId="14" xfId="0" applyNumberFormat="1" applyFont="1" applyFill="1" applyBorder="1" applyAlignment="1">
      <alignment horizontal="right"/>
    </xf>
    <xf numFmtId="3" fontId="7" fillId="6" borderId="30" xfId="0" applyNumberFormat="1" applyFont="1" applyFill="1" applyBorder="1" applyAlignment="1">
      <alignment horizontal="right"/>
    </xf>
    <xf numFmtId="169" fontId="2" fillId="6" borderId="21" xfId="1" applyNumberFormat="1" applyFont="1" applyFill="1" applyBorder="1"/>
    <xf numFmtId="169" fontId="2" fillId="6" borderId="26" xfId="1" applyNumberFormat="1" applyFont="1" applyFill="1" applyBorder="1"/>
    <xf numFmtId="169" fontId="2" fillId="6" borderId="30" xfId="1" applyNumberFormat="1" applyFont="1" applyFill="1" applyBorder="1"/>
    <xf numFmtId="9" fontId="2" fillId="6" borderId="20" xfId="2" applyFont="1" applyFill="1" applyBorder="1"/>
    <xf numFmtId="9" fontId="6" fillId="6" borderId="14" xfId="2" applyFont="1" applyFill="1" applyBorder="1" applyAlignment="1">
      <alignment horizontal="center"/>
    </xf>
    <xf numFmtId="166" fontId="7" fillId="6" borderId="30" xfId="1" applyFont="1" applyFill="1" applyBorder="1" applyAlignment="1">
      <alignment horizontal="center"/>
    </xf>
    <xf numFmtId="164" fontId="6" fillId="4" borderId="14" xfId="0" applyNumberFormat="1" applyFont="1" applyFill="1" applyBorder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2" fillId="6" borderId="0" xfId="0" applyFont="1" applyFill="1"/>
    <xf numFmtId="9" fontId="6" fillId="4" borderId="0" xfId="2" applyFont="1" applyFill="1" applyAlignment="1">
      <alignment horizontal="center"/>
    </xf>
    <xf numFmtId="170" fontId="6" fillId="4" borderId="0" xfId="1" applyNumberFormat="1" applyFont="1" applyFill="1" applyBorder="1" applyAlignment="1">
      <alignment horizontal="center"/>
    </xf>
    <xf numFmtId="166" fontId="2" fillId="4" borderId="30" xfId="1" applyFont="1" applyFill="1" applyBorder="1"/>
    <xf numFmtId="164" fontId="5" fillId="6" borderId="22" xfId="0" applyNumberFormat="1" applyFont="1" applyFill="1" applyBorder="1" applyAlignment="1">
      <alignment horizontal="center"/>
    </xf>
    <xf numFmtId="9" fontId="3" fillId="6" borderId="21" xfId="2" applyFont="1" applyFill="1" applyBorder="1" applyAlignment="1">
      <alignment horizontal="center"/>
    </xf>
    <xf numFmtId="166" fontId="2" fillId="6" borderId="30" xfId="1" applyFont="1" applyFill="1" applyBorder="1"/>
    <xf numFmtId="9" fontId="7" fillId="6" borderId="14" xfId="2" applyFont="1" applyFill="1" applyBorder="1"/>
    <xf numFmtId="9" fontId="7" fillId="6" borderId="30" xfId="0" applyNumberFormat="1" applyFont="1" applyFill="1" applyBorder="1" applyAlignment="1">
      <alignment horizontal="center"/>
    </xf>
    <xf numFmtId="9" fontId="2" fillId="6" borderId="1" xfId="2" applyFont="1" applyFill="1" applyBorder="1"/>
    <xf numFmtId="9" fontId="7" fillId="4" borderId="27" xfId="0" applyNumberFormat="1" applyFont="1" applyFill="1" applyBorder="1" applyAlignment="1">
      <alignment horizontal="center"/>
    </xf>
    <xf numFmtId="166" fontId="2" fillId="4" borderId="26" xfId="1" applyFont="1" applyFill="1" applyBorder="1"/>
    <xf numFmtId="0" fontId="2" fillId="4" borderId="0" xfId="0" applyFont="1" applyFill="1" applyAlignment="1">
      <alignment horizontal="center"/>
    </xf>
    <xf numFmtId="9" fontId="2" fillId="4" borderId="0" xfId="2" applyFont="1" applyFill="1"/>
    <xf numFmtId="3" fontId="2" fillId="4" borderId="0" xfId="0" applyNumberFormat="1" applyFont="1" applyFill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5" fillId="4" borderId="0" xfId="0" applyFont="1" applyFill="1" applyAlignment="1">
      <alignment horizontal="center" wrapText="1"/>
    </xf>
    <xf numFmtId="0" fontId="2" fillId="4" borderId="30" xfId="0" applyFont="1" applyFill="1" applyBorder="1" applyAlignment="1">
      <alignment horizontal="center"/>
    </xf>
    <xf numFmtId="164" fontId="2" fillId="4" borderId="31" xfId="0" applyNumberFormat="1" applyFont="1" applyFill="1" applyBorder="1" applyAlignment="1">
      <alignment horizontal="center"/>
    </xf>
    <xf numFmtId="166" fontId="2" fillId="4" borderId="0" xfId="1" applyFont="1" applyFill="1" applyAlignment="1">
      <alignment horizontal="center" wrapText="1"/>
    </xf>
    <xf numFmtId="165" fontId="2" fillId="4" borderId="0" xfId="3" applyFont="1" applyFill="1" applyAlignment="1">
      <alignment horizontal="center"/>
    </xf>
    <xf numFmtId="10" fontId="2" fillId="4" borderId="0" xfId="2" applyNumberFormat="1" applyFont="1" applyFill="1"/>
    <xf numFmtId="3" fontId="0" fillId="4" borderId="0" xfId="0" applyNumberFormat="1" applyFill="1" applyAlignment="1">
      <alignment horizontal="right"/>
    </xf>
    <xf numFmtId="0" fontId="0" fillId="4" borderId="14" xfId="0" applyFill="1" applyBorder="1"/>
    <xf numFmtId="164" fontId="4" fillId="4" borderId="28" xfId="0" applyNumberFormat="1" applyFont="1" applyFill="1" applyBorder="1" applyAlignment="1">
      <alignment horizontal="center"/>
    </xf>
    <xf numFmtId="166" fontId="0" fillId="4" borderId="0" xfId="1" applyFont="1" applyFill="1"/>
    <xf numFmtId="166" fontId="0" fillId="4" borderId="0" xfId="0" applyNumberFormat="1" applyFill="1"/>
    <xf numFmtId="164" fontId="6" fillId="6" borderId="22" xfId="0" applyNumberFormat="1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/>
    </xf>
    <xf numFmtId="164" fontId="0" fillId="4" borderId="0" xfId="0" applyNumberFormat="1" applyFill="1"/>
    <xf numFmtId="3" fontId="2" fillId="6" borderId="5" xfId="0" applyNumberFormat="1" applyFont="1" applyFill="1" applyBorder="1" applyAlignment="1">
      <alignment horizontal="right"/>
    </xf>
    <xf numFmtId="3" fontId="3" fillId="6" borderId="6" xfId="0" applyNumberFormat="1" applyFont="1" applyFill="1" applyBorder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7" fillId="6" borderId="27" xfId="0" applyNumberFormat="1" applyFont="1" applyFill="1" applyBorder="1" applyAlignment="1">
      <alignment horizontal="right"/>
    </xf>
    <xf numFmtId="0" fontId="9" fillId="7" borderId="32" xfId="0" applyFont="1" applyFill="1" applyBorder="1" applyAlignment="1">
      <alignment vertical="center"/>
    </xf>
    <xf numFmtId="0" fontId="9" fillId="0" borderId="30" xfId="0" applyFont="1" applyBorder="1" applyAlignment="1">
      <alignment vertical="center"/>
    </xf>
    <xf numFmtId="38" fontId="0" fillId="0" borderId="0" xfId="0" applyNumberFormat="1"/>
    <xf numFmtId="38" fontId="9" fillId="7" borderId="32" xfId="0" applyNumberFormat="1" applyFont="1" applyFill="1" applyBorder="1" applyAlignment="1">
      <alignment vertical="center"/>
    </xf>
    <xf numFmtId="38" fontId="9" fillId="7" borderId="33" xfId="0" applyNumberFormat="1" applyFont="1" applyFill="1" applyBorder="1" applyAlignment="1">
      <alignment vertical="center"/>
    </xf>
    <xf numFmtId="38" fontId="9" fillId="7" borderId="34" xfId="0" applyNumberFormat="1" applyFont="1" applyFill="1" applyBorder="1" applyAlignment="1">
      <alignment vertical="center"/>
    </xf>
    <xf numFmtId="38" fontId="9" fillId="0" borderId="21" xfId="0" applyNumberFormat="1" applyFont="1" applyBorder="1" applyAlignment="1">
      <alignment vertical="center"/>
    </xf>
    <xf numFmtId="38" fontId="9" fillId="0" borderId="14" xfId="0" applyNumberFormat="1" applyFont="1" applyBorder="1" applyAlignment="1">
      <alignment vertical="center"/>
    </xf>
    <xf numFmtId="38" fontId="9" fillId="0" borderId="30" xfId="0" applyNumberFormat="1" applyFont="1" applyBorder="1" applyAlignment="1">
      <alignment horizontal="right" vertical="center"/>
    </xf>
    <xf numFmtId="169" fontId="0" fillId="0" borderId="0" xfId="1" applyNumberFormat="1" applyFont="1"/>
    <xf numFmtId="169" fontId="9" fillId="7" borderId="33" xfId="1" applyNumberFormat="1" applyFont="1" applyFill="1" applyBorder="1" applyAlignment="1">
      <alignment vertical="center"/>
    </xf>
    <xf numFmtId="169" fontId="9" fillId="7" borderId="34" xfId="1" applyNumberFormat="1" applyFont="1" applyFill="1" applyBorder="1" applyAlignment="1">
      <alignment vertical="center"/>
    </xf>
    <xf numFmtId="169" fontId="9" fillId="0" borderId="21" xfId="1" applyNumberFormat="1" applyFont="1" applyBorder="1" applyAlignment="1">
      <alignment vertical="center"/>
    </xf>
    <xf numFmtId="169" fontId="9" fillId="0" borderId="14" xfId="1" applyNumberFormat="1" applyFont="1" applyBorder="1" applyAlignment="1">
      <alignment vertical="center"/>
    </xf>
    <xf numFmtId="166" fontId="0" fillId="0" borderId="0" xfId="1" applyFont="1"/>
    <xf numFmtId="169" fontId="6" fillId="6" borderId="22" xfId="0" applyNumberFormat="1" applyFon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right"/>
    </xf>
    <xf numFmtId="166" fontId="2" fillId="4" borderId="26" xfId="1" applyFont="1" applyFill="1" applyBorder="1" applyAlignment="1">
      <alignment horizontal="right"/>
    </xf>
    <xf numFmtId="0" fontId="2" fillId="4" borderId="27" xfId="0" applyFont="1" applyFill="1" applyBorder="1" applyAlignment="1">
      <alignment horizontal="right"/>
    </xf>
    <xf numFmtId="166" fontId="2" fillId="4" borderId="27" xfId="1" applyFont="1" applyFill="1" applyBorder="1" applyAlignment="1">
      <alignment horizontal="right"/>
    </xf>
    <xf numFmtId="169" fontId="2" fillId="4" borderId="26" xfId="1" applyNumberFormat="1" applyFont="1" applyFill="1" applyBorder="1" applyAlignment="1">
      <alignment horizontal="right"/>
    </xf>
    <xf numFmtId="10" fontId="7" fillId="4" borderId="27" xfId="0" applyNumberFormat="1" applyFont="1" applyFill="1" applyBorder="1" applyAlignment="1">
      <alignment horizontal="right"/>
    </xf>
    <xf numFmtId="10" fontId="2" fillId="4" borderId="27" xfId="2" applyNumberFormat="1" applyFont="1" applyFill="1" applyBorder="1" applyAlignment="1">
      <alignment horizontal="right"/>
    </xf>
    <xf numFmtId="166" fontId="7" fillId="4" borderId="27" xfId="0" applyNumberFormat="1" applyFont="1" applyFill="1" applyBorder="1" applyAlignment="1">
      <alignment horizontal="right"/>
    </xf>
    <xf numFmtId="164" fontId="7" fillId="4" borderId="27" xfId="0" applyNumberFormat="1" applyFont="1" applyFill="1" applyBorder="1" applyAlignment="1">
      <alignment horizontal="right"/>
    </xf>
    <xf numFmtId="169" fontId="2" fillId="4" borderId="27" xfId="1" applyNumberFormat="1" applyFont="1" applyFill="1" applyBorder="1" applyAlignment="1">
      <alignment horizontal="right"/>
    </xf>
    <xf numFmtId="9" fontId="7" fillId="4" borderId="30" xfId="2" applyFont="1" applyFill="1" applyBorder="1" applyAlignment="1">
      <alignment horizontal="right"/>
    </xf>
    <xf numFmtId="166" fontId="2" fillId="4" borderId="30" xfId="1" applyFont="1" applyFill="1" applyBorder="1" applyAlignment="1">
      <alignment horizontal="right"/>
    </xf>
    <xf numFmtId="0" fontId="4" fillId="6" borderId="26" xfId="0" applyFont="1" applyFill="1" applyBorder="1" applyAlignment="1">
      <alignment horizontal="right"/>
    </xf>
    <xf numFmtId="169" fontId="2" fillId="6" borderId="26" xfId="1" applyNumberFormat="1" applyFont="1" applyFill="1" applyBorder="1" applyAlignment="1">
      <alignment horizontal="right"/>
    </xf>
    <xf numFmtId="10" fontId="7" fillId="6" borderId="27" xfId="0" applyNumberFormat="1" applyFont="1" applyFill="1" applyBorder="1" applyAlignment="1">
      <alignment horizontal="right"/>
    </xf>
    <xf numFmtId="10" fontId="2" fillId="6" borderId="27" xfId="2" applyNumberFormat="1" applyFont="1" applyFill="1" applyBorder="1" applyAlignment="1">
      <alignment horizontal="right"/>
    </xf>
    <xf numFmtId="166" fontId="7" fillId="6" borderId="27" xfId="0" applyNumberFormat="1" applyFont="1" applyFill="1" applyBorder="1" applyAlignment="1">
      <alignment horizontal="right"/>
    </xf>
    <xf numFmtId="166" fontId="2" fillId="6" borderId="27" xfId="1" applyFont="1" applyFill="1" applyBorder="1" applyAlignment="1">
      <alignment horizontal="right"/>
    </xf>
    <xf numFmtId="164" fontId="7" fillId="6" borderId="27" xfId="0" applyNumberFormat="1" applyFont="1" applyFill="1" applyBorder="1" applyAlignment="1">
      <alignment horizontal="right"/>
    </xf>
    <xf numFmtId="169" fontId="2" fillId="6" borderId="27" xfId="1" applyNumberFormat="1" applyFont="1" applyFill="1" applyBorder="1" applyAlignment="1">
      <alignment horizontal="right"/>
    </xf>
    <xf numFmtId="9" fontId="7" fillId="6" borderId="27" xfId="2" applyFont="1" applyFill="1" applyBorder="1" applyAlignment="1">
      <alignment horizontal="right"/>
    </xf>
    <xf numFmtId="9" fontId="7" fillId="6" borderId="30" xfId="2" applyFont="1" applyFill="1" applyBorder="1" applyAlignment="1">
      <alignment horizontal="right"/>
    </xf>
    <xf numFmtId="166" fontId="2" fillId="6" borderId="30" xfId="1" applyFont="1" applyFill="1" applyBorder="1" applyAlignment="1">
      <alignment horizontal="right"/>
    </xf>
    <xf numFmtId="164" fontId="4" fillId="4" borderId="27" xfId="0" applyNumberFormat="1" applyFont="1" applyFill="1" applyBorder="1" applyAlignment="1">
      <alignment horizontal="right"/>
    </xf>
    <xf numFmtId="0" fontId="4" fillId="6" borderId="28" xfId="0" applyFont="1" applyFill="1" applyBorder="1" applyAlignment="1">
      <alignment horizontal="right"/>
    </xf>
    <xf numFmtId="0" fontId="4" fillId="4" borderId="28" xfId="0" applyFont="1" applyFill="1" applyBorder="1" applyAlignment="1">
      <alignment horizontal="right"/>
    </xf>
    <xf numFmtId="164" fontId="4" fillId="6" borderId="26" xfId="0" applyNumberFormat="1" applyFont="1" applyFill="1" applyBorder="1" applyAlignment="1">
      <alignment horizontal="right"/>
    </xf>
    <xf numFmtId="169" fontId="2" fillId="6" borderId="2" xfId="1" applyNumberFormat="1" applyFont="1" applyFill="1" applyBorder="1" applyAlignment="1">
      <alignment horizontal="right"/>
    </xf>
    <xf numFmtId="10" fontId="2" fillId="6" borderId="6" xfId="2" applyNumberFormat="1" applyFont="1" applyFill="1" applyBorder="1" applyAlignment="1">
      <alignment horizontal="right"/>
    </xf>
    <xf numFmtId="166" fontId="2" fillId="6" borderId="6" xfId="1" applyFont="1" applyFill="1" applyBorder="1" applyAlignment="1">
      <alignment horizontal="right"/>
    </xf>
    <xf numFmtId="169" fontId="2" fillId="6" borderId="21" xfId="1" applyNumberFormat="1" applyFont="1" applyFill="1" applyBorder="1" applyAlignment="1">
      <alignment horizontal="right"/>
    </xf>
    <xf numFmtId="169" fontId="2" fillId="6" borderId="30" xfId="1" applyNumberFormat="1" applyFont="1" applyFill="1" applyBorder="1" applyAlignment="1">
      <alignment horizontal="right"/>
    </xf>
    <xf numFmtId="164" fontId="7" fillId="6" borderId="26" xfId="0" applyNumberFormat="1" applyFont="1" applyFill="1" applyBorder="1" applyAlignment="1">
      <alignment horizontal="right"/>
    </xf>
    <xf numFmtId="164" fontId="7" fillId="6" borderId="30" xfId="0" applyNumberFormat="1" applyFont="1" applyFill="1" applyBorder="1" applyAlignment="1">
      <alignment horizontal="right"/>
    </xf>
    <xf numFmtId="0" fontId="4" fillId="4" borderId="27" xfId="0" applyFont="1" applyFill="1" applyBorder="1" applyAlignment="1">
      <alignment horizontal="right"/>
    </xf>
    <xf numFmtId="164" fontId="7" fillId="4" borderId="30" xfId="0" applyNumberFormat="1" applyFont="1" applyFill="1" applyBorder="1" applyAlignment="1">
      <alignment horizontal="right"/>
    </xf>
    <xf numFmtId="0" fontId="4" fillId="6" borderId="27" xfId="0" applyFont="1" applyFill="1" applyBorder="1" applyAlignment="1">
      <alignment horizontal="right"/>
    </xf>
    <xf numFmtId="164" fontId="4" fillId="4" borderId="28" xfId="0" applyNumberFormat="1" applyFont="1" applyFill="1" applyBorder="1" applyAlignment="1">
      <alignment horizontal="right"/>
    </xf>
    <xf numFmtId="9" fontId="7" fillId="4" borderId="27" xfId="2" applyFont="1" applyFill="1" applyBorder="1" applyAlignment="1">
      <alignment horizontal="right"/>
    </xf>
    <xf numFmtId="0" fontId="4" fillId="4" borderId="26" xfId="0" applyFont="1" applyFill="1" applyBorder="1" applyAlignment="1">
      <alignment horizontal="right"/>
    </xf>
    <xf numFmtId="0" fontId="2" fillId="4" borderId="30" xfId="0" applyFont="1" applyFill="1" applyBorder="1" applyAlignment="1">
      <alignment horizontal="right"/>
    </xf>
    <xf numFmtId="164" fontId="2" fillId="4" borderId="31" xfId="0" applyNumberFormat="1" applyFont="1" applyFill="1" applyBorder="1" applyAlignment="1">
      <alignment horizontal="right"/>
    </xf>
    <xf numFmtId="166" fontId="2" fillId="4" borderId="0" xfId="1" applyFont="1" applyFill="1" applyAlignment="1">
      <alignment horizontal="right" wrapText="1"/>
    </xf>
    <xf numFmtId="165" fontId="2" fillId="4" borderId="0" xfId="3" applyFont="1" applyFill="1" applyAlignment="1">
      <alignment horizontal="right"/>
    </xf>
    <xf numFmtId="10" fontId="2" fillId="4" borderId="0" xfId="2" applyNumberFormat="1" applyFont="1" applyFill="1" applyAlignment="1">
      <alignment horizontal="right"/>
    </xf>
    <xf numFmtId="9" fontId="2" fillId="4" borderId="0" xfId="2" applyFont="1" applyFill="1" applyAlignment="1">
      <alignment horizontal="right"/>
    </xf>
    <xf numFmtId="0" fontId="0" fillId="4" borderId="0" xfId="0" applyFill="1" applyAlignment="1">
      <alignment horizontal="right"/>
    </xf>
    <xf numFmtId="0" fontId="2" fillId="6" borderId="35" xfId="0" applyFont="1" applyFill="1" applyBorder="1"/>
    <xf numFmtId="0" fontId="0" fillId="2" borderId="0" xfId="0" applyFill="1"/>
    <xf numFmtId="164" fontId="12" fillId="6" borderId="3" xfId="0" applyNumberFormat="1" applyFont="1" applyFill="1" applyBorder="1" applyAlignment="1">
      <alignment horizontal="center"/>
    </xf>
    <xf numFmtId="0" fontId="13" fillId="0" borderId="0" xfId="0" applyFont="1"/>
    <xf numFmtId="1" fontId="2" fillId="0" borderId="0" xfId="0" applyNumberFormat="1" applyFont="1"/>
    <xf numFmtId="0" fontId="3" fillId="4" borderId="0" xfId="0" applyFont="1" applyFill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3" fontId="3" fillId="6" borderId="21" xfId="0" applyNumberFormat="1" applyFont="1" applyFill="1" applyBorder="1" applyAlignment="1">
      <alignment horizontal="left"/>
    </xf>
    <xf numFmtId="0" fontId="3" fillId="6" borderId="21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9" fontId="3" fillId="4" borderId="15" xfId="2" applyFont="1" applyFill="1" applyBorder="1" applyAlignment="1">
      <alignment horizontal="center"/>
    </xf>
    <xf numFmtId="9" fontId="3" fillId="4" borderId="16" xfId="2" applyFont="1" applyFill="1" applyBorder="1" applyAlignment="1">
      <alignment horizontal="center"/>
    </xf>
    <xf numFmtId="9" fontId="3" fillId="4" borderId="17" xfId="2" applyFont="1" applyFill="1" applyBorder="1" applyAlignment="1">
      <alignment horizontal="center" wrapText="1"/>
    </xf>
    <xf numFmtId="9" fontId="3" fillId="4" borderId="18" xfId="2" applyFont="1" applyFill="1" applyBorder="1" applyAlignment="1">
      <alignment horizontal="center" wrapText="1"/>
    </xf>
    <xf numFmtId="9" fontId="2" fillId="4" borderId="10" xfId="2" applyFont="1" applyFill="1" applyBorder="1" applyAlignment="1">
      <alignment horizontal="right"/>
    </xf>
    <xf numFmtId="9" fontId="2" fillId="4" borderId="11" xfId="2" applyFont="1" applyFill="1" applyBorder="1" applyAlignment="1">
      <alignment horizontal="right"/>
    </xf>
    <xf numFmtId="9" fontId="2" fillId="5" borderId="20" xfId="2" applyFont="1" applyFill="1" applyBorder="1" applyAlignment="1">
      <alignment horizontal="right"/>
    </xf>
    <xf numFmtId="9" fontId="2" fillId="5" borderId="21" xfId="2" applyFont="1" applyFill="1" applyBorder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3"/>
  <sheetViews>
    <sheetView zoomScale="80" zoomScaleNormal="80" workbookViewId="0">
      <pane xSplit="3" ySplit="9" topLeftCell="D81" activePane="bottomRight" state="frozen"/>
      <selection pane="topRight" activeCell="D1" sqref="D1"/>
      <selection pane="bottomLeft" activeCell="A10" sqref="A10"/>
      <selection pane="bottomRight" activeCell="D111" sqref="D111"/>
    </sheetView>
  </sheetViews>
  <sheetFormatPr defaultColWidth="8.88671875" defaultRowHeight="14.4" x14ac:dyDescent="0.3"/>
  <cols>
    <col min="1" max="1" width="8.88671875" style="239"/>
    <col min="2" max="2" width="30.44140625" style="239" bestFit="1" customWidth="1"/>
    <col min="3" max="3" width="16.33203125" style="239" bestFit="1" customWidth="1"/>
    <col min="4" max="33" width="11.6640625" style="239" customWidth="1"/>
    <col min="34" max="34" width="11.33203125" style="239" customWidth="1"/>
    <col min="35" max="35" width="16.44140625" style="322" bestFit="1" customWidth="1"/>
    <col min="36" max="36" width="19.33203125" style="322" bestFit="1" customWidth="1"/>
    <col min="37" max="38" width="12.6640625" style="239" bestFit="1" customWidth="1"/>
    <col min="39" max="16384" width="8.88671875" style="239"/>
  </cols>
  <sheetData>
    <row r="1" spans="1:38" x14ac:dyDescent="0.3">
      <c r="A1" s="1">
        <v>31</v>
      </c>
      <c r="B1" s="203" t="s">
        <v>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76">
        <f>+AI14+AI22+AI30+AI35+AI40+AI45+AI57+AI64+AI69+AI74+AI82+AI87+AI92+AI97+AI102+AI107+AI117+AI112</f>
        <v>5123946.0010000002</v>
      </c>
      <c r="AJ1" s="277">
        <f>+AI1/$A$1</f>
        <v>165288.58067741935</v>
      </c>
      <c r="AK1" s="239">
        <v>31</v>
      </c>
    </row>
    <row r="2" spans="1:38" x14ac:dyDescent="0.3">
      <c r="A2" s="203" t="s">
        <v>1</v>
      </c>
      <c r="B2" s="203"/>
      <c r="C2" s="240"/>
      <c r="D2" s="236" t="s">
        <v>2</v>
      </c>
      <c r="E2" s="236" t="s">
        <v>3</v>
      </c>
      <c r="F2" s="236" t="s">
        <v>4</v>
      </c>
      <c r="G2" s="236" t="s">
        <v>5</v>
      </c>
      <c r="H2" s="236" t="s">
        <v>6</v>
      </c>
      <c r="I2" s="236" t="s">
        <v>7</v>
      </c>
      <c r="J2" s="236" t="s">
        <v>8</v>
      </c>
      <c r="K2" s="236" t="s">
        <v>2</v>
      </c>
      <c r="L2" s="236" t="s">
        <v>3</v>
      </c>
      <c r="M2" s="236" t="s">
        <v>4</v>
      </c>
      <c r="N2" s="236" t="s">
        <v>5</v>
      </c>
      <c r="O2" s="236" t="s">
        <v>6</v>
      </c>
      <c r="P2" s="236" t="s">
        <v>7</v>
      </c>
      <c r="Q2" s="236" t="s">
        <v>8</v>
      </c>
      <c r="R2" s="236" t="s">
        <v>2</v>
      </c>
      <c r="S2" s="236" t="s">
        <v>3</v>
      </c>
      <c r="T2" s="236" t="s">
        <v>4</v>
      </c>
      <c r="U2" s="236" t="s">
        <v>5</v>
      </c>
      <c r="V2" s="236" t="s">
        <v>6</v>
      </c>
      <c r="W2" s="236" t="s">
        <v>7</v>
      </c>
      <c r="X2" s="236" t="s">
        <v>8</v>
      </c>
      <c r="Y2" s="236" t="s">
        <v>2</v>
      </c>
      <c r="Z2" s="236" t="s">
        <v>3</v>
      </c>
      <c r="AA2" s="236" t="s">
        <v>4</v>
      </c>
      <c r="AB2" s="236" t="s">
        <v>5</v>
      </c>
      <c r="AC2" s="236" t="s">
        <v>6</v>
      </c>
      <c r="AD2" s="236" t="s">
        <v>7</v>
      </c>
      <c r="AE2" s="236" t="s">
        <v>8</v>
      </c>
      <c r="AF2" s="236" t="s">
        <v>2</v>
      </c>
      <c r="AG2" s="236" t="s">
        <v>3</v>
      </c>
      <c r="AH2" s="236" t="s">
        <v>4</v>
      </c>
      <c r="AI2" s="278" t="s">
        <v>9</v>
      </c>
      <c r="AJ2" s="279">
        <f>+AJ1*AK1</f>
        <v>5123946.0010000002</v>
      </c>
      <c r="AK2" s="251">
        <f>+AJ2*0.03</f>
        <v>153718.38003</v>
      </c>
      <c r="AL2" s="251"/>
    </row>
    <row r="3" spans="1:38" ht="15" thickBot="1" x14ac:dyDescent="0.35">
      <c r="A3" s="203"/>
      <c r="B3" s="203" t="s">
        <v>10</v>
      </c>
      <c r="C3" s="240" t="s">
        <v>11</v>
      </c>
      <c r="D3" s="242">
        <v>1</v>
      </c>
      <c r="E3" s="242">
        <f>+D3+1</f>
        <v>2</v>
      </c>
      <c r="F3" s="242">
        <f t="shared" ref="F3:AH3" si="0">+E3+1</f>
        <v>3</v>
      </c>
      <c r="G3" s="242">
        <f t="shared" si="0"/>
        <v>4</v>
      </c>
      <c r="H3" s="242">
        <f t="shared" si="0"/>
        <v>5</v>
      </c>
      <c r="I3" s="242">
        <f t="shared" si="0"/>
        <v>6</v>
      </c>
      <c r="J3" s="242">
        <f t="shared" si="0"/>
        <v>7</v>
      </c>
      <c r="K3" s="242">
        <f t="shared" si="0"/>
        <v>8</v>
      </c>
      <c r="L3" s="242">
        <f t="shared" si="0"/>
        <v>9</v>
      </c>
      <c r="M3" s="242">
        <f t="shared" si="0"/>
        <v>10</v>
      </c>
      <c r="N3" s="242">
        <f t="shared" si="0"/>
        <v>11</v>
      </c>
      <c r="O3" s="242">
        <f t="shared" si="0"/>
        <v>12</v>
      </c>
      <c r="P3" s="242">
        <f t="shared" si="0"/>
        <v>13</v>
      </c>
      <c r="Q3" s="242">
        <f t="shared" si="0"/>
        <v>14</v>
      </c>
      <c r="R3" s="242">
        <f t="shared" si="0"/>
        <v>15</v>
      </c>
      <c r="S3" s="242">
        <f t="shared" si="0"/>
        <v>16</v>
      </c>
      <c r="T3" s="242">
        <f t="shared" si="0"/>
        <v>17</v>
      </c>
      <c r="U3" s="242">
        <f t="shared" si="0"/>
        <v>18</v>
      </c>
      <c r="V3" s="242">
        <f t="shared" si="0"/>
        <v>19</v>
      </c>
      <c r="W3" s="242">
        <f t="shared" si="0"/>
        <v>20</v>
      </c>
      <c r="X3" s="242">
        <f t="shared" si="0"/>
        <v>21</v>
      </c>
      <c r="Y3" s="242">
        <f t="shared" si="0"/>
        <v>22</v>
      </c>
      <c r="Z3" s="242">
        <f t="shared" si="0"/>
        <v>23</v>
      </c>
      <c r="AA3" s="242">
        <f t="shared" si="0"/>
        <v>24</v>
      </c>
      <c r="AB3" s="242">
        <f t="shared" si="0"/>
        <v>25</v>
      </c>
      <c r="AC3" s="242">
        <f t="shared" si="0"/>
        <v>26</v>
      </c>
      <c r="AD3" s="242">
        <f t="shared" si="0"/>
        <v>27</v>
      </c>
      <c r="AE3" s="242">
        <f t="shared" si="0"/>
        <v>28</v>
      </c>
      <c r="AF3" s="242">
        <f t="shared" si="0"/>
        <v>29</v>
      </c>
      <c r="AG3" s="242">
        <f t="shared" si="0"/>
        <v>30</v>
      </c>
      <c r="AH3" s="242">
        <f t="shared" si="0"/>
        <v>31</v>
      </c>
      <c r="AI3" s="278" t="s">
        <v>12</v>
      </c>
      <c r="AJ3" s="279" t="s">
        <v>13</v>
      </c>
      <c r="AK3" s="252"/>
      <c r="AL3" s="252"/>
    </row>
    <row r="4" spans="1:38" ht="15" thickTop="1" x14ac:dyDescent="0.3">
      <c r="A4" s="203">
        <f>+A10+A18+A26+A31+A36+A41+A57+A60+A65+A70+A78+A83+A88+A93+A98+A103+A113+A108</f>
        <v>1979</v>
      </c>
      <c r="B4" s="28" t="s">
        <v>14</v>
      </c>
      <c r="C4" s="29" t="s">
        <v>15</v>
      </c>
      <c r="D4" s="30">
        <f t="shared" ref="D4:AH4" si="1">+D10+D18+D26+D31+D36+D41+D51+D46+D60+D65+D70+D78+D83+D88+D93+D103+D108+D113+D98</f>
        <v>969</v>
      </c>
      <c r="E4" s="30">
        <f t="shared" si="1"/>
        <v>1258</v>
      </c>
      <c r="F4" s="30">
        <f t="shared" si="1"/>
        <v>1306</v>
      </c>
      <c r="G4" s="30">
        <f t="shared" si="1"/>
        <v>1339</v>
      </c>
      <c r="H4" s="30">
        <f t="shared" si="1"/>
        <v>1378</v>
      </c>
      <c r="I4" s="30">
        <f t="shared" si="1"/>
        <v>1394</v>
      </c>
      <c r="J4" s="30">
        <f t="shared" si="1"/>
        <v>1332</v>
      </c>
      <c r="K4" s="30">
        <f t="shared" si="1"/>
        <v>1196</v>
      </c>
      <c r="L4" s="30">
        <f t="shared" si="1"/>
        <v>1442</v>
      </c>
      <c r="M4" s="30">
        <f t="shared" si="1"/>
        <v>1482</v>
      </c>
      <c r="N4" s="30">
        <f t="shared" si="1"/>
        <v>1530</v>
      </c>
      <c r="O4" s="30">
        <f t="shared" si="1"/>
        <v>1466</v>
      </c>
      <c r="P4" s="30">
        <f t="shared" si="1"/>
        <v>1539</v>
      </c>
      <c r="Q4" s="30">
        <f t="shared" si="1"/>
        <v>1557</v>
      </c>
      <c r="R4" s="30">
        <f t="shared" si="1"/>
        <v>1028</v>
      </c>
      <c r="S4" s="30">
        <f t="shared" si="1"/>
        <v>1251</v>
      </c>
      <c r="T4" s="30">
        <f t="shared" si="1"/>
        <v>1343</v>
      </c>
      <c r="U4" s="30">
        <f t="shared" si="1"/>
        <v>1340</v>
      </c>
      <c r="V4" s="30">
        <f t="shared" si="1"/>
        <v>1308</v>
      </c>
      <c r="W4" s="30">
        <f t="shared" si="1"/>
        <v>1543</v>
      </c>
      <c r="X4" s="30">
        <f t="shared" si="1"/>
        <v>1596</v>
      </c>
      <c r="Y4" s="30">
        <f t="shared" si="1"/>
        <v>1261</v>
      </c>
      <c r="Z4" s="30">
        <f t="shared" si="1"/>
        <v>1455</v>
      </c>
      <c r="AA4" s="30">
        <f t="shared" si="1"/>
        <v>1563</v>
      </c>
      <c r="AB4" s="30">
        <f t="shared" si="1"/>
        <v>1392</v>
      </c>
      <c r="AC4" s="30">
        <f t="shared" si="1"/>
        <v>1235</v>
      </c>
      <c r="AD4" s="30">
        <f t="shared" si="1"/>
        <v>1346</v>
      </c>
      <c r="AE4" s="30">
        <f t="shared" si="1"/>
        <v>1559</v>
      </c>
      <c r="AF4" s="30">
        <f t="shared" si="1"/>
        <v>1125</v>
      </c>
      <c r="AG4" s="30">
        <f t="shared" si="1"/>
        <v>818</v>
      </c>
      <c r="AH4" s="30">
        <f t="shared" si="1"/>
        <v>1125</v>
      </c>
      <c r="AI4" s="276">
        <f>SUM(D4:AG4)</f>
        <v>40351</v>
      </c>
      <c r="AJ4" s="280">
        <f>+AI4/$A$1*$AK$1</f>
        <v>40351</v>
      </c>
      <c r="AK4" s="252"/>
      <c r="AL4" s="252"/>
    </row>
    <row r="5" spans="1:38" x14ac:dyDescent="0.3">
      <c r="A5" s="203"/>
      <c r="B5" s="33"/>
      <c r="C5" s="34" t="s">
        <v>16</v>
      </c>
      <c r="D5" s="35">
        <f t="shared" ref="D5:AH5" si="2">+D4/$A$4</f>
        <v>0.48964123294593231</v>
      </c>
      <c r="E5" s="35">
        <f t="shared" si="2"/>
        <v>0.63567458312278924</v>
      </c>
      <c r="F5" s="35">
        <f t="shared" ref="F5:G5" si="3">+F4/$A$4</f>
        <v>0.65992925720060636</v>
      </c>
      <c r="G5" s="35">
        <f t="shared" si="3"/>
        <v>0.67660434562910565</v>
      </c>
      <c r="H5" s="35">
        <f t="shared" ref="H5:I5" si="4">+H4/$A$4</f>
        <v>0.69631126831733203</v>
      </c>
      <c r="I5" s="35">
        <f t="shared" si="4"/>
        <v>0.70439615967660429</v>
      </c>
      <c r="J5" s="35">
        <f t="shared" ref="J5:L5" si="5">+J4/$A$4</f>
        <v>0.67306720565942391</v>
      </c>
      <c r="K5" s="35">
        <f t="shared" si="5"/>
        <v>0.60434562910560885</v>
      </c>
      <c r="L5" s="35">
        <f t="shared" si="5"/>
        <v>0.72865083375442141</v>
      </c>
      <c r="M5" s="35">
        <f t="shared" ref="M5:N5" si="6">+M4/$A$4</f>
        <v>0.74886306215260234</v>
      </c>
      <c r="N5" s="35">
        <f t="shared" si="6"/>
        <v>0.77311773623041935</v>
      </c>
      <c r="O5" s="35">
        <f t="shared" ref="O5:S5" si="7">+O4/$A$4</f>
        <v>0.74077817079332997</v>
      </c>
      <c r="P5" s="35">
        <f t="shared" si="7"/>
        <v>0.77766548762001009</v>
      </c>
      <c r="Q5" s="35">
        <f t="shared" si="7"/>
        <v>0.78676099039919156</v>
      </c>
      <c r="R5" s="35">
        <f t="shared" si="7"/>
        <v>0.51945426983324916</v>
      </c>
      <c r="S5" s="35">
        <f t="shared" si="7"/>
        <v>0.6321374431531076</v>
      </c>
      <c r="T5" s="35">
        <f t="shared" ref="T5" si="8">+T4/$A$4</f>
        <v>0.67862556846892375</v>
      </c>
      <c r="U5" s="35">
        <f t="shared" si="2"/>
        <v>0.67710965133906009</v>
      </c>
      <c r="V5" s="35">
        <f t="shared" si="2"/>
        <v>0.66093986862051546</v>
      </c>
      <c r="W5" s="35">
        <f t="shared" si="2"/>
        <v>0.77968671045982818</v>
      </c>
      <c r="X5" s="35">
        <f t="shared" si="2"/>
        <v>0.80646791308741794</v>
      </c>
      <c r="Y5" s="35">
        <f t="shared" si="2"/>
        <v>0.63719050025265289</v>
      </c>
      <c r="Z5" s="35">
        <f t="shared" si="2"/>
        <v>0.73521980798383024</v>
      </c>
      <c r="AA5" s="35">
        <f t="shared" si="2"/>
        <v>0.78979282465891865</v>
      </c>
      <c r="AB5" s="35">
        <f t="shared" si="2"/>
        <v>0.7033855482566953</v>
      </c>
      <c r="AC5" s="35">
        <f t="shared" si="2"/>
        <v>0.62405255179383523</v>
      </c>
      <c r="AD5" s="35">
        <f t="shared" si="2"/>
        <v>0.68014148559878729</v>
      </c>
      <c r="AE5" s="35">
        <f t="shared" si="2"/>
        <v>0.78777160181910055</v>
      </c>
      <c r="AF5" s="35">
        <f t="shared" si="2"/>
        <v>0.56846892369883784</v>
      </c>
      <c r="AG5" s="35">
        <f t="shared" si="2"/>
        <v>0.41334007074279938</v>
      </c>
      <c r="AH5" s="35">
        <f t="shared" si="2"/>
        <v>0.56846892369883784</v>
      </c>
      <c r="AI5" s="281">
        <f>AI4/(A4*A$1)</f>
        <v>0.65772873233467544</v>
      </c>
      <c r="AJ5" s="282">
        <f>+AJ4/(A4*AK1)</f>
        <v>0.65772873233467544</v>
      </c>
      <c r="AK5" s="252"/>
    </row>
    <row r="6" spans="1:38" x14ac:dyDescent="0.3">
      <c r="A6" s="203"/>
      <c r="B6" s="33"/>
      <c r="C6" s="34" t="s">
        <v>17</v>
      </c>
      <c r="D6" s="37">
        <f t="shared" ref="D6:AH6" si="9">+IFERROR(D8/D4,0)</f>
        <v>112.45332301341588</v>
      </c>
      <c r="E6" s="37">
        <f t="shared" si="9"/>
        <v>117.51705882352941</v>
      </c>
      <c r="F6" s="37">
        <f t="shared" ref="F6:G6" si="10">+IFERROR(F8/F4,0)</f>
        <v>121.72176110260337</v>
      </c>
      <c r="G6" s="37">
        <f t="shared" si="10"/>
        <v>122.11709559372666</v>
      </c>
      <c r="H6" s="37">
        <f t="shared" ref="H6:I6" si="11">+IFERROR(H8/H4,0)</f>
        <v>125.52543541364295</v>
      </c>
      <c r="I6" s="37">
        <f t="shared" si="11"/>
        <v>121.11862984218077</v>
      </c>
      <c r="J6" s="37">
        <f t="shared" ref="J6:L6" si="12">+IFERROR(J8/J4,0)</f>
        <v>117.78585585585586</v>
      </c>
      <c r="K6" s="37">
        <f t="shared" si="12"/>
        <v>106.57699832775921</v>
      </c>
      <c r="L6" s="37">
        <f t="shared" si="12"/>
        <v>124.72950762829404</v>
      </c>
      <c r="M6" s="37">
        <f t="shared" ref="M6:N6" si="13">+IFERROR(M8/M4,0)</f>
        <v>133.14834682860996</v>
      </c>
      <c r="N6" s="37">
        <f t="shared" si="13"/>
        <v>126.13140522875818</v>
      </c>
      <c r="O6" s="37">
        <f t="shared" ref="O6:S6" si="14">+IFERROR(O8/O4,0)</f>
        <v>148.97066166439291</v>
      </c>
      <c r="P6" s="37">
        <f t="shared" si="14"/>
        <v>145.05953216374269</v>
      </c>
      <c r="Q6" s="37">
        <f t="shared" si="14"/>
        <v>131.93876043673728</v>
      </c>
      <c r="R6" s="37">
        <f t="shared" si="14"/>
        <v>108.42039883268484</v>
      </c>
      <c r="S6" s="37">
        <f t="shared" si="14"/>
        <v>114.11565947242207</v>
      </c>
      <c r="T6" s="37">
        <f t="shared" ref="T6:W6" si="15">+IFERROR(T8/T4,0)</f>
        <v>125.63481757259866</v>
      </c>
      <c r="U6" s="37">
        <f>+IFERROR(U8/U4,0)</f>
        <v>118.61904477611942</v>
      </c>
      <c r="V6" s="37">
        <f t="shared" si="15"/>
        <v>117.32601681957183</v>
      </c>
      <c r="W6" s="37">
        <f t="shared" si="15"/>
        <v>128.36624108878806</v>
      </c>
      <c r="X6" s="37">
        <f t="shared" si="9"/>
        <v>129.51337092731831</v>
      </c>
      <c r="Y6" s="37">
        <f t="shared" si="9"/>
        <v>120.97503568596349</v>
      </c>
      <c r="Z6" s="37">
        <f t="shared" si="9"/>
        <v>135.61463230240548</v>
      </c>
      <c r="AA6" s="37">
        <f t="shared" si="9"/>
        <v>136.75256557901471</v>
      </c>
      <c r="AB6" s="37">
        <f t="shared" si="9"/>
        <v>123.96314655172412</v>
      </c>
      <c r="AC6" s="37">
        <f t="shared" si="9"/>
        <v>125.7111012145749</v>
      </c>
      <c r="AD6" s="37">
        <f t="shared" si="9"/>
        <v>125.03442050520059</v>
      </c>
      <c r="AE6" s="37">
        <f t="shared" si="9"/>
        <v>133.99602950609366</v>
      </c>
      <c r="AF6" s="37">
        <f t="shared" si="9"/>
        <v>112.37385777777777</v>
      </c>
      <c r="AG6" s="37">
        <f t="shared" si="9"/>
        <v>112.98711491442545</v>
      </c>
      <c r="AH6" s="37">
        <f t="shared" si="9"/>
        <v>143.13764444444442</v>
      </c>
      <c r="AI6" s="283">
        <f>AI8/AI4</f>
        <v>125.15874478947238</v>
      </c>
      <c r="AJ6" s="279">
        <f>+AJ8/AJ4</f>
        <v>125.15874478947238</v>
      </c>
    </row>
    <row r="7" spans="1:38" x14ac:dyDescent="0.3">
      <c r="A7" s="203"/>
      <c r="B7" s="33"/>
      <c r="C7" s="34" t="s">
        <v>18</v>
      </c>
      <c r="D7" s="37">
        <f t="shared" ref="D7:AH7" si="16">+IFERROR(D6*D5,0)</f>
        <v>55.06178372915614</v>
      </c>
      <c r="E7" s="37">
        <f t="shared" si="16"/>
        <v>74.702607377463352</v>
      </c>
      <c r="F7" s="37">
        <f t="shared" ref="F7:G7" si="17">+IFERROR(F6*F5,0)</f>
        <v>80.327751389590702</v>
      </c>
      <c r="G7" s="37">
        <f t="shared" si="17"/>
        <v>82.624957554320375</v>
      </c>
      <c r="H7" s="37">
        <f t="shared" ref="H7:I7" si="18">+IFERROR(H6*H5,0)</f>
        <v>87.404775138959067</v>
      </c>
      <c r="I7" s="37">
        <f t="shared" si="18"/>
        <v>85.315497726124292</v>
      </c>
      <c r="J7" s="37">
        <f t="shared" ref="J7:L7" si="19">+IFERROR(J6*J5,0)</f>
        <v>79.277796867104598</v>
      </c>
      <c r="K7" s="37">
        <f t="shared" si="19"/>
        <v>64.409343102577068</v>
      </c>
      <c r="L7" s="37">
        <f t="shared" si="19"/>
        <v>90.884259727134918</v>
      </c>
      <c r="M7" s="37">
        <f t="shared" ref="M7:N7" si="20">+IFERROR(M6*M5,0)</f>
        <v>99.709878726629597</v>
      </c>
      <c r="N7" s="37">
        <f t="shared" si="20"/>
        <v>97.514426478019203</v>
      </c>
      <c r="O7" s="37">
        <f t="shared" ref="O7:S7" si="21">+IFERROR(O6*O5,0)</f>
        <v>110.35421424962102</v>
      </c>
      <c r="P7" s="37">
        <f t="shared" si="21"/>
        <v>112.80779181404749</v>
      </c>
      <c r="Q7" s="37">
        <f t="shared" si="21"/>
        <v>103.80426983324909</v>
      </c>
      <c r="R7" s="37">
        <f t="shared" si="21"/>
        <v>56.319439110661961</v>
      </c>
      <c r="S7" s="37">
        <f t="shared" si="21"/>
        <v>72.136781202627589</v>
      </c>
      <c r="T7" s="37">
        <f t="shared" ref="T7" si="22">+IFERROR(T6*T5,0)</f>
        <v>85.258999494694294</v>
      </c>
      <c r="U7" s="37">
        <f t="shared" si="16"/>
        <v>80.318100050530575</v>
      </c>
      <c r="V7" s="37">
        <f t="shared" si="16"/>
        <v>77.545442142496199</v>
      </c>
      <c r="W7" s="37">
        <f t="shared" si="16"/>
        <v>100.08545224861039</v>
      </c>
      <c r="X7" s="37">
        <f t="shared" si="16"/>
        <v>104.44837796867107</v>
      </c>
      <c r="Y7" s="37">
        <f t="shared" si="16"/>
        <v>77.084143506821619</v>
      </c>
      <c r="Z7" s="37">
        <f t="shared" si="16"/>
        <v>99.706563921172304</v>
      </c>
      <c r="AA7" s="37">
        <f t="shared" si="16"/>
        <v>108.00619504800405</v>
      </c>
      <c r="AB7" s="37">
        <f t="shared" si="16"/>
        <v>87.193885800909541</v>
      </c>
      <c r="AC7" s="37">
        <f t="shared" si="16"/>
        <v>78.450333501768569</v>
      </c>
      <c r="AD7" s="37">
        <f t="shared" si="16"/>
        <v>85.041096513390599</v>
      </c>
      <c r="AE7" s="37">
        <f t="shared" si="16"/>
        <v>105.55826680141486</v>
      </c>
      <c r="AF7" s="37">
        <f t="shared" si="16"/>
        <v>63.881045982819607</v>
      </c>
      <c r="AG7" s="37">
        <f t="shared" si="16"/>
        <v>46.702102071753416</v>
      </c>
      <c r="AH7" s="37">
        <f t="shared" si="16"/>
        <v>81.369302678120249</v>
      </c>
      <c r="AI7" s="283">
        <f>AI6*AI5</f>
        <v>82.32050255097883</v>
      </c>
      <c r="AJ7" s="279">
        <f>+AJ5*AJ6</f>
        <v>82.32050255097883</v>
      </c>
    </row>
    <row r="8" spans="1:38" ht="15" thickBot="1" x14ac:dyDescent="0.35">
      <c r="A8" s="203"/>
      <c r="B8" s="33"/>
      <c r="C8" s="34" t="s">
        <v>19</v>
      </c>
      <c r="D8" s="158">
        <f t="shared" ref="D8:AH8" si="23">+D22+D35+D40+D45+D30+D59+D64+D69+D74+D82+D87+D92+D97+D102+D107+D112+D117+D14</f>
        <v>108967.26999999999</v>
      </c>
      <c r="E8" s="158">
        <f t="shared" si="23"/>
        <v>147836.46</v>
      </c>
      <c r="F8" s="158">
        <f t="shared" si="23"/>
        <v>158968.62</v>
      </c>
      <c r="G8" s="158">
        <f t="shared" si="23"/>
        <v>163514.791</v>
      </c>
      <c r="H8" s="158">
        <f t="shared" si="23"/>
        <v>172974.05</v>
      </c>
      <c r="I8" s="158">
        <f t="shared" si="23"/>
        <v>168839.37</v>
      </c>
      <c r="J8" s="158">
        <f t="shared" si="23"/>
        <v>156890.76</v>
      </c>
      <c r="K8" s="158">
        <f t="shared" si="23"/>
        <v>127466.09000000001</v>
      </c>
      <c r="L8" s="158">
        <f t="shared" si="23"/>
        <v>179859.95</v>
      </c>
      <c r="M8" s="158">
        <f t="shared" si="23"/>
        <v>197325.84999999998</v>
      </c>
      <c r="N8" s="158">
        <f t="shared" si="23"/>
        <v>192981.05000000002</v>
      </c>
      <c r="O8" s="158">
        <f t="shared" si="23"/>
        <v>218390.99000000002</v>
      </c>
      <c r="P8" s="158">
        <f t="shared" si="23"/>
        <v>223246.62</v>
      </c>
      <c r="Q8" s="158">
        <f t="shared" si="23"/>
        <v>205428.64999999997</v>
      </c>
      <c r="R8" s="158">
        <f t="shared" si="23"/>
        <v>111456.17000000001</v>
      </c>
      <c r="S8" s="158">
        <f t="shared" si="23"/>
        <v>142758.69</v>
      </c>
      <c r="T8" s="158">
        <f t="shared" si="23"/>
        <v>168727.56</v>
      </c>
      <c r="U8" s="158">
        <f t="shared" si="23"/>
        <v>158949.52000000002</v>
      </c>
      <c r="V8" s="158">
        <f t="shared" si="23"/>
        <v>153462.42999999996</v>
      </c>
      <c r="W8" s="158">
        <f t="shared" si="23"/>
        <v>198069.10999999996</v>
      </c>
      <c r="X8" s="158">
        <f t="shared" si="23"/>
        <v>206703.34</v>
      </c>
      <c r="Y8" s="158">
        <f t="shared" si="23"/>
        <v>152549.51999999996</v>
      </c>
      <c r="Z8" s="158">
        <f t="shared" si="23"/>
        <v>197319.28999999998</v>
      </c>
      <c r="AA8" s="158">
        <f t="shared" si="23"/>
        <v>213744.26</v>
      </c>
      <c r="AB8" s="158">
        <f t="shared" si="23"/>
        <v>172556.69999999998</v>
      </c>
      <c r="AC8" s="158">
        <f t="shared" si="23"/>
        <v>155253.21</v>
      </c>
      <c r="AD8" s="158">
        <f t="shared" si="23"/>
        <v>168296.33</v>
      </c>
      <c r="AE8" s="158">
        <f t="shared" si="23"/>
        <v>208899.81000000003</v>
      </c>
      <c r="AF8" s="158">
        <f t="shared" si="23"/>
        <v>126420.59</v>
      </c>
      <c r="AG8" s="158">
        <f t="shared" si="23"/>
        <v>92423.460000000021</v>
      </c>
      <c r="AH8" s="158">
        <f t="shared" si="23"/>
        <v>161029.84999999998</v>
      </c>
      <c r="AI8" s="284">
        <f>SUM(D8:AG8)</f>
        <v>5050280.5109999999</v>
      </c>
      <c r="AJ8" s="285">
        <f>+AI8/A1*AK1</f>
        <v>5050280.5109999999</v>
      </c>
    </row>
    <row r="9" spans="1:38" ht="15" hidden="1" thickBot="1" x14ac:dyDescent="0.35">
      <c r="A9" s="237"/>
      <c r="B9" s="48"/>
      <c r="C9" s="41" t="s">
        <v>20</v>
      </c>
      <c r="D9" s="49">
        <f>IFERROR(AVERAGE(#REF!,#REF!,#REF!,#REF!,#REF!,#REF!,#REF!,#REF!,#REF!,#REF!,#REF!,#REF!,#REF!,#REF!,#REF!,#REF!,#REF!),0)</f>
        <v>0</v>
      </c>
      <c r="E9" s="49">
        <f>IFERROR(AVERAGE(#REF!,#REF!,#REF!,#REF!,#REF!,#REF!,#REF!,#REF!,#REF!,#REF!,#REF!,#REF!,#REF!,#REF!,#REF!,#REF!,#REF!),0)</f>
        <v>0</v>
      </c>
      <c r="F9" s="49">
        <f>IFERROR(AVERAGE(#REF!,#REF!,#REF!,#REF!,#REF!,#REF!,#REF!,#REF!,#REF!,#REF!,#REF!,#REF!,#REF!,#REF!,#REF!,#REF!,#REF!),0)</f>
        <v>0</v>
      </c>
      <c r="G9" s="49">
        <f>IFERROR(AVERAGE(#REF!,#REF!,#REF!,#REF!,#REF!,#REF!,#REF!,#REF!,#REF!,#REF!,#REF!,#REF!,#REF!,#REF!,#REF!,#REF!,#REF!),0)</f>
        <v>0</v>
      </c>
      <c r="H9" s="49">
        <f>IFERROR(AVERAGE(#REF!,#REF!,#REF!,#REF!,#REF!,#REF!,#REF!,#REF!,#REF!,#REF!,#REF!,#REF!,#REF!,#REF!,#REF!,#REF!,#REF!),0)</f>
        <v>0</v>
      </c>
      <c r="I9" s="49">
        <f>IFERROR(AVERAGE(#REF!,#REF!,#REF!,#REF!,#REF!,#REF!,#REF!,#REF!,#REF!,#REF!,#REF!,#REF!,#REF!,#REF!,#REF!,#REF!,#REF!),0)</f>
        <v>0</v>
      </c>
      <c r="J9" s="49">
        <f>IFERROR(AVERAGE(#REF!,#REF!,#REF!,#REF!,#REF!,#REF!,#REF!,#REF!,#REF!,#REF!,#REF!,#REF!,#REF!,#REF!,#REF!,#REF!,#REF!),0)</f>
        <v>0</v>
      </c>
      <c r="K9" s="49">
        <f>IFERROR(AVERAGE(#REF!,#REF!,#REF!,#REF!,#REF!,#REF!,#REF!,#REF!,#REF!,#REF!,#REF!,#REF!,#REF!,#REF!,#REF!,#REF!,#REF!),0)</f>
        <v>0</v>
      </c>
      <c r="L9" s="49">
        <f>IFERROR(AVERAGE(#REF!,#REF!,#REF!,#REF!,#REF!,#REF!,#REF!,#REF!,#REF!,#REF!,#REF!,#REF!,#REF!,#REF!,#REF!,#REF!,#REF!),0)</f>
        <v>0</v>
      </c>
      <c r="M9" s="49">
        <f>IFERROR(AVERAGE(#REF!,#REF!,#REF!,#REF!,#REF!,#REF!,#REF!,#REF!,#REF!,#REF!,#REF!,#REF!,#REF!,#REF!,#REF!,#REF!,#REF!),0)</f>
        <v>0</v>
      </c>
      <c r="N9" s="49">
        <f>IFERROR(AVERAGE(#REF!,#REF!,#REF!,#REF!,#REF!,#REF!,#REF!,#REF!,#REF!,#REF!,#REF!,#REF!,#REF!,#REF!,#REF!,#REF!,#REF!),0)</f>
        <v>0</v>
      </c>
      <c r="O9" s="49">
        <f>IFERROR(AVERAGE(#REF!,#REF!,#REF!,#REF!,#REF!,#REF!,#REF!,#REF!,#REF!,#REF!,#REF!,#REF!,#REF!,#REF!,#REF!,#REF!,#REF!),0)</f>
        <v>0</v>
      </c>
      <c r="P9" s="49">
        <f>IFERROR(AVERAGE(#REF!,#REF!,#REF!,#REF!,#REF!,#REF!,#REF!,#REF!,#REF!,#REF!,#REF!,#REF!,#REF!,#REF!,#REF!,#REF!,#REF!),0)</f>
        <v>0</v>
      </c>
      <c r="Q9" s="49">
        <f>IFERROR(AVERAGE(#REF!,#REF!,#REF!,#REF!,#REF!,#REF!,#REF!,#REF!,#REF!,#REF!,#REF!,#REF!,#REF!,#REF!,#REF!,#REF!,#REF!),0)</f>
        <v>0</v>
      </c>
      <c r="R9" s="49">
        <f>IFERROR(AVERAGE(#REF!,#REF!,#REF!,#REF!,#REF!,#REF!,#REF!,#REF!,#REF!,#REF!,#REF!,#REF!,#REF!,#REF!,#REF!,#REF!,#REF!),0)</f>
        <v>0</v>
      </c>
      <c r="S9" s="49">
        <f>IFERROR(AVERAGE(#REF!,#REF!,#REF!,#REF!,#REF!,#REF!,#REF!,#REF!,#REF!,#REF!,#REF!,#REF!,#REF!,#REF!,#REF!,#REF!,#REF!),0)</f>
        <v>0</v>
      </c>
      <c r="T9" s="49">
        <f>IFERROR(AVERAGE(#REF!,#REF!,#REF!,#REF!,#REF!,#REF!,#REF!,#REF!,#REF!,#REF!,#REF!,#REF!,#REF!,#REF!,#REF!,#REF!,#REF!),0)</f>
        <v>0</v>
      </c>
      <c r="U9" s="49">
        <f>IFERROR(AVERAGE(#REF!,#REF!,#REF!,#REF!,#REF!,#REF!,#REF!,#REF!,#REF!,#REF!,#REF!,#REF!,#REF!,#REF!,#REF!,#REF!,#REF!),0)</f>
        <v>0</v>
      </c>
      <c r="V9" s="49">
        <f>IFERROR(AVERAGE(#REF!,#REF!,#REF!,#REF!,#REF!,#REF!,#REF!,#REF!,#REF!,#REF!,#REF!,#REF!,#REF!,#REF!,#REF!,#REF!,#REF!),0)</f>
        <v>0</v>
      </c>
      <c r="W9" s="49">
        <f>IFERROR(AVERAGE(#REF!,#REF!,#REF!,#REF!,#REF!,#REF!,#REF!,#REF!,#REF!,#REF!,#REF!,#REF!,#REF!,#REF!,#REF!,#REF!,#REF!),0)</f>
        <v>0</v>
      </c>
      <c r="X9" s="49">
        <f>IFERROR(AVERAGE(#REF!,#REF!,#REF!,#REF!,#REF!,#REF!,#REF!,#REF!,#REF!,#REF!,#REF!,#REF!,#REF!,#REF!,#REF!,#REF!,#REF!),0)</f>
        <v>0</v>
      </c>
      <c r="Y9" s="49">
        <f>IFERROR(AVERAGE(#REF!,#REF!,#REF!,#REF!,#REF!,#REF!,#REF!,#REF!,#REF!,#REF!,#REF!,#REF!,#REF!,#REF!,#REF!,#REF!,#REF!),0)</f>
        <v>0</v>
      </c>
      <c r="Z9" s="49">
        <f>IFERROR(AVERAGE(#REF!,#REF!,#REF!,#REF!,#REF!,#REF!,#REF!,#REF!,#REF!,#REF!,#REF!,#REF!,#REF!,#REF!,#REF!,#REF!,#REF!),0)</f>
        <v>0</v>
      </c>
      <c r="AA9" s="49">
        <f>IFERROR(AVERAGE(#REF!,#REF!,#REF!,#REF!,#REF!,#REF!,#REF!,#REF!,#REF!,#REF!,#REF!,#REF!,#REF!,#REF!,#REF!,#REF!,#REF!),0)</f>
        <v>0</v>
      </c>
      <c r="AB9" s="49">
        <f>IFERROR(AVERAGE(#REF!,#REF!,#REF!,#REF!,#REF!,#REF!,#REF!,#REF!,#REF!,#REF!,#REF!,#REF!,#REF!,#REF!,#REF!,#REF!,#REF!),0)</f>
        <v>0</v>
      </c>
      <c r="AC9" s="49">
        <f>IFERROR(AVERAGE(#REF!,#REF!,#REF!,#REF!,#REF!,#REF!,#REF!,#REF!,#REF!,#REF!,#REF!,#REF!,#REF!,#REF!,#REF!,#REF!,#REF!),0)</f>
        <v>0</v>
      </c>
      <c r="AD9" s="49"/>
      <c r="AE9" s="49"/>
      <c r="AF9" s="49"/>
      <c r="AG9" s="49"/>
      <c r="AH9" s="49"/>
      <c r="AI9" s="286">
        <f>AVERAGE(D9:AE9)</f>
        <v>0</v>
      </c>
      <c r="AJ9" s="287"/>
    </row>
    <row r="10" spans="1:38" ht="15" thickTop="1" x14ac:dyDescent="0.3">
      <c r="A10" s="203">
        <v>103</v>
      </c>
      <c r="B10" s="159" t="s">
        <v>21</v>
      </c>
      <c r="C10" s="160" t="s">
        <v>15</v>
      </c>
      <c r="D10" s="161">
        <v>57</v>
      </c>
      <c r="E10" s="161">
        <v>91</v>
      </c>
      <c r="F10" s="161">
        <v>94</v>
      </c>
      <c r="G10" s="161">
        <v>101</v>
      </c>
      <c r="H10" s="161">
        <v>94</v>
      </c>
      <c r="I10" s="161">
        <v>88</v>
      </c>
      <c r="J10" s="161">
        <v>90</v>
      </c>
      <c r="K10" s="161">
        <v>83</v>
      </c>
      <c r="L10" s="161">
        <v>97</v>
      </c>
      <c r="M10" s="161">
        <v>94</v>
      </c>
      <c r="N10" s="161">
        <v>95</v>
      </c>
      <c r="O10" s="161">
        <v>94</v>
      </c>
      <c r="P10" s="161">
        <v>88</v>
      </c>
      <c r="Q10" s="161">
        <v>70</v>
      </c>
      <c r="R10" s="161">
        <v>76</v>
      </c>
      <c r="S10" s="161">
        <v>99</v>
      </c>
      <c r="T10" s="161">
        <v>99</v>
      </c>
      <c r="U10" s="161">
        <v>98</v>
      </c>
      <c r="V10" s="161">
        <v>91</v>
      </c>
      <c r="W10" s="161">
        <v>84</v>
      </c>
      <c r="X10" s="161">
        <v>92</v>
      </c>
      <c r="Y10" s="161">
        <v>89</v>
      </c>
      <c r="Z10" s="161">
        <v>103</v>
      </c>
      <c r="AA10" s="161">
        <v>99</v>
      </c>
      <c r="AB10" s="161">
        <v>96</v>
      </c>
      <c r="AC10" s="161">
        <v>78</v>
      </c>
      <c r="AD10" s="161">
        <v>80</v>
      </c>
      <c r="AE10" s="161">
        <v>99</v>
      </c>
      <c r="AF10" s="161">
        <v>83</v>
      </c>
      <c r="AG10" s="161">
        <v>79</v>
      </c>
      <c r="AH10" s="161">
        <v>92</v>
      </c>
      <c r="AI10" s="288">
        <f>SUM(D10:AH10)</f>
        <v>2773</v>
      </c>
      <c r="AJ10" s="289">
        <f>+$AI10/$A$1*$AK$1</f>
        <v>2773</v>
      </c>
    </row>
    <row r="11" spans="1:38" x14ac:dyDescent="0.3">
      <c r="A11" s="203"/>
      <c r="B11" s="162"/>
      <c r="C11" s="163" t="s">
        <v>16</v>
      </c>
      <c r="D11" s="164">
        <f>+D10/$A10</f>
        <v>0.55339805825242716</v>
      </c>
      <c r="E11" s="164">
        <f t="shared" ref="E11:AH11" si="24">+E10/$A10</f>
        <v>0.88349514563106801</v>
      </c>
      <c r="F11" s="164">
        <f t="shared" si="24"/>
        <v>0.91262135922330101</v>
      </c>
      <c r="G11" s="164">
        <f t="shared" si="24"/>
        <v>0.98058252427184467</v>
      </c>
      <c r="H11" s="164">
        <f t="shared" si="24"/>
        <v>0.91262135922330101</v>
      </c>
      <c r="I11" s="164">
        <f t="shared" si="24"/>
        <v>0.85436893203883491</v>
      </c>
      <c r="J11" s="164">
        <f t="shared" si="24"/>
        <v>0.87378640776699024</v>
      </c>
      <c r="K11" s="164">
        <f t="shared" si="24"/>
        <v>0.80582524271844658</v>
      </c>
      <c r="L11" s="164">
        <f t="shared" si="24"/>
        <v>0.94174757281553401</v>
      </c>
      <c r="M11" s="164">
        <f t="shared" si="24"/>
        <v>0.91262135922330101</v>
      </c>
      <c r="N11" s="164">
        <f t="shared" si="24"/>
        <v>0.92233009708737868</v>
      </c>
      <c r="O11" s="164">
        <f t="shared" si="24"/>
        <v>0.91262135922330101</v>
      </c>
      <c r="P11" s="164">
        <f t="shared" si="24"/>
        <v>0.85436893203883491</v>
      </c>
      <c r="Q11" s="164">
        <f t="shared" si="24"/>
        <v>0.67961165048543692</v>
      </c>
      <c r="R11" s="164">
        <f t="shared" si="24"/>
        <v>0.73786407766990292</v>
      </c>
      <c r="S11" s="164">
        <f t="shared" si="24"/>
        <v>0.96116504854368934</v>
      </c>
      <c r="T11" s="164">
        <f t="shared" si="24"/>
        <v>0.96116504854368934</v>
      </c>
      <c r="U11" s="164">
        <f t="shared" si="24"/>
        <v>0.95145631067961167</v>
      </c>
      <c r="V11" s="164">
        <f t="shared" si="24"/>
        <v>0.88349514563106801</v>
      </c>
      <c r="W11" s="164">
        <f t="shared" si="24"/>
        <v>0.81553398058252424</v>
      </c>
      <c r="X11" s="164">
        <f t="shared" si="24"/>
        <v>0.89320388349514568</v>
      </c>
      <c r="Y11" s="164">
        <f t="shared" si="24"/>
        <v>0.86407766990291257</v>
      </c>
      <c r="Z11" s="164">
        <f t="shared" si="24"/>
        <v>1</v>
      </c>
      <c r="AA11" s="164">
        <f t="shared" si="24"/>
        <v>0.96116504854368934</v>
      </c>
      <c r="AB11" s="164">
        <f t="shared" si="24"/>
        <v>0.93203883495145634</v>
      </c>
      <c r="AC11" s="164">
        <f t="shared" si="24"/>
        <v>0.75728155339805825</v>
      </c>
      <c r="AD11" s="164">
        <f t="shared" si="24"/>
        <v>0.77669902912621358</v>
      </c>
      <c r="AE11" s="164">
        <f t="shared" si="24"/>
        <v>0.96116504854368934</v>
      </c>
      <c r="AF11" s="164">
        <f t="shared" si="24"/>
        <v>0.80582524271844658</v>
      </c>
      <c r="AG11" s="164">
        <f t="shared" si="24"/>
        <v>0.76699029126213591</v>
      </c>
      <c r="AH11" s="164">
        <f t="shared" si="24"/>
        <v>0.89320388349514568</v>
      </c>
      <c r="AI11" s="290">
        <f>+AI10/(A10*A$1)</f>
        <v>0.86846226119636705</v>
      </c>
      <c r="AJ11" s="291">
        <f>AJ10/($A10*AK1)</f>
        <v>0.86846226119636705</v>
      </c>
    </row>
    <row r="12" spans="1:38" x14ac:dyDescent="0.3">
      <c r="A12" s="203"/>
      <c r="B12" s="162"/>
      <c r="C12" s="163" t="s">
        <v>17</v>
      </c>
      <c r="D12" s="165">
        <f t="shared" ref="D12:AH12" si="25">+IFERROR(D14/D10,0)</f>
        <v>117.45456140350876</v>
      </c>
      <c r="E12" s="165">
        <f t="shared" si="25"/>
        <v>134.75934065934067</v>
      </c>
      <c r="F12" s="165">
        <f t="shared" si="25"/>
        <v>124.65117021276595</v>
      </c>
      <c r="G12" s="165">
        <f t="shared" si="25"/>
        <v>130.94743564356438</v>
      </c>
      <c r="H12" s="165">
        <f t="shared" si="25"/>
        <v>129.52617021276595</v>
      </c>
      <c r="I12" s="165">
        <f t="shared" si="25"/>
        <v>133.0209090909091</v>
      </c>
      <c r="J12" s="165">
        <f t="shared" si="25"/>
        <v>127.37833333333333</v>
      </c>
      <c r="K12" s="165">
        <f t="shared" si="25"/>
        <v>112.33915662650602</v>
      </c>
      <c r="L12" s="165">
        <f t="shared" si="25"/>
        <v>116.29670103092784</v>
      </c>
      <c r="M12" s="165">
        <f t="shared" si="25"/>
        <v>117.99765957446809</v>
      </c>
      <c r="N12" s="165">
        <f t="shared" si="25"/>
        <v>128.23557894736842</v>
      </c>
      <c r="O12" s="165">
        <f t="shared" si="25"/>
        <v>128.15297872340426</v>
      </c>
      <c r="P12" s="165">
        <f t="shared" si="25"/>
        <v>129.67738636363637</v>
      </c>
      <c r="Q12" s="165">
        <f t="shared" si="25"/>
        <v>122.80271428571429</v>
      </c>
      <c r="R12" s="165">
        <f t="shared" si="25"/>
        <v>117.12355263157895</v>
      </c>
      <c r="S12" s="165">
        <f t="shared" si="25"/>
        <v>120.36060606060607</v>
      </c>
      <c r="T12" s="165">
        <f t="shared" si="25"/>
        <v>119.18131313131313</v>
      </c>
      <c r="U12" s="165">
        <f t="shared" si="25"/>
        <v>117.30010204081633</v>
      </c>
      <c r="V12" s="165">
        <f t="shared" si="25"/>
        <v>118.89340659340658</v>
      </c>
      <c r="W12" s="165">
        <f t="shared" si="25"/>
        <v>115.27630952380952</v>
      </c>
      <c r="X12" s="165">
        <f t="shared" si="25"/>
        <v>129.2383695652174</v>
      </c>
      <c r="Y12" s="165">
        <f t="shared" si="25"/>
        <v>131.13640449438202</v>
      </c>
      <c r="Z12" s="165">
        <f t="shared" si="25"/>
        <v>131.53611650485436</v>
      </c>
      <c r="AA12" s="165">
        <f t="shared" si="25"/>
        <v>135.11898989898989</v>
      </c>
      <c r="AB12" s="165">
        <f t="shared" si="25"/>
        <v>123.83385416666665</v>
      </c>
      <c r="AC12" s="165">
        <f t="shared" si="25"/>
        <v>117.26384615384616</v>
      </c>
      <c r="AD12" s="165">
        <f t="shared" si="25"/>
        <v>126.41912500000001</v>
      </c>
      <c r="AE12" s="165">
        <f t="shared" si="25"/>
        <v>133.57444444444445</v>
      </c>
      <c r="AF12" s="165">
        <f t="shared" si="25"/>
        <v>124.68385542168674</v>
      </c>
      <c r="AG12" s="165">
        <f t="shared" si="25"/>
        <v>113.6067088607595</v>
      </c>
      <c r="AH12" s="165">
        <f t="shared" si="25"/>
        <v>122.19891304347826</v>
      </c>
      <c r="AI12" s="292">
        <f>+IFERROR(AI14/AI10,0)</f>
        <v>124.4924561846376</v>
      </c>
      <c r="AJ12" s="293">
        <f>+AJ14/AJ10</f>
        <v>124.4924561846376</v>
      </c>
    </row>
    <row r="13" spans="1:38" x14ac:dyDescent="0.3">
      <c r="A13" s="203"/>
      <c r="B13" s="162"/>
      <c r="C13" s="163" t="s">
        <v>18</v>
      </c>
      <c r="D13" s="165">
        <f>+D11*D12</f>
        <v>64.99912621359222</v>
      </c>
      <c r="E13" s="165">
        <f t="shared" ref="E13:AH13" si="26">+E11*E12</f>
        <v>119.05922330097088</v>
      </c>
      <c r="F13" s="165">
        <f t="shared" si="26"/>
        <v>113.75932038834951</v>
      </c>
      <c r="G13" s="165">
        <f t="shared" si="26"/>
        <v>128.40476699029128</v>
      </c>
      <c r="H13" s="165">
        <f t="shared" si="26"/>
        <v>118.2083495145631</v>
      </c>
      <c r="I13" s="165">
        <f t="shared" si="26"/>
        <v>113.64893203883496</v>
      </c>
      <c r="J13" s="165">
        <f t="shared" si="26"/>
        <v>111.3014563106796</v>
      </c>
      <c r="K13" s="165">
        <f t="shared" si="26"/>
        <v>90.525728155339806</v>
      </c>
      <c r="L13" s="165">
        <f t="shared" si="26"/>
        <v>109.52213592233009</v>
      </c>
      <c r="M13" s="165">
        <f t="shared" si="26"/>
        <v>107.68718446601943</v>
      </c>
      <c r="N13" s="165">
        <f t="shared" si="26"/>
        <v>118.27553398058254</v>
      </c>
      <c r="O13" s="165">
        <f t="shared" si="26"/>
        <v>116.95514563106796</v>
      </c>
      <c r="P13" s="165">
        <f t="shared" si="26"/>
        <v>110.79233009708739</v>
      </c>
      <c r="Q13" s="165">
        <f t="shared" si="26"/>
        <v>83.458155339805828</v>
      </c>
      <c r="R13" s="165">
        <f t="shared" si="26"/>
        <v>86.421262135922333</v>
      </c>
      <c r="S13" s="165">
        <f t="shared" si="26"/>
        <v>115.6864077669903</v>
      </c>
      <c r="T13" s="165">
        <f t="shared" si="26"/>
        <v>114.55291262135923</v>
      </c>
      <c r="U13" s="165">
        <f t="shared" si="26"/>
        <v>111.60592233009709</v>
      </c>
      <c r="V13" s="165">
        <f t="shared" si="26"/>
        <v>105.04174757281552</v>
      </c>
      <c r="W13" s="165">
        <f t="shared" si="26"/>
        <v>94.011747572815523</v>
      </c>
      <c r="X13" s="165">
        <f t="shared" si="26"/>
        <v>115.43621359223302</v>
      </c>
      <c r="Y13" s="165">
        <f t="shared" si="26"/>
        <v>113.31203883495145</v>
      </c>
      <c r="Z13" s="165">
        <f t="shared" si="26"/>
        <v>131.53611650485436</v>
      </c>
      <c r="AA13" s="165">
        <f t="shared" si="26"/>
        <v>129.8716504854369</v>
      </c>
      <c r="AB13" s="165">
        <f t="shared" si="26"/>
        <v>115.41796116504854</v>
      </c>
      <c r="AC13" s="165">
        <f t="shared" si="26"/>
        <v>88.801747572815543</v>
      </c>
      <c r="AD13" s="165">
        <f t="shared" si="26"/>
        <v>98.189611650485446</v>
      </c>
      <c r="AE13" s="165">
        <f t="shared" si="26"/>
        <v>128.38708737864079</v>
      </c>
      <c r="AF13" s="165">
        <f t="shared" si="26"/>
        <v>100.47339805825243</v>
      </c>
      <c r="AG13" s="165">
        <f t="shared" si="26"/>
        <v>87.135242718446605</v>
      </c>
      <c r="AH13" s="165">
        <f t="shared" si="26"/>
        <v>109.14854368932039</v>
      </c>
      <c r="AI13" s="292">
        <f>+AI12*AI11</f>
        <v>108.11700000000002</v>
      </c>
      <c r="AJ13" s="293">
        <f>+AJ11*AJ12</f>
        <v>108.11700000000002</v>
      </c>
    </row>
    <row r="14" spans="1:38" ht="15" thickBot="1" x14ac:dyDescent="0.35">
      <c r="A14" s="203"/>
      <c r="B14" s="162"/>
      <c r="C14" s="163" t="s">
        <v>19</v>
      </c>
      <c r="D14" s="166">
        <f>6794.91-100</f>
        <v>6694.91</v>
      </c>
      <c r="E14" s="166">
        <v>12263.1</v>
      </c>
      <c r="F14" s="166">
        <v>11717.21</v>
      </c>
      <c r="G14" s="166">
        <v>13225.691000000001</v>
      </c>
      <c r="H14" s="166">
        <v>12175.46</v>
      </c>
      <c r="I14" s="166">
        <v>11705.84</v>
      </c>
      <c r="J14" s="166">
        <v>11464.05</v>
      </c>
      <c r="K14" s="166">
        <v>9324.15</v>
      </c>
      <c r="L14" s="166">
        <v>11280.78</v>
      </c>
      <c r="M14" s="166">
        <v>11091.78</v>
      </c>
      <c r="N14" s="166">
        <v>12182.38</v>
      </c>
      <c r="O14" s="166">
        <v>12046.38</v>
      </c>
      <c r="P14" s="166">
        <v>11411.61</v>
      </c>
      <c r="Q14" s="166">
        <v>8596.19</v>
      </c>
      <c r="R14" s="166">
        <v>8901.39</v>
      </c>
      <c r="S14" s="166">
        <v>11915.7</v>
      </c>
      <c r="T14" s="166">
        <v>11798.95</v>
      </c>
      <c r="U14" s="166">
        <v>11495.41</v>
      </c>
      <c r="V14" s="166">
        <v>10819.3</v>
      </c>
      <c r="W14" s="166">
        <v>9683.2099999999991</v>
      </c>
      <c r="X14" s="166">
        <v>11889.93</v>
      </c>
      <c r="Y14" s="166">
        <v>11671.14</v>
      </c>
      <c r="Z14" s="166">
        <v>13548.22</v>
      </c>
      <c r="AA14" s="166">
        <v>13376.78</v>
      </c>
      <c r="AB14" s="166">
        <v>11888.05</v>
      </c>
      <c r="AC14" s="166">
        <v>9146.58</v>
      </c>
      <c r="AD14" s="166">
        <v>10113.530000000001</v>
      </c>
      <c r="AE14" s="166">
        <v>13223.87</v>
      </c>
      <c r="AF14" s="166">
        <v>10348.76</v>
      </c>
      <c r="AG14" s="166">
        <v>8974.93</v>
      </c>
      <c r="AH14" s="166">
        <v>11242.3</v>
      </c>
      <c r="AI14" s="294">
        <f>SUM(D14:AH14)</f>
        <v>345217.58100000006</v>
      </c>
      <c r="AJ14" s="295">
        <f>+AI14/A1*AK1</f>
        <v>345217.58100000006</v>
      </c>
    </row>
    <row r="15" spans="1:38" ht="15" hidden="1" thickBot="1" x14ac:dyDescent="0.35">
      <c r="A15" s="237"/>
      <c r="B15" s="167"/>
      <c r="C15" s="163" t="s">
        <v>22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296"/>
      <c r="AJ15" s="293"/>
    </row>
    <row r="16" spans="1:38" hidden="1" x14ac:dyDescent="0.3">
      <c r="A16" s="237"/>
      <c r="B16" s="167"/>
      <c r="C16" s="163" t="s">
        <v>23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296"/>
      <c r="AJ16" s="293"/>
    </row>
    <row r="17" spans="1:36" ht="15" hidden="1" thickBot="1" x14ac:dyDescent="0.35">
      <c r="A17" s="237"/>
      <c r="B17" s="167"/>
      <c r="C17" s="163" t="s">
        <v>24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297"/>
      <c r="AJ17" s="298"/>
    </row>
    <row r="18" spans="1:36" ht="15" thickTop="1" x14ac:dyDescent="0.3">
      <c r="A18" s="203">
        <v>118</v>
      </c>
      <c r="B18" s="28" t="s">
        <v>25</v>
      </c>
      <c r="C18" s="29" t="s">
        <v>15</v>
      </c>
      <c r="D18" s="30">
        <v>61</v>
      </c>
      <c r="E18" s="30">
        <v>63</v>
      </c>
      <c r="F18" s="30">
        <v>68</v>
      </c>
      <c r="G18" s="30">
        <v>79</v>
      </c>
      <c r="H18" s="30">
        <v>71</v>
      </c>
      <c r="I18" s="30">
        <v>63</v>
      </c>
      <c r="J18" s="30">
        <v>98</v>
      </c>
      <c r="K18" s="30">
        <v>100</v>
      </c>
      <c r="L18" s="30">
        <v>82</v>
      </c>
      <c r="M18" s="30">
        <v>77</v>
      </c>
      <c r="N18" s="30">
        <v>79</v>
      </c>
      <c r="O18" s="30">
        <v>99</v>
      </c>
      <c r="P18" s="30">
        <v>110</v>
      </c>
      <c r="Q18" s="30">
        <v>107</v>
      </c>
      <c r="R18" s="30">
        <v>53</v>
      </c>
      <c r="S18" s="30">
        <v>73</v>
      </c>
      <c r="T18" s="30">
        <v>85</v>
      </c>
      <c r="U18" s="30">
        <v>94</v>
      </c>
      <c r="V18" s="30">
        <v>78</v>
      </c>
      <c r="W18" s="30">
        <v>113</v>
      </c>
      <c r="X18" s="30">
        <v>111</v>
      </c>
      <c r="Y18" s="30">
        <v>74</v>
      </c>
      <c r="Z18" s="30">
        <v>82</v>
      </c>
      <c r="AA18" s="30">
        <v>93</v>
      </c>
      <c r="AB18" s="30">
        <v>98</v>
      </c>
      <c r="AC18" s="30">
        <v>96</v>
      </c>
      <c r="AD18" s="30">
        <v>110</v>
      </c>
      <c r="AE18" s="30">
        <v>114</v>
      </c>
      <c r="AF18" s="30">
        <v>39</v>
      </c>
      <c r="AG18" s="30">
        <v>73</v>
      </c>
      <c r="AH18" s="30">
        <v>72</v>
      </c>
      <c r="AI18" s="299">
        <f>SUM(D18:AH18)</f>
        <v>2615</v>
      </c>
      <c r="AJ18" s="285">
        <f>+$AI18/$A$1*$AK$1</f>
        <v>2615</v>
      </c>
    </row>
    <row r="19" spans="1:36" x14ac:dyDescent="0.3">
      <c r="A19" s="203"/>
      <c r="B19" s="33"/>
      <c r="C19" s="34" t="s">
        <v>16</v>
      </c>
      <c r="D19" s="35">
        <f>+D18/$A18</f>
        <v>0.51694915254237284</v>
      </c>
      <c r="E19" s="35">
        <f t="shared" ref="E19:AH19" si="27">+E18/$A18</f>
        <v>0.53389830508474578</v>
      </c>
      <c r="F19" s="35">
        <f t="shared" si="27"/>
        <v>0.57627118644067798</v>
      </c>
      <c r="G19" s="35">
        <f t="shared" si="27"/>
        <v>0.66949152542372881</v>
      </c>
      <c r="H19" s="35">
        <f t="shared" si="27"/>
        <v>0.60169491525423724</v>
      </c>
      <c r="I19" s="35">
        <f t="shared" si="27"/>
        <v>0.53389830508474578</v>
      </c>
      <c r="J19" s="35">
        <f t="shared" si="27"/>
        <v>0.83050847457627119</v>
      </c>
      <c r="K19" s="35">
        <f t="shared" si="27"/>
        <v>0.84745762711864403</v>
      </c>
      <c r="L19" s="35">
        <f t="shared" si="27"/>
        <v>0.69491525423728817</v>
      </c>
      <c r="M19" s="35">
        <f t="shared" si="27"/>
        <v>0.65254237288135597</v>
      </c>
      <c r="N19" s="35">
        <f t="shared" si="27"/>
        <v>0.66949152542372881</v>
      </c>
      <c r="O19" s="35">
        <f t="shared" si="27"/>
        <v>0.83898305084745761</v>
      </c>
      <c r="P19" s="35">
        <f t="shared" si="27"/>
        <v>0.93220338983050843</v>
      </c>
      <c r="Q19" s="35">
        <f t="shared" si="27"/>
        <v>0.90677966101694918</v>
      </c>
      <c r="R19" s="35">
        <f t="shared" si="27"/>
        <v>0.44915254237288138</v>
      </c>
      <c r="S19" s="35">
        <f t="shared" si="27"/>
        <v>0.61864406779661019</v>
      </c>
      <c r="T19" s="35">
        <f t="shared" si="27"/>
        <v>0.72033898305084743</v>
      </c>
      <c r="U19" s="35">
        <f t="shared" si="27"/>
        <v>0.79661016949152541</v>
      </c>
      <c r="V19" s="35">
        <f t="shared" si="27"/>
        <v>0.66101694915254239</v>
      </c>
      <c r="W19" s="35">
        <f t="shared" si="27"/>
        <v>0.9576271186440678</v>
      </c>
      <c r="X19" s="35">
        <f t="shared" si="27"/>
        <v>0.94067796610169496</v>
      </c>
      <c r="Y19" s="35">
        <f t="shared" si="27"/>
        <v>0.6271186440677966</v>
      </c>
      <c r="Z19" s="35">
        <f t="shared" si="27"/>
        <v>0.69491525423728817</v>
      </c>
      <c r="AA19" s="35">
        <f t="shared" si="27"/>
        <v>0.78813559322033899</v>
      </c>
      <c r="AB19" s="35">
        <f t="shared" si="27"/>
        <v>0.83050847457627119</v>
      </c>
      <c r="AC19" s="35">
        <f t="shared" si="27"/>
        <v>0.81355932203389836</v>
      </c>
      <c r="AD19" s="35">
        <f t="shared" si="27"/>
        <v>0.93220338983050843</v>
      </c>
      <c r="AE19" s="35">
        <f t="shared" si="27"/>
        <v>0.96610169491525422</v>
      </c>
      <c r="AF19" s="35">
        <f t="shared" si="27"/>
        <v>0.33050847457627119</v>
      </c>
      <c r="AG19" s="35">
        <f t="shared" si="27"/>
        <v>0.61864406779661019</v>
      </c>
      <c r="AH19" s="35">
        <f t="shared" si="27"/>
        <v>0.61016949152542377</v>
      </c>
      <c r="AI19" s="281">
        <f>+AI18/(A18*A$1)</f>
        <v>0.71487151448879172</v>
      </c>
      <c r="AJ19" s="282">
        <f>AJ18/($A18*AK1)</f>
        <v>0.71487151448879172</v>
      </c>
    </row>
    <row r="20" spans="1:36" x14ac:dyDescent="0.3">
      <c r="A20" s="203"/>
      <c r="B20" s="33"/>
      <c r="C20" s="34" t="s">
        <v>17</v>
      </c>
      <c r="D20" s="37">
        <f t="shared" ref="D20:AH20" si="28">+IFERROR(D22/D18,0)</f>
        <v>95.242295081967228</v>
      </c>
      <c r="E20" s="37">
        <f t="shared" si="28"/>
        <v>83.579206349206345</v>
      </c>
      <c r="F20" s="37">
        <f t="shared" si="28"/>
        <v>90.61485294117648</v>
      </c>
      <c r="G20" s="37">
        <f t="shared" si="28"/>
        <v>90.09405063291139</v>
      </c>
      <c r="H20" s="37">
        <f t="shared" si="28"/>
        <v>93.913521126760557</v>
      </c>
      <c r="I20" s="37">
        <f t="shared" si="28"/>
        <v>94.988253968253971</v>
      </c>
      <c r="J20" s="37">
        <f t="shared" si="28"/>
        <v>109.28295918367347</v>
      </c>
      <c r="K20" s="37">
        <f t="shared" si="28"/>
        <v>104.36290000000001</v>
      </c>
      <c r="L20" s="37">
        <f t="shared" si="28"/>
        <v>95.94658536585365</v>
      </c>
      <c r="M20" s="37">
        <f t="shared" si="28"/>
        <v>88.696623376623378</v>
      </c>
      <c r="N20" s="37">
        <f t="shared" si="28"/>
        <v>95.101139240506328</v>
      </c>
      <c r="O20" s="37">
        <f t="shared" si="28"/>
        <v>109.49141414141414</v>
      </c>
      <c r="P20" s="37">
        <f t="shared" si="28"/>
        <v>109.9219090909091</v>
      </c>
      <c r="Q20" s="37">
        <f t="shared" si="28"/>
        <v>113.30401869158879</v>
      </c>
      <c r="R20" s="37">
        <f t="shared" si="28"/>
        <v>98.111886792452836</v>
      </c>
      <c r="S20" s="37">
        <f t="shared" si="28"/>
        <v>97.969589041095887</v>
      </c>
      <c r="T20" s="37">
        <f t="shared" si="28"/>
        <v>88.93341176470588</v>
      </c>
      <c r="U20" s="37">
        <f t="shared" si="28"/>
        <v>90.249787234042543</v>
      </c>
      <c r="V20" s="37">
        <f t="shared" si="28"/>
        <v>92.662179487179486</v>
      </c>
      <c r="W20" s="37">
        <f t="shared" si="28"/>
        <v>117.52902654867258</v>
      </c>
      <c r="X20" s="37">
        <f t="shared" si="28"/>
        <v>109.00243243243244</v>
      </c>
      <c r="Y20" s="37">
        <f t="shared" si="28"/>
        <v>82.696756756756756</v>
      </c>
      <c r="Z20" s="37">
        <f t="shared" si="28"/>
        <v>91.294268292682929</v>
      </c>
      <c r="AA20" s="37">
        <f t="shared" si="28"/>
        <v>93.712258064516121</v>
      </c>
      <c r="AB20" s="37">
        <f t="shared" si="28"/>
        <v>94.40897959183674</v>
      </c>
      <c r="AC20" s="37">
        <f t="shared" si="28"/>
        <v>95.785624999999996</v>
      </c>
      <c r="AD20" s="37">
        <f t="shared" si="28"/>
        <v>86.75363636363636</v>
      </c>
      <c r="AE20" s="37">
        <f t="shared" si="28"/>
        <v>108.02377192982455</v>
      </c>
      <c r="AF20" s="37">
        <f t="shared" si="28"/>
        <v>145.60384615384615</v>
      </c>
      <c r="AG20" s="37">
        <f t="shared" si="28"/>
        <v>89.733150684931516</v>
      </c>
      <c r="AH20" s="37">
        <f t="shared" si="28"/>
        <v>92.88</v>
      </c>
      <c r="AI20" s="283">
        <f>+IFERROR(AI22/AI18,0)</f>
        <v>98.647108986615663</v>
      </c>
      <c r="AJ20" s="279">
        <f>+AJ22/AJ18</f>
        <v>98.647108986615663</v>
      </c>
    </row>
    <row r="21" spans="1:36" x14ac:dyDescent="0.3">
      <c r="A21" s="203"/>
      <c r="B21" s="33"/>
      <c r="C21" s="34" t="s">
        <v>18</v>
      </c>
      <c r="D21" s="37">
        <f>+D19*D20</f>
        <v>49.235423728813565</v>
      </c>
      <c r="E21" s="37">
        <f t="shared" ref="E21:AH21" si="29">+E19*E20</f>
        <v>44.622796610169488</v>
      </c>
      <c r="F21" s="37">
        <f t="shared" si="29"/>
        <v>52.218728813559331</v>
      </c>
      <c r="G21" s="37">
        <f t="shared" si="29"/>
        <v>60.317203389830503</v>
      </c>
      <c r="H21" s="37">
        <f t="shared" si="29"/>
        <v>56.507288135593214</v>
      </c>
      <c r="I21" s="37">
        <f t="shared" si="29"/>
        <v>50.714067796610173</v>
      </c>
      <c r="J21" s="37">
        <f t="shared" si="29"/>
        <v>90.760423728813564</v>
      </c>
      <c r="K21" s="37">
        <f t="shared" si="29"/>
        <v>88.443135593220347</v>
      </c>
      <c r="L21" s="37">
        <f t="shared" si="29"/>
        <v>66.674745762711865</v>
      </c>
      <c r="M21" s="37">
        <f t="shared" si="29"/>
        <v>57.878305084745769</v>
      </c>
      <c r="N21" s="37">
        <f t="shared" si="29"/>
        <v>63.669406779661017</v>
      </c>
      <c r="O21" s="37">
        <f t="shared" si="29"/>
        <v>91.861440677966101</v>
      </c>
      <c r="P21" s="37">
        <f t="shared" si="29"/>
        <v>102.46957627118644</v>
      </c>
      <c r="Q21" s="37">
        <f t="shared" si="29"/>
        <v>102.74177966101696</v>
      </c>
      <c r="R21" s="37">
        <f t="shared" si="29"/>
        <v>44.06720338983051</v>
      </c>
      <c r="S21" s="37">
        <f t="shared" si="29"/>
        <v>60.608305084745766</v>
      </c>
      <c r="T21" s="37">
        <f t="shared" si="29"/>
        <v>64.062203389830501</v>
      </c>
      <c r="U21" s="37">
        <f t="shared" si="29"/>
        <v>71.893898305084733</v>
      </c>
      <c r="V21" s="37">
        <f t="shared" si="29"/>
        <v>61.251271186440675</v>
      </c>
      <c r="W21" s="37">
        <f t="shared" si="29"/>
        <v>112.54898305084747</v>
      </c>
      <c r="X21" s="37">
        <f t="shared" si="29"/>
        <v>102.53618644067798</v>
      </c>
      <c r="Y21" s="37">
        <f t="shared" si="29"/>
        <v>51.860677966101697</v>
      </c>
      <c r="Z21" s="37">
        <f t="shared" si="29"/>
        <v>63.441779661016952</v>
      </c>
      <c r="AA21" s="37">
        <f t="shared" si="29"/>
        <v>73.857966101694913</v>
      </c>
      <c r="AB21" s="37">
        <f t="shared" si="29"/>
        <v>78.407457627118646</v>
      </c>
      <c r="AC21" s="37">
        <f t="shared" si="29"/>
        <v>77.927288135593216</v>
      </c>
      <c r="AD21" s="37">
        <f t="shared" si="29"/>
        <v>80.872033898305077</v>
      </c>
      <c r="AE21" s="37">
        <f t="shared" si="29"/>
        <v>104.36194915254235</v>
      </c>
      <c r="AF21" s="37">
        <f t="shared" si="29"/>
        <v>48.123305084745759</v>
      </c>
      <c r="AG21" s="37">
        <f t="shared" si="29"/>
        <v>55.512881355932208</v>
      </c>
      <c r="AH21" s="37">
        <f t="shared" si="29"/>
        <v>56.67254237288136</v>
      </c>
      <c r="AI21" s="283">
        <f>+AI20*AI19</f>
        <v>70.520008201202828</v>
      </c>
      <c r="AJ21" s="279">
        <f>+AJ19*AJ20</f>
        <v>70.520008201202828</v>
      </c>
    </row>
    <row r="22" spans="1:36" ht="15" thickBot="1" x14ac:dyDescent="0.35">
      <c r="A22" s="203"/>
      <c r="B22" s="33"/>
      <c r="C22" s="34" t="s">
        <v>19</v>
      </c>
      <c r="D22" s="158">
        <f>6287.14-477.36</f>
        <v>5809.7800000000007</v>
      </c>
      <c r="E22" s="158">
        <v>5265.49</v>
      </c>
      <c r="F22" s="158">
        <v>6161.81</v>
      </c>
      <c r="G22" s="158">
        <v>7117.43</v>
      </c>
      <c r="H22" s="158">
        <v>6667.86</v>
      </c>
      <c r="I22" s="158">
        <v>5984.26</v>
      </c>
      <c r="J22" s="158">
        <v>10709.73</v>
      </c>
      <c r="K22" s="158">
        <v>10436.290000000001</v>
      </c>
      <c r="L22" s="158">
        <v>7867.62</v>
      </c>
      <c r="M22" s="158">
        <v>6829.64</v>
      </c>
      <c r="N22" s="158">
        <v>7512.99</v>
      </c>
      <c r="O22" s="158">
        <v>10839.65</v>
      </c>
      <c r="P22" s="158">
        <v>12091.41</v>
      </c>
      <c r="Q22" s="158">
        <v>12123.53</v>
      </c>
      <c r="R22" s="158">
        <v>5199.93</v>
      </c>
      <c r="S22" s="158">
        <v>7151.78</v>
      </c>
      <c r="T22" s="158">
        <v>7559.34</v>
      </c>
      <c r="U22" s="158">
        <v>8483.48</v>
      </c>
      <c r="V22" s="158">
        <v>7227.65</v>
      </c>
      <c r="W22" s="158">
        <v>13280.78</v>
      </c>
      <c r="X22" s="158">
        <v>12099.27</v>
      </c>
      <c r="Y22" s="158">
        <v>6119.56</v>
      </c>
      <c r="Z22" s="158">
        <v>7486.13</v>
      </c>
      <c r="AA22" s="158">
        <v>8715.24</v>
      </c>
      <c r="AB22" s="158">
        <v>9252.08</v>
      </c>
      <c r="AC22" s="158">
        <v>9195.42</v>
      </c>
      <c r="AD22" s="158">
        <v>9542.9</v>
      </c>
      <c r="AE22" s="158">
        <v>12314.71</v>
      </c>
      <c r="AF22" s="158">
        <v>5678.55</v>
      </c>
      <c r="AG22" s="158">
        <v>6550.52</v>
      </c>
      <c r="AH22" s="158">
        <v>6687.36</v>
      </c>
      <c r="AI22" s="284">
        <f>SUM(D22:AH22)</f>
        <v>257962.18999999994</v>
      </c>
      <c r="AJ22" s="285">
        <f>+AI22/$A$1*$AK$1</f>
        <v>257962.18999999994</v>
      </c>
    </row>
    <row r="23" spans="1:36" ht="16.350000000000001" hidden="1" customHeight="1" x14ac:dyDescent="0.3">
      <c r="A23" s="237"/>
      <c r="B23" s="40"/>
      <c r="C23" s="34" t="s">
        <v>22</v>
      </c>
      <c r="D23" s="194"/>
      <c r="E23" s="194"/>
      <c r="F23" s="194"/>
      <c r="G23" s="194"/>
      <c r="H23" s="194"/>
      <c r="I23" s="194"/>
      <c r="J23" s="194"/>
      <c r="K23" s="194"/>
      <c r="L23" s="195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284"/>
      <c r="AJ23" s="279"/>
    </row>
    <row r="24" spans="1:36" ht="16.350000000000001" hidden="1" customHeight="1" x14ac:dyDescent="0.3">
      <c r="A24" s="237"/>
      <c r="B24" s="40"/>
      <c r="C24" s="34" t="s">
        <v>23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284"/>
      <c r="AJ24" s="279"/>
    </row>
    <row r="25" spans="1:36" ht="16.350000000000001" hidden="1" customHeight="1" thickBot="1" x14ac:dyDescent="0.35">
      <c r="A25" s="237"/>
      <c r="B25" s="40"/>
      <c r="C25" s="34" t="s">
        <v>24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284"/>
      <c r="AJ25" s="279"/>
    </row>
    <row r="26" spans="1:36" ht="15" thickTop="1" x14ac:dyDescent="0.3">
      <c r="A26" s="203">
        <v>99</v>
      </c>
      <c r="B26" s="170" t="s">
        <v>26</v>
      </c>
      <c r="C26" s="171" t="s">
        <v>15</v>
      </c>
      <c r="D26" s="161">
        <v>76</v>
      </c>
      <c r="E26" s="161">
        <v>95</v>
      </c>
      <c r="F26" s="161">
        <v>98</v>
      </c>
      <c r="G26" s="161">
        <v>97</v>
      </c>
      <c r="H26" s="161">
        <v>90</v>
      </c>
      <c r="I26" s="161">
        <v>87</v>
      </c>
      <c r="J26" s="161">
        <v>79</v>
      </c>
      <c r="K26" s="161">
        <v>67</v>
      </c>
      <c r="L26" s="161">
        <v>79</v>
      </c>
      <c r="M26" s="161">
        <v>82</v>
      </c>
      <c r="N26" s="161">
        <v>86</v>
      </c>
      <c r="O26" s="161">
        <v>70</v>
      </c>
      <c r="P26" s="161">
        <v>67</v>
      </c>
      <c r="Q26" s="161">
        <v>80</v>
      </c>
      <c r="R26" s="161">
        <v>63</v>
      </c>
      <c r="S26" s="161">
        <v>70</v>
      </c>
      <c r="T26" s="161">
        <v>83</v>
      </c>
      <c r="U26" s="161">
        <v>73</v>
      </c>
      <c r="V26" s="161">
        <v>85</v>
      </c>
      <c r="W26" s="161">
        <v>95</v>
      </c>
      <c r="X26" s="161">
        <v>98</v>
      </c>
      <c r="Y26" s="161">
        <v>89</v>
      </c>
      <c r="Z26" s="161">
        <v>95</v>
      </c>
      <c r="AA26" s="161">
        <v>96</v>
      </c>
      <c r="AB26" s="161">
        <v>91</v>
      </c>
      <c r="AC26" s="161">
        <v>79</v>
      </c>
      <c r="AD26" s="161">
        <v>82</v>
      </c>
      <c r="AE26" s="161">
        <v>99</v>
      </c>
      <c r="AF26" s="161">
        <v>65</v>
      </c>
      <c r="AG26" s="161">
        <v>61</v>
      </c>
      <c r="AH26" s="161">
        <v>90</v>
      </c>
      <c r="AI26" s="300">
        <f>SUM(D26:AH26)</f>
        <v>2567</v>
      </c>
      <c r="AJ26" s="289">
        <f>+$AI26/$A$1*$AK$1</f>
        <v>2567</v>
      </c>
    </row>
    <row r="27" spans="1:36" x14ac:dyDescent="0.3">
      <c r="A27" s="203"/>
      <c r="B27" s="162"/>
      <c r="C27" s="163" t="s">
        <v>16</v>
      </c>
      <c r="D27" s="164">
        <f t="shared" ref="D27:AH27" si="30">+D26/$A26</f>
        <v>0.76767676767676762</v>
      </c>
      <c r="E27" s="164">
        <f t="shared" si="30"/>
        <v>0.95959595959595956</v>
      </c>
      <c r="F27" s="164">
        <f t="shared" si="30"/>
        <v>0.98989898989898994</v>
      </c>
      <c r="G27" s="164">
        <f t="shared" si="30"/>
        <v>0.97979797979797978</v>
      </c>
      <c r="H27" s="164">
        <f t="shared" si="30"/>
        <v>0.90909090909090906</v>
      </c>
      <c r="I27" s="164">
        <f t="shared" si="30"/>
        <v>0.87878787878787878</v>
      </c>
      <c r="J27" s="164">
        <f t="shared" si="30"/>
        <v>0.79797979797979801</v>
      </c>
      <c r="K27" s="164">
        <f t="shared" si="30"/>
        <v>0.6767676767676768</v>
      </c>
      <c r="L27" s="164">
        <f t="shared" si="30"/>
        <v>0.79797979797979801</v>
      </c>
      <c r="M27" s="164">
        <f t="shared" si="30"/>
        <v>0.82828282828282829</v>
      </c>
      <c r="N27" s="164">
        <f t="shared" si="30"/>
        <v>0.86868686868686873</v>
      </c>
      <c r="O27" s="164">
        <f t="shared" si="30"/>
        <v>0.70707070707070707</v>
      </c>
      <c r="P27" s="164">
        <f t="shared" si="30"/>
        <v>0.6767676767676768</v>
      </c>
      <c r="Q27" s="164">
        <f t="shared" si="30"/>
        <v>0.80808080808080807</v>
      </c>
      <c r="R27" s="164">
        <f t="shared" si="30"/>
        <v>0.63636363636363635</v>
      </c>
      <c r="S27" s="164">
        <f t="shared" si="30"/>
        <v>0.70707070707070707</v>
      </c>
      <c r="T27" s="164">
        <f t="shared" si="30"/>
        <v>0.83838383838383834</v>
      </c>
      <c r="U27" s="164">
        <f t="shared" si="30"/>
        <v>0.73737373737373735</v>
      </c>
      <c r="V27" s="164">
        <f t="shared" si="30"/>
        <v>0.85858585858585856</v>
      </c>
      <c r="W27" s="164">
        <f t="shared" si="30"/>
        <v>0.95959595959595956</v>
      </c>
      <c r="X27" s="164">
        <f t="shared" si="30"/>
        <v>0.98989898989898994</v>
      </c>
      <c r="Y27" s="164">
        <f t="shared" si="30"/>
        <v>0.89898989898989901</v>
      </c>
      <c r="Z27" s="164">
        <f t="shared" si="30"/>
        <v>0.95959595959595956</v>
      </c>
      <c r="AA27" s="164">
        <f t="shared" si="30"/>
        <v>0.96969696969696972</v>
      </c>
      <c r="AB27" s="164">
        <f t="shared" si="30"/>
        <v>0.91919191919191923</v>
      </c>
      <c r="AC27" s="164">
        <f t="shared" si="30"/>
        <v>0.79797979797979801</v>
      </c>
      <c r="AD27" s="164">
        <f t="shared" si="30"/>
        <v>0.82828282828282829</v>
      </c>
      <c r="AE27" s="164">
        <f t="shared" si="30"/>
        <v>1</v>
      </c>
      <c r="AF27" s="164">
        <f t="shared" si="30"/>
        <v>0.65656565656565657</v>
      </c>
      <c r="AG27" s="164">
        <f t="shared" si="30"/>
        <v>0.61616161616161613</v>
      </c>
      <c r="AH27" s="164">
        <f t="shared" si="30"/>
        <v>0.90909090909090906</v>
      </c>
      <c r="AI27" s="290">
        <f>+AI26/(A26*A$1)</f>
        <v>0.83642880417073961</v>
      </c>
      <c r="AJ27" s="291">
        <f>AJ26/($A26*30)</f>
        <v>0.86430976430976436</v>
      </c>
    </row>
    <row r="28" spans="1:36" x14ac:dyDescent="0.3">
      <c r="A28" s="203"/>
      <c r="B28" s="162"/>
      <c r="C28" s="163" t="s">
        <v>17</v>
      </c>
      <c r="D28" s="165">
        <f t="shared" ref="D28:AH28" si="31">+IFERROR(D30/D26,0)</f>
        <v>119.97934210526316</v>
      </c>
      <c r="E28" s="165">
        <f t="shared" si="31"/>
        <v>117.61642105263158</v>
      </c>
      <c r="F28" s="165">
        <f t="shared" si="31"/>
        <v>119.66877551020409</v>
      </c>
      <c r="G28" s="165">
        <f t="shared" si="31"/>
        <v>118.11391752577319</v>
      </c>
      <c r="H28" s="165">
        <f t="shared" si="31"/>
        <v>114.57877777777777</v>
      </c>
      <c r="I28" s="165">
        <f t="shared" si="31"/>
        <v>117.48977011494253</v>
      </c>
      <c r="J28" s="165">
        <f t="shared" si="31"/>
        <v>117.20696202531646</v>
      </c>
      <c r="K28" s="165">
        <f t="shared" si="31"/>
        <v>118.57537313432836</v>
      </c>
      <c r="L28" s="165">
        <f t="shared" si="31"/>
        <v>116.51810126582279</v>
      </c>
      <c r="M28" s="165">
        <f t="shared" si="31"/>
        <v>114.28024390243903</v>
      </c>
      <c r="N28" s="165">
        <f t="shared" si="31"/>
        <v>117.3906976744186</v>
      </c>
      <c r="O28" s="165">
        <f t="shared" si="31"/>
        <v>153.16185714285714</v>
      </c>
      <c r="P28" s="165">
        <f t="shared" si="31"/>
        <v>116.27074626865672</v>
      </c>
      <c r="Q28" s="165">
        <f t="shared" si="31"/>
        <v>118.192375</v>
      </c>
      <c r="R28" s="165">
        <f t="shared" si="31"/>
        <v>111.4115873015873</v>
      </c>
      <c r="S28" s="165">
        <f t="shared" si="31"/>
        <v>114.24000000000001</v>
      </c>
      <c r="T28" s="165">
        <f t="shared" si="31"/>
        <v>115.91951807228915</v>
      </c>
      <c r="U28" s="165">
        <f t="shared" si="31"/>
        <v>119.58301369863013</v>
      </c>
      <c r="V28" s="165">
        <f t="shared" si="31"/>
        <v>112.72823529411764</v>
      </c>
      <c r="W28" s="165">
        <f>+IFERROR(W30/W26,0)</f>
        <v>125.20852631578947</v>
      </c>
      <c r="X28" s="165">
        <f t="shared" si="31"/>
        <v>124.15612244897959</v>
      </c>
      <c r="Y28" s="165">
        <f t="shared" si="31"/>
        <v>123.83000000000001</v>
      </c>
      <c r="Z28" s="165">
        <f t="shared" si="31"/>
        <v>118.75673684210525</v>
      </c>
      <c r="AA28" s="165">
        <f t="shared" si="31"/>
        <v>119.73927083333332</v>
      </c>
      <c r="AB28" s="165">
        <f t="shared" si="31"/>
        <v>121.49010989010989</v>
      </c>
      <c r="AC28" s="165">
        <f t="shared" si="31"/>
        <v>118.31569620253165</v>
      </c>
      <c r="AD28" s="165">
        <f t="shared" si="31"/>
        <v>118.49012195121952</v>
      </c>
      <c r="AE28" s="165">
        <f t="shared" si="31"/>
        <v>144.58404040404039</v>
      </c>
      <c r="AF28" s="165">
        <f t="shared" si="31"/>
        <v>115.07676923076923</v>
      </c>
      <c r="AG28" s="165">
        <f t="shared" si="31"/>
        <v>93.395573770491808</v>
      </c>
      <c r="AH28" s="165">
        <f t="shared" si="31"/>
        <v>101.75288888888889</v>
      </c>
      <c r="AI28" s="292">
        <f>+AI30/AI26</f>
        <v>118.98259836384885</v>
      </c>
      <c r="AJ28" s="293">
        <f>+AJ30/AJ26</f>
        <v>118.98259836384885</v>
      </c>
    </row>
    <row r="29" spans="1:36" x14ac:dyDescent="0.3">
      <c r="A29" s="203"/>
      <c r="B29" s="162"/>
      <c r="C29" s="163" t="s">
        <v>18</v>
      </c>
      <c r="D29" s="165">
        <f t="shared" ref="D29:AH29" si="32">+D27*D28</f>
        <v>92.10535353535353</v>
      </c>
      <c r="E29" s="165">
        <f t="shared" si="32"/>
        <v>112.86424242424242</v>
      </c>
      <c r="F29" s="165">
        <f t="shared" si="32"/>
        <v>118.46000000000001</v>
      </c>
      <c r="G29" s="165">
        <f t="shared" si="32"/>
        <v>115.72777777777777</v>
      </c>
      <c r="H29" s="165">
        <f t="shared" si="32"/>
        <v>104.16252525252524</v>
      </c>
      <c r="I29" s="165">
        <f t="shared" si="32"/>
        <v>103.24858585858586</v>
      </c>
      <c r="J29" s="165">
        <f t="shared" si="32"/>
        <v>93.528787878787881</v>
      </c>
      <c r="K29" s="165">
        <f t="shared" si="32"/>
        <v>80.247979797979795</v>
      </c>
      <c r="L29" s="165">
        <f t="shared" si="32"/>
        <v>92.979090909090914</v>
      </c>
      <c r="M29" s="165">
        <f t="shared" si="32"/>
        <v>94.656363636363636</v>
      </c>
      <c r="N29" s="165">
        <f t="shared" si="32"/>
        <v>101.97575757575758</v>
      </c>
      <c r="O29" s="165">
        <f t="shared" si="32"/>
        <v>108.29626262626263</v>
      </c>
      <c r="P29" s="165">
        <f t="shared" si="32"/>
        <v>78.688282828282837</v>
      </c>
      <c r="Q29" s="165">
        <f t="shared" si="32"/>
        <v>95.508989898989896</v>
      </c>
      <c r="R29" s="165">
        <f t="shared" si="32"/>
        <v>70.898282828282831</v>
      </c>
      <c r="S29" s="165">
        <f t="shared" si="32"/>
        <v>80.775757575757581</v>
      </c>
      <c r="T29" s="165">
        <f t="shared" si="32"/>
        <v>97.185050505050498</v>
      </c>
      <c r="U29" s="165">
        <f t="shared" si="32"/>
        <v>88.177373737373728</v>
      </c>
      <c r="V29" s="165">
        <f t="shared" si="32"/>
        <v>96.786868686868672</v>
      </c>
      <c r="W29" s="165">
        <f>+W27*W28</f>
        <v>120.14959595959596</v>
      </c>
      <c r="X29" s="165">
        <f t="shared" si="32"/>
        <v>122.90202020202021</v>
      </c>
      <c r="Y29" s="165">
        <f t="shared" si="32"/>
        <v>111.32191919191921</v>
      </c>
      <c r="Z29" s="165">
        <f t="shared" si="32"/>
        <v>113.95848484848483</v>
      </c>
      <c r="AA29" s="165">
        <f t="shared" si="32"/>
        <v>116.11080808080807</v>
      </c>
      <c r="AB29" s="165">
        <f t="shared" si="32"/>
        <v>111.67272727272727</v>
      </c>
      <c r="AC29" s="165">
        <f t="shared" si="32"/>
        <v>94.413535353535366</v>
      </c>
      <c r="AD29" s="165">
        <f t="shared" si="32"/>
        <v>98.143333333333345</v>
      </c>
      <c r="AE29" s="165">
        <f t="shared" si="32"/>
        <v>144.58404040404039</v>
      </c>
      <c r="AF29" s="165">
        <f t="shared" si="32"/>
        <v>75.555454545454552</v>
      </c>
      <c r="AG29" s="165">
        <f t="shared" si="32"/>
        <v>57.546767676767679</v>
      </c>
      <c r="AH29" s="165">
        <f t="shared" si="32"/>
        <v>92.502626262626265</v>
      </c>
      <c r="AI29" s="292">
        <f>+AI28*AI27</f>
        <v>99.52047246660149</v>
      </c>
      <c r="AJ29" s="293">
        <f>+AJ27*AJ28</f>
        <v>102.83782154882155</v>
      </c>
    </row>
    <row r="30" spans="1:36" ht="15" thickBot="1" x14ac:dyDescent="0.35">
      <c r="A30" s="203"/>
      <c r="B30" s="162"/>
      <c r="C30" s="163" t="s">
        <v>19</v>
      </c>
      <c r="D30" s="166">
        <v>9118.43</v>
      </c>
      <c r="E30" s="166">
        <v>11173.56</v>
      </c>
      <c r="F30" s="166">
        <v>11727.54</v>
      </c>
      <c r="G30" s="166">
        <v>11457.05</v>
      </c>
      <c r="H30" s="166">
        <v>10312.09</v>
      </c>
      <c r="I30" s="166">
        <v>10221.61</v>
      </c>
      <c r="J30" s="166">
        <v>9259.35</v>
      </c>
      <c r="K30" s="166">
        <v>7944.55</v>
      </c>
      <c r="L30" s="166">
        <v>9204.93</v>
      </c>
      <c r="M30" s="166">
        <v>9370.98</v>
      </c>
      <c r="N30" s="166">
        <v>10095.6</v>
      </c>
      <c r="O30" s="166">
        <v>10721.33</v>
      </c>
      <c r="P30" s="166">
        <v>7790.14</v>
      </c>
      <c r="Q30" s="166">
        <v>9455.39</v>
      </c>
      <c r="R30" s="166">
        <v>7018.93</v>
      </c>
      <c r="S30" s="166">
        <v>7996.8</v>
      </c>
      <c r="T30" s="166">
        <v>9621.32</v>
      </c>
      <c r="U30" s="166">
        <v>8729.56</v>
      </c>
      <c r="V30" s="166">
        <v>9581.9</v>
      </c>
      <c r="W30" s="166">
        <v>11894.81</v>
      </c>
      <c r="X30" s="166">
        <v>12167.3</v>
      </c>
      <c r="Y30" s="166">
        <v>11020.87</v>
      </c>
      <c r="Z30" s="166">
        <v>11281.89</v>
      </c>
      <c r="AA30" s="166">
        <v>11494.97</v>
      </c>
      <c r="AB30" s="166">
        <v>11055.6</v>
      </c>
      <c r="AC30" s="166">
        <v>9346.94</v>
      </c>
      <c r="AD30" s="166">
        <v>9716.19</v>
      </c>
      <c r="AE30" s="166">
        <v>14313.82</v>
      </c>
      <c r="AF30" s="166">
        <v>7479.99</v>
      </c>
      <c r="AG30" s="166">
        <v>5697.13</v>
      </c>
      <c r="AH30" s="166">
        <v>9157.76</v>
      </c>
      <c r="AI30" s="294">
        <f>SUM(D30:AH30)</f>
        <v>305428.33</v>
      </c>
      <c r="AJ30" s="295">
        <f>+AI30/$A$1*$AK$1</f>
        <v>305428.33</v>
      </c>
    </row>
    <row r="31" spans="1:36" ht="15" thickTop="1" x14ac:dyDescent="0.3">
      <c r="A31" s="203">
        <v>151</v>
      </c>
      <c r="B31" s="28" t="s">
        <v>27</v>
      </c>
      <c r="C31" s="29" t="s">
        <v>15</v>
      </c>
      <c r="D31" s="30">
        <v>69</v>
      </c>
      <c r="E31" s="30">
        <v>123</v>
      </c>
      <c r="F31" s="30">
        <v>123</v>
      </c>
      <c r="G31" s="30">
        <v>124</v>
      </c>
      <c r="H31" s="30">
        <v>127</v>
      </c>
      <c r="I31" s="30">
        <v>146</v>
      </c>
      <c r="J31" s="30">
        <v>126</v>
      </c>
      <c r="K31" s="30">
        <v>114</v>
      </c>
      <c r="L31" s="30">
        <v>114</v>
      </c>
      <c r="M31" s="30">
        <v>108</v>
      </c>
      <c r="N31" s="30">
        <v>124</v>
      </c>
      <c r="O31" s="30">
        <v>130</v>
      </c>
      <c r="P31" s="30">
        <v>126</v>
      </c>
      <c r="Q31" s="30">
        <v>132</v>
      </c>
      <c r="R31" s="30">
        <v>107</v>
      </c>
      <c r="S31" s="30">
        <v>69</v>
      </c>
      <c r="T31" s="30">
        <v>90</v>
      </c>
      <c r="U31" s="30">
        <v>74</v>
      </c>
      <c r="V31" s="30">
        <v>84</v>
      </c>
      <c r="W31" s="30">
        <v>87</v>
      </c>
      <c r="X31" s="30">
        <v>96</v>
      </c>
      <c r="Y31" s="30">
        <v>126</v>
      </c>
      <c r="Z31" s="30">
        <v>147</v>
      </c>
      <c r="AA31" s="30">
        <v>147</v>
      </c>
      <c r="AB31" s="30">
        <v>97</v>
      </c>
      <c r="AC31" s="30">
        <v>97</v>
      </c>
      <c r="AD31" s="30">
        <v>82</v>
      </c>
      <c r="AE31" s="30">
        <v>127</v>
      </c>
      <c r="AF31" s="30">
        <v>85</v>
      </c>
      <c r="AG31" s="30">
        <v>31</v>
      </c>
      <c r="AH31" s="30">
        <v>107</v>
      </c>
      <c r="AI31" s="301">
        <f>SUM(D31:AH31)</f>
        <v>3339</v>
      </c>
      <c r="AJ31" s="280">
        <f>+$AI31/$A$1*$AK$1</f>
        <v>3339</v>
      </c>
    </row>
    <row r="32" spans="1:36" x14ac:dyDescent="0.3">
      <c r="A32" s="203"/>
      <c r="B32" s="33"/>
      <c r="C32" s="34" t="s">
        <v>16</v>
      </c>
      <c r="D32" s="35">
        <f t="shared" ref="D32:AH32" si="33">+D31/$A31</f>
        <v>0.45695364238410596</v>
      </c>
      <c r="E32" s="35">
        <f t="shared" si="33"/>
        <v>0.81456953642384111</v>
      </c>
      <c r="F32" s="35">
        <f t="shared" si="33"/>
        <v>0.81456953642384111</v>
      </c>
      <c r="G32" s="35">
        <f t="shared" si="33"/>
        <v>0.82119205298013243</v>
      </c>
      <c r="H32" s="35">
        <f t="shared" si="33"/>
        <v>0.84105960264900659</v>
      </c>
      <c r="I32" s="35">
        <f t="shared" si="33"/>
        <v>0.9668874172185431</v>
      </c>
      <c r="J32" s="35">
        <f t="shared" si="33"/>
        <v>0.83443708609271527</v>
      </c>
      <c r="K32" s="35">
        <f t="shared" si="33"/>
        <v>0.75496688741721851</v>
      </c>
      <c r="L32" s="35">
        <f t="shared" si="33"/>
        <v>0.75496688741721851</v>
      </c>
      <c r="M32" s="35">
        <f t="shared" si="33"/>
        <v>0.71523178807947019</v>
      </c>
      <c r="N32" s="35">
        <f t="shared" si="33"/>
        <v>0.82119205298013243</v>
      </c>
      <c r="O32" s="35">
        <f t="shared" si="33"/>
        <v>0.86092715231788075</v>
      </c>
      <c r="P32" s="35">
        <f t="shared" si="33"/>
        <v>0.83443708609271527</v>
      </c>
      <c r="Q32" s="35">
        <f t="shared" si="33"/>
        <v>0.8741721854304636</v>
      </c>
      <c r="R32" s="35">
        <f t="shared" si="33"/>
        <v>0.70860927152317876</v>
      </c>
      <c r="S32" s="35">
        <f t="shared" si="33"/>
        <v>0.45695364238410596</v>
      </c>
      <c r="T32" s="35">
        <f t="shared" si="33"/>
        <v>0.59602649006622521</v>
      </c>
      <c r="U32" s="35">
        <f t="shared" si="33"/>
        <v>0.49006622516556292</v>
      </c>
      <c r="V32" s="35">
        <f t="shared" si="33"/>
        <v>0.55629139072847678</v>
      </c>
      <c r="W32" s="35">
        <f t="shared" si="33"/>
        <v>0.57615894039735094</v>
      </c>
      <c r="X32" s="35">
        <f t="shared" si="33"/>
        <v>0.63576158940397354</v>
      </c>
      <c r="Y32" s="35">
        <f t="shared" si="33"/>
        <v>0.83443708609271527</v>
      </c>
      <c r="Z32" s="35">
        <f t="shared" si="33"/>
        <v>0.97350993377483441</v>
      </c>
      <c r="AA32" s="35">
        <f t="shared" si="33"/>
        <v>0.97350993377483441</v>
      </c>
      <c r="AB32" s="35">
        <f t="shared" si="33"/>
        <v>0.64238410596026485</v>
      </c>
      <c r="AC32" s="35">
        <f t="shared" si="33"/>
        <v>0.64238410596026485</v>
      </c>
      <c r="AD32" s="35">
        <f t="shared" si="33"/>
        <v>0.54304635761589404</v>
      </c>
      <c r="AE32" s="35">
        <f t="shared" si="33"/>
        <v>0.84105960264900659</v>
      </c>
      <c r="AF32" s="35">
        <f t="shared" si="33"/>
        <v>0.5629139072847682</v>
      </c>
      <c r="AG32" s="35">
        <f t="shared" si="33"/>
        <v>0.20529801324503311</v>
      </c>
      <c r="AH32" s="35">
        <f t="shared" si="33"/>
        <v>0.70860927152317876</v>
      </c>
      <c r="AI32" s="281">
        <f>+AI31/(A31*A$1)</f>
        <v>0.71330912198248242</v>
      </c>
      <c r="AJ32" s="282">
        <f>AJ31/($A31*AK1)</f>
        <v>0.71330912198248242</v>
      </c>
    </row>
    <row r="33" spans="1:36" x14ac:dyDescent="0.3">
      <c r="A33" s="203"/>
      <c r="B33" s="33"/>
      <c r="C33" s="34" t="s">
        <v>17</v>
      </c>
      <c r="D33" s="37">
        <f>+IFERROR(D35/D31,0)</f>
        <v>111.92710144927537</v>
      </c>
      <c r="E33" s="37">
        <f t="shared" ref="E33:AH33" si="34">+IFERROR(E35/E31,0)</f>
        <v>118.39162601626016</v>
      </c>
      <c r="F33" s="37">
        <f t="shared" si="34"/>
        <v>129.89439024390245</v>
      </c>
      <c r="G33" s="37">
        <f t="shared" si="34"/>
        <v>141.71491935483871</v>
      </c>
      <c r="H33" s="37">
        <f t="shared" si="34"/>
        <v>127.74488188976379</v>
      </c>
      <c r="I33" s="37">
        <f t="shared" si="34"/>
        <v>146.95993150684933</v>
      </c>
      <c r="J33" s="37">
        <f t="shared" si="34"/>
        <v>123.99507936507936</v>
      </c>
      <c r="K33" s="37">
        <f t="shared" si="34"/>
        <v>120.12850877192982</v>
      </c>
      <c r="L33" s="37">
        <f t="shared" si="34"/>
        <v>129.9351754385965</v>
      </c>
      <c r="M33" s="37">
        <f t="shared" si="34"/>
        <v>129.36472222222221</v>
      </c>
      <c r="N33" s="37">
        <f t="shared" si="34"/>
        <v>139.50645161290322</v>
      </c>
      <c r="O33" s="37">
        <f t="shared" si="34"/>
        <v>128.52230769230769</v>
      </c>
      <c r="P33" s="37">
        <f t="shared" si="34"/>
        <v>114.32603174603175</v>
      </c>
      <c r="Q33" s="37">
        <f t="shared" si="34"/>
        <v>114.63234848484848</v>
      </c>
      <c r="R33" s="37">
        <f t="shared" si="34"/>
        <v>100.10093457943924</v>
      </c>
      <c r="S33" s="37">
        <f t="shared" si="34"/>
        <v>97.012608695652176</v>
      </c>
      <c r="T33" s="37">
        <f t="shared" si="34"/>
        <v>147.91677777777778</v>
      </c>
      <c r="U33" s="37">
        <f t="shared" si="34"/>
        <v>128.34351351351353</v>
      </c>
      <c r="V33" s="37">
        <f t="shared" si="34"/>
        <v>128.15345238095239</v>
      </c>
      <c r="W33" s="37">
        <f t="shared" si="34"/>
        <v>122.03402298850574</v>
      </c>
      <c r="X33" s="37">
        <f t="shared" si="34"/>
        <v>118.77718750000001</v>
      </c>
      <c r="Y33" s="37">
        <f t="shared" si="34"/>
        <v>174.29801587301586</v>
      </c>
      <c r="Z33" s="37">
        <f t="shared" si="34"/>
        <v>217.22006802721089</v>
      </c>
      <c r="AA33" s="37">
        <f t="shared" si="34"/>
        <v>202.0856462585034</v>
      </c>
      <c r="AB33" s="37">
        <f t="shared" si="34"/>
        <v>165.25814432989691</v>
      </c>
      <c r="AC33" s="37">
        <f t="shared" si="34"/>
        <v>165.25814432989691</v>
      </c>
      <c r="AD33" s="37">
        <f t="shared" si="34"/>
        <v>114.52268292682928</v>
      </c>
      <c r="AE33" s="37">
        <f t="shared" si="34"/>
        <v>119.29850393700788</v>
      </c>
      <c r="AF33" s="37">
        <f t="shared" si="34"/>
        <v>105.27176470588236</v>
      </c>
      <c r="AG33" s="37">
        <f t="shared" si="34"/>
        <v>282.83838709677417</v>
      </c>
      <c r="AH33" s="37">
        <f t="shared" si="34"/>
        <v>123.99065420560747</v>
      </c>
      <c r="AI33" s="283">
        <f>+AI35/AI31</f>
        <v>137.56912848158129</v>
      </c>
      <c r="AJ33" s="279">
        <f>+AJ35/AJ31</f>
        <v>137.56912848158129</v>
      </c>
    </row>
    <row r="34" spans="1:36" x14ac:dyDescent="0.3">
      <c r="A34" s="203"/>
      <c r="B34" s="33"/>
      <c r="C34" s="34" t="s">
        <v>18</v>
      </c>
      <c r="D34" s="37">
        <f>+D32*D33</f>
        <v>51.145496688741723</v>
      </c>
      <c r="E34" s="37">
        <f t="shared" ref="E34:AH34" si="35">+E32*E33</f>
        <v>96.43821192052981</v>
      </c>
      <c r="F34" s="37">
        <f t="shared" si="35"/>
        <v>105.80801324503312</v>
      </c>
      <c r="G34" s="37">
        <f t="shared" si="35"/>
        <v>116.37516556291391</v>
      </c>
      <c r="H34" s="37">
        <f t="shared" si="35"/>
        <v>107.44105960264901</v>
      </c>
      <c r="I34" s="37">
        <f t="shared" si="35"/>
        <v>142.09370860927154</v>
      </c>
      <c r="J34" s="37">
        <f t="shared" si="35"/>
        <v>103.4660927152318</v>
      </c>
      <c r="K34" s="37">
        <f t="shared" si="35"/>
        <v>90.693046357615884</v>
      </c>
      <c r="L34" s="37">
        <f t="shared" si="35"/>
        <v>98.096754966887417</v>
      </c>
      <c r="M34" s="37">
        <f t="shared" si="35"/>
        <v>92.52576158940397</v>
      </c>
      <c r="N34" s="37">
        <f t="shared" si="35"/>
        <v>114.5615894039735</v>
      </c>
      <c r="O34" s="37">
        <f t="shared" si="35"/>
        <v>110.64834437086093</v>
      </c>
      <c r="P34" s="37">
        <f t="shared" si="35"/>
        <v>95.39788079470199</v>
      </c>
      <c r="Q34" s="37">
        <f t="shared" si="35"/>
        <v>100.20841059602648</v>
      </c>
      <c r="R34" s="37">
        <f t="shared" si="35"/>
        <v>70.932450331125821</v>
      </c>
      <c r="S34" s="37">
        <f t="shared" si="35"/>
        <v>44.33026490066225</v>
      </c>
      <c r="T34" s="37">
        <f t="shared" si="35"/>
        <v>88.162317880794717</v>
      </c>
      <c r="U34" s="37">
        <f t="shared" si="35"/>
        <v>62.89682119205299</v>
      </c>
      <c r="V34" s="37">
        <f t="shared" si="35"/>
        <v>71.290662251655633</v>
      </c>
      <c r="W34" s="37">
        <f t="shared" si="35"/>
        <v>70.310993377483427</v>
      </c>
      <c r="X34" s="37">
        <f t="shared" si="35"/>
        <v>75.513973509933791</v>
      </c>
      <c r="Y34" s="37">
        <f t="shared" si="35"/>
        <v>145.44072847682119</v>
      </c>
      <c r="Z34" s="37">
        <f t="shared" si="35"/>
        <v>211.4658940397351</v>
      </c>
      <c r="AA34" s="37">
        <f t="shared" si="35"/>
        <v>196.73238410596025</v>
      </c>
      <c r="AB34" s="37">
        <f t="shared" si="35"/>
        <v>106.15920529801323</v>
      </c>
      <c r="AC34" s="37">
        <f t="shared" si="35"/>
        <v>106.15920529801323</v>
      </c>
      <c r="AD34" s="37">
        <f t="shared" si="35"/>
        <v>62.191125827814574</v>
      </c>
      <c r="AE34" s="37">
        <f t="shared" si="35"/>
        <v>100.33715231788079</v>
      </c>
      <c r="AF34" s="37">
        <f t="shared" si="35"/>
        <v>59.258940397350997</v>
      </c>
      <c r="AG34" s="37">
        <f t="shared" si="35"/>
        <v>58.066158940397344</v>
      </c>
      <c r="AH34" s="37">
        <f t="shared" si="35"/>
        <v>87.860927152317871</v>
      </c>
      <c r="AI34" s="283">
        <f>+AI33*AI32</f>
        <v>98.129314249092062</v>
      </c>
      <c r="AJ34" s="279">
        <f>+AJ32*AJ33</f>
        <v>98.129314249092062</v>
      </c>
    </row>
    <row r="35" spans="1:36" ht="15" thickBot="1" x14ac:dyDescent="0.35">
      <c r="A35" s="203"/>
      <c r="B35" s="33"/>
      <c r="C35" s="34" t="s">
        <v>19</v>
      </c>
      <c r="D35" s="158">
        <v>7722.97</v>
      </c>
      <c r="E35" s="158">
        <v>14562.17</v>
      </c>
      <c r="F35" s="158">
        <v>15977.01</v>
      </c>
      <c r="G35" s="158">
        <v>17572.650000000001</v>
      </c>
      <c r="H35" s="158">
        <v>16223.6</v>
      </c>
      <c r="I35" s="158">
        <v>21456.15</v>
      </c>
      <c r="J35" s="158">
        <v>15623.38</v>
      </c>
      <c r="K35" s="158">
        <v>13694.65</v>
      </c>
      <c r="L35" s="158">
        <v>14812.61</v>
      </c>
      <c r="M35" s="158">
        <v>13971.39</v>
      </c>
      <c r="N35" s="158">
        <v>17298.8</v>
      </c>
      <c r="O35" s="158">
        <v>16707.900000000001</v>
      </c>
      <c r="P35" s="158">
        <v>14405.08</v>
      </c>
      <c r="Q35" s="158">
        <v>15131.47</v>
      </c>
      <c r="R35" s="158">
        <v>10710.8</v>
      </c>
      <c r="S35" s="158">
        <v>6693.87</v>
      </c>
      <c r="T35" s="158">
        <v>13312.51</v>
      </c>
      <c r="U35" s="158">
        <v>9497.42</v>
      </c>
      <c r="V35" s="158">
        <v>10764.89</v>
      </c>
      <c r="W35" s="158">
        <v>10616.96</v>
      </c>
      <c r="X35" s="158">
        <v>11402.61</v>
      </c>
      <c r="Y35" s="158">
        <v>21961.55</v>
      </c>
      <c r="Z35" s="158">
        <v>31931.35</v>
      </c>
      <c r="AA35" s="158">
        <v>29706.59</v>
      </c>
      <c r="AB35" s="158">
        <v>16030.04</v>
      </c>
      <c r="AC35" s="158">
        <v>16030.04</v>
      </c>
      <c r="AD35" s="158">
        <v>9390.86</v>
      </c>
      <c r="AE35" s="158">
        <v>15150.91</v>
      </c>
      <c r="AF35" s="158">
        <v>8948.1</v>
      </c>
      <c r="AG35" s="158">
        <v>8767.99</v>
      </c>
      <c r="AH35" s="158">
        <v>13267</v>
      </c>
      <c r="AI35" s="284">
        <f>SUM(D35:AH35)</f>
        <v>459343.31999999989</v>
      </c>
      <c r="AJ35" s="285">
        <f>+AI35/$A$1*$AK$1</f>
        <v>459343.31999999989</v>
      </c>
    </row>
    <row r="36" spans="1:36" ht="15" thickTop="1" x14ac:dyDescent="0.3">
      <c r="A36" s="203">
        <v>96</v>
      </c>
      <c r="B36" s="170" t="s">
        <v>28</v>
      </c>
      <c r="C36" s="171" t="s">
        <v>15</v>
      </c>
      <c r="D36" s="161">
        <v>54</v>
      </c>
      <c r="E36" s="161">
        <v>49</v>
      </c>
      <c r="F36" s="161">
        <v>49</v>
      </c>
      <c r="G36" s="161">
        <v>50</v>
      </c>
      <c r="H36" s="161">
        <v>61</v>
      </c>
      <c r="I36" s="161">
        <v>54</v>
      </c>
      <c r="J36" s="161">
        <v>66</v>
      </c>
      <c r="K36" s="161">
        <v>53</v>
      </c>
      <c r="L36" s="161">
        <v>60</v>
      </c>
      <c r="M36" s="161">
        <v>79</v>
      </c>
      <c r="N36" s="161">
        <v>69</v>
      </c>
      <c r="O36" s="161">
        <v>51</v>
      </c>
      <c r="P36" s="161">
        <v>69</v>
      </c>
      <c r="Q36" s="161">
        <v>77</v>
      </c>
      <c r="R36" s="161">
        <v>60</v>
      </c>
      <c r="S36" s="161">
        <v>69</v>
      </c>
      <c r="T36" s="161">
        <v>62</v>
      </c>
      <c r="U36" s="161">
        <v>63</v>
      </c>
      <c r="V36" s="161">
        <v>60</v>
      </c>
      <c r="W36" s="161">
        <v>95</v>
      </c>
      <c r="X36" s="161">
        <v>97</v>
      </c>
      <c r="Y36" s="161">
        <v>63</v>
      </c>
      <c r="Z36" s="161">
        <v>53</v>
      </c>
      <c r="AA36" s="161">
        <v>96</v>
      </c>
      <c r="AB36" s="161">
        <v>60</v>
      </c>
      <c r="AC36" s="161">
        <v>41</v>
      </c>
      <c r="AD36" s="161">
        <v>63</v>
      </c>
      <c r="AE36" s="161">
        <v>72</v>
      </c>
      <c r="AF36" s="161">
        <v>75</v>
      </c>
      <c r="AG36" s="161">
        <v>52</v>
      </c>
      <c r="AH36" s="161">
        <v>59</v>
      </c>
      <c r="AI36" s="300">
        <f>SUM(D36:AH36)</f>
        <v>1981</v>
      </c>
      <c r="AJ36" s="289">
        <f>+$AI36/$A$1*$AK$1</f>
        <v>1981</v>
      </c>
    </row>
    <row r="37" spans="1:36" x14ac:dyDescent="0.3">
      <c r="A37" s="203"/>
      <c r="B37" s="162"/>
      <c r="C37" s="163" t="s">
        <v>16</v>
      </c>
      <c r="D37" s="164">
        <f t="shared" ref="D37:AH37" si="36">+D36/$A36</f>
        <v>0.5625</v>
      </c>
      <c r="E37" s="164">
        <f t="shared" si="36"/>
        <v>0.51041666666666663</v>
      </c>
      <c r="F37" s="164">
        <f t="shared" si="36"/>
        <v>0.51041666666666663</v>
      </c>
      <c r="G37" s="164">
        <f t="shared" si="36"/>
        <v>0.52083333333333337</v>
      </c>
      <c r="H37" s="164">
        <f t="shared" si="36"/>
        <v>0.63541666666666663</v>
      </c>
      <c r="I37" s="164">
        <f t="shared" si="36"/>
        <v>0.5625</v>
      </c>
      <c r="J37" s="164">
        <f t="shared" si="36"/>
        <v>0.6875</v>
      </c>
      <c r="K37" s="164">
        <f t="shared" si="36"/>
        <v>0.55208333333333337</v>
      </c>
      <c r="L37" s="164">
        <f t="shared" si="36"/>
        <v>0.625</v>
      </c>
      <c r="M37" s="164">
        <f t="shared" si="36"/>
        <v>0.82291666666666663</v>
      </c>
      <c r="N37" s="164">
        <f t="shared" si="36"/>
        <v>0.71875</v>
      </c>
      <c r="O37" s="164">
        <f t="shared" si="36"/>
        <v>0.53125</v>
      </c>
      <c r="P37" s="164">
        <f t="shared" si="36"/>
        <v>0.71875</v>
      </c>
      <c r="Q37" s="164">
        <f t="shared" si="36"/>
        <v>0.80208333333333337</v>
      </c>
      <c r="R37" s="164">
        <f t="shared" si="36"/>
        <v>0.625</v>
      </c>
      <c r="S37" s="164">
        <f t="shared" si="36"/>
        <v>0.71875</v>
      </c>
      <c r="T37" s="164">
        <f t="shared" si="36"/>
        <v>0.64583333333333337</v>
      </c>
      <c r="U37" s="164">
        <f t="shared" si="36"/>
        <v>0.65625</v>
      </c>
      <c r="V37" s="164">
        <f t="shared" si="36"/>
        <v>0.625</v>
      </c>
      <c r="W37" s="164">
        <f t="shared" si="36"/>
        <v>0.98958333333333337</v>
      </c>
      <c r="X37" s="164">
        <f t="shared" si="36"/>
        <v>1.0104166666666667</v>
      </c>
      <c r="Y37" s="164">
        <f t="shared" si="36"/>
        <v>0.65625</v>
      </c>
      <c r="Z37" s="164">
        <f t="shared" si="36"/>
        <v>0.55208333333333337</v>
      </c>
      <c r="AA37" s="164">
        <f t="shared" si="36"/>
        <v>1</v>
      </c>
      <c r="AB37" s="164">
        <f t="shared" si="36"/>
        <v>0.625</v>
      </c>
      <c r="AC37" s="164">
        <f t="shared" si="36"/>
        <v>0.42708333333333331</v>
      </c>
      <c r="AD37" s="164">
        <f t="shared" si="36"/>
        <v>0.65625</v>
      </c>
      <c r="AE37" s="164">
        <f t="shared" si="36"/>
        <v>0.75</v>
      </c>
      <c r="AF37" s="164">
        <f t="shared" si="36"/>
        <v>0.78125</v>
      </c>
      <c r="AG37" s="164">
        <f t="shared" si="36"/>
        <v>0.54166666666666663</v>
      </c>
      <c r="AH37" s="164">
        <f t="shared" si="36"/>
        <v>0.61458333333333337</v>
      </c>
      <c r="AI37" s="290">
        <f>+AI36/(A36*A$1)</f>
        <v>0.66565860215053763</v>
      </c>
      <c r="AJ37" s="291">
        <f>AJ36/($A36*AK1)</f>
        <v>0.66565860215053763</v>
      </c>
    </row>
    <row r="38" spans="1:36" x14ac:dyDescent="0.3">
      <c r="A38" s="203"/>
      <c r="B38" s="162"/>
      <c r="C38" s="163" t="s">
        <v>17</v>
      </c>
      <c r="D38" s="165">
        <f t="shared" ref="D38:AH38" si="37">+IFERROR(D40/D36,0)</f>
        <v>88.629444444444445</v>
      </c>
      <c r="E38" s="165">
        <f t="shared" si="37"/>
        <v>96.314285714285703</v>
      </c>
      <c r="F38" s="165">
        <f t="shared" si="37"/>
        <v>95.41857142857144</v>
      </c>
      <c r="G38" s="165">
        <f t="shared" si="37"/>
        <v>97.227599999999995</v>
      </c>
      <c r="H38" s="165">
        <f t="shared" si="37"/>
        <v>96.655901639344265</v>
      </c>
      <c r="I38" s="165">
        <f t="shared" si="37"/>
        <v>102.08537037037037</v>
      </c>
      <c r="J38" s="165">
        <f t="shared" si="37"/>
        <v>94.444090909090917</v>
      </c>
      <c r="K38" s="165">
        <f t="shared" si="37"/>
        <v>77.916415094339612</v>
      </c>
      <c r="L38" s="165">
        <f t="shared" si="37"/>
        <v>97.096833333333336</v>
      </c>
      <c r="M38" s="165">
        <f t="shared" si="37"/>
        <v>98.466329113924047</v>
      </c>
      <c r="N38" s="165">
        <f t="shared" si="37"/>
        <v>91.622608695652175</v>
      </c>
      <c r="O38" s="165">
        <f t="shared" si="37"/>
        <v>88.257254901960778</v>
      </c>
      <c r="P38" s="165">
        <f t="shared" si="37"/>
        <v>101.3195652173913</v>
      </c>
      <c r="Q38" s="165">
        <f t="shared" si="37"/>
        <v>104.2751948051948</v>
      </c>
      <c r="R38" s="165">
        <f t="shared" si="37"/>
        <v>74.334333333333333</v>
      </c>
      <c r="S38" s="165">
        <f t="shared" si="37"/>
        <v>83.621014492753631</v>
      </c>
      <c r="T38" s="165">
        <f t="shared" si="37"/>
        <v>89.140645161290323</v>
      </c>
      <c r="U38" s="165">
        <f t="shared" si="37"/>
        <v>88.368095238095236</v>
      </c>
      <c r="V38" s="165">
        <f t="shared" si="37"/>
        <v>101.18833333333333</v>
      </c>
      <c r="W38" s="165">
        <f t="shared" si="37"/>
        <v>117.69042105263158</v>
      </c>
      <c r="X38" s="165">
        <f t="shared" si="37"/>
        <v>123.20876288659794</v>
      </c>
      <c r="Y38" s="165">
        <f t="shared" si="37"/>
        <v>78.808095238095234</v>
      </c>
      <c r="Z38" s="165">
        <f t="shared" si="37"/>
        <v>86.329433962264147</v>
      </c>
      <c r="AA38" s="165">
        <f t="shared" si="37"/>
        <v>100.7128125</v>
      </c>
      <c r="AB38" s="165">
        <f t="shared" si="37"/>
        <v>102.15316666666666</v>
      </c>
      <c r="AC38" s="165">
        <f t="shared" si="37"/>
        <v>97.405365853658537</v>
      </c>
      <c r="AD38" s="165">
        <f t="shared" si="37"/>
        <v>124.34079365079366</v>
      </c>
      <c r="AE38" s="165">
        <f t="shared" si="37"/>
        <v>127.41013888888889</v>
      </c>
      <c r="AF38" s="165">
        <f t="shared" si="37"/>
        <v>97.99</v>
      </c>
      <c r="AG38" s="165">
        <f t="shared" si="37"/>
        <v>89.231923076923081</v>
      </c>
      <c r="AH38" s="165">
        <f t="shared" si="37"/>
        <v>97.942881355932201</v>
      </c>
      <c r="AI38" s="292">
        <f>+AI40/AI36</f>
        <v>98.382261484098933</v>
      </c>
      <c r="AJ38" s="293">
        <f>+AJ40/AJ36</f>
        <v>98.382261484098933</v>
      </c>
    </row>
    <row r="39" spans="1:36" x14ac:dyDescent="0.3">
      <c r="A39" s="203"/>
      <c r="B39" s="162"/>
      <c r="C39" s="163" t="s">
        <v>18</v>
      </c>
      <c r="D39" s="165">
        <f t="shared" ref="D39:AH39" si="38">+D37*D38</f>
        <v>49.854062499999998</v>
      </c>
      <c r="E39" s="165">
        <f t="shared" si="38"/>
        <v>49.160416666666656</v>
      </c>
      <c r="F39" s="165">
        <f t="shared" si="38"/>
        <v>48.703229166666667</v>
      </c>
      <c r="G39" s="165">
        <f t="shared" si="38"/>
        <v>50.639375000000001</v>
      </c>
      <c r="H39" s="165">
        <f t="shared" si="38"/>
        <v>61.416770833333331</v>
      </c>
      <c r="I39" s="165">
        <f t="shared" si="38"/>
        <v>57.423020833333332</v>
      </c>
      <c r="J39" s="165">
        <f t="shared" si="38"/>
        <v>64.930312499999999</v>
      </c>
      <c r="K39" s="165">
        <f t="shared" si="38"/>
        <v>43.016354166666666</v>
      </c>
      <c r="L39" s="165">
        <f t="shared" si="38"/>
        <v>60.685520833333335</v>
      </c>
      <c r="M39" s="165">
        <f t="shared" si="38"/>
        <v>81.029583333333321</v>
      </c>
      <c r="N39" s="165">
        <f t="shared" si="38"/>
        <v>65.853750000000005</v>
      </c>
      <c r="O39" s="165">
        <f t="shared" si="38"/>
        <v>46.886666666666663</v>
      </c>
      <c r="P39" s="165">
        <f t="shared" si="38"/>
        <v>72.823437499999997</v>
      </c>
      <c r="Q39" s="165">
        <f t="shared" si="38"/>
        <v>83.637395833333329</v>
      </c>
      <c r="R39" s="165">
        <f t="shared" si="38"/>
        <v>46.458958333333335</v>
      </c>
      <c r="S39" s="165">
        <f t="shared" si="38"/>
        <v>60.102604166666673</v>
      </c>
      <c r="T39" s="165">
        <f t="shared" si="38"/>
        <v>57.57</v>
      </c>
      <c r="U39" s="165">
        <f t="shared" si="38"/>
        <v>57.991562500000001</v>
      </c>
      <c r="V39" s="165">
        <f t="shared" si="38"/>
        <v>63.242708333333333</v>
      </c>
      <c r="W39" s="165">
        <f t="shared" si="38"/>
        <v>116.46447916666666</v>
      </c>
      <c r="X39" s="165">
        <f t="shared" si="38"/>
        <v>124.49218750000001</v>
      </c>
      <c r="Y39" s="165">
        <f t="shared" si="38"/>
        <v>51.717812499999994</v>
      </c>
      <c r="Z39" s="165">
        <f t="shared" si="38"/>
        <v>47.661041666666669</v>
      </c>
      <c r="AA39" s="165">
        <f t="shared" si="38"/>
        <v>100.7128125</v>
      </c>
      <c r="AB39" s="165">
        <f t="shared" si="38"/>
        <v>63.845729166666665</v>
      </c>
      <c r="AC39" s="165">
        <f t="shared" si="38"/>
        <v>41.600208333333335</v>
      </c>
      <c r="AD39" s="165">
        <f t="shared" si="38"/>
        <v>81.598645833333336</v>
      </c>
      <c r="AE39" s="165">
        <f t="shared" si="38"/>
        <v>95.557604166666664</v>
      </c>
      <c r="AF39" s="165">
        <f t="shared" si="38"/>
        <v>76.5546875</v>
      </c>
      <c r="AG39" s="165">
        <f t="shared" si="38"/>
        <v>48.333958333333335</v>
      </c>
      <c r="AH39" s="165">
        <f t="shared" si="38"/>
        <v>60.194062500000001</v>
      </c>
      <c r="AI39" s="292">
        <f>+AI38*AI37</f>
        <v>65.488998655913974</v>
      </c>
      <c r="AJ39" s="293">
        <f>+AJ37*AJ38</f>
        <v>65.488998655913974</v>
      </c>
    </row>
    <row r="40" spans="1:36" ht="15" thickBot="1" x14ac:dyDescent="0.35">
      <c r="A40" s="203"/>
      <c r="B40" s="162"/>
      <c r="C40" s="163" t="s">
        <v>19</v>
      </c>
      <c r="D40" s="166">
        <v>4785.99</v>
      </c>
      <c r="E40" s="166">
        <v>4719.3999999999996</v>
      </c>
      <c r="F40" s="166">
        <v>4675.51</v>
      </c>
      <c r="G40" s="166">
        <v>4861.38</v>
      </c>
      <c r="H40" s="166">
        <v>5896.01</v>
      </c>
      <c r="I40" s="166">
        <v>5512.61</v>
      </c>
      <c r="J40" s="166">
        <v>6233.31</v>
      </c>
      <c r="K40" s="166">
        <v>4129.57</v>
      </c>
      <c r="L40" s="166">
        <v>5825.81</v>
      </c>
      <c r="M40" s="166">
        <v>7778.84</v>
      </c>
      <c r="N40" s="166">
        <v>6321.96</v>
      </c>
      <c r="O40" s="166">
        <v>4501.12</v>
      </c>
      <c r="P40" s="166">
        <v>6991.05</v>
      </c>
      <c r="Q40" s="166">
        <v>8029.19</v>
      </c>
      <c r="R40" s="166">
        <v>4460.0600000000004</v>
      </c>
      <c r="S40" s="166">
        <v>5769.85</v>
      </c>
      <c r="T40" s="166">
        <v>5526.72</v>
      </c>
      <c r="U40" s="166">
        <v>5567.19</v>
      </c>
      <c r="V40" s="166">
        <v>6071.3</v>
      </c>
      <c r="W40" s="166">
        <v>11180.59</v>
      </c>
      <c r="X40" s="166">
        <v>11951.25</v>
      </c>
      <c r="Y40" s="166">
        <v>4964.91</v>
      </c>
      <c r="Z40" s="166">
        <v>4575.46</v>
      </c>
      <c r="AA40" s="166">
        <v>9668.43</v>
      </c>
      <c r="AB40" s="166">
        <v>6129.19</v>
      </c>
      <c r="AC40" s="166">
        <v>3993.62</v>
      </c>
      <c r="AD40" s="166">
        <v>7833.47</v>
      </c>
      <c r="AE40" s="166">
        <v>9173.5300000000007</v>
      </c>
      <c r="AF40" s="166">
        <v>7349.25</v>
      </c>
      <c r="AG40" s="166">
        <v>4640.0600000000004</v>
      </c>
      <c r="AH40" s="166">
        <v>5778.63</v>
      </c>
      <c r="AI40" s="294">
        <f>SUM(D40:AH40)</f>
        <v>194895.25999999998</v>
      </c>
      <c r="AJ40" s="295">
        <f>+AI40/$A$1*$AK$1</f>
        <v>194895.25999999998</v>
      </c>
    </row>
    <row r="41" spans="1:36" ht="15" thickTop="1" x14ac:dyDescent="0.3">
      <c r="A41" s="2">
        <v>94</v>
      </c>
      <c r="B41" s="28" t="s">
        <v>29</v>
      </c>
      <c r="C41" s="29" t="s">
        <v>15</v>
      </c>
      <c r="D41" s="30">
        <v>74</v>
      </c>
      <c r="E41" s="30">
        <v>91</v>
      </c>
      <c r="F41" s="30">
        <v>93</v>
      </c>
      <c r="G41" s="30">
        <v>92</v>
      </c>
      <c r="H41" s="30">
        <v>93</v>
      </c>
      <c r="I41" s="30">
        <v>67</v>
      </c>
      <c r="J41" s="30">
        <v>63</v>
      </c>
      <c r="K41" s="30">
        <v>48</v>
      </c>
      <c r="L41" s="30">
        <v>83</v>
      </c>
      <c r="M41" s="30">
        <v>89</v>
      </c>
      <c r="N41" s="30">
        <v>90</v>
      </c>
      <c r="O41" s="30">
        <v>88</v>
      </c>
      <c r="P41" s="30">
        <v>83</v>
      </c>
      <c r="Q41" s="30">
        <v>86</v>
      </c>
      <c r="R41" s="30">
        <v>72</v>
      </c>
      <c r="S41" s="30">
        <v>78</v>
      </c>
      <c r="T41" s="30">
        <v>85</v>
      </c>
      <c r="U41" s="30">
        <v>62</v>
      </c>
      <c r="V41" s="30">
        <v>59</v>
      </c>
      <c r="W41" s="30">
        <v>84</v>
      </c>
      <c r="X41" s="30">
        <v>85</v>
      </c>
      <c r="Y41" s="30">
        <v>81</v>
      </c>
      <c r="Z41" s="30">
        <v>91</v>
      </c>
      <c r="AA41" s="30">
        <v>91</v>
      </c>
      <c r="AB41" s="30">
        <v>79</v>
      </c>
      <c r="AC41" s="30">
        <v>64</v>
      </c>
      <c r="AD41" s="30">
        <v>62</v>
      </c>
      <c r="AE41" s="30">
        <v>82</v>
      </c>
      <c r="AF41" s="30">
        <v>91</v>
      </c>
      <c r="AG41" s="30">
        <v>60</v>
      </c>
      <c r="AH41" s="30">
        <v>57</v>
      </c>
      <c r="AI41" s="301">
        <f>SUM(D41:AH41)</f>
        <v>2423</v>
      </c>
      <c r="AJ41" s="280">
        <f>+$AI41/$A$1*$AK$1</f>
        <v>2423</v>
      </c>
    </row>
    <row r="42" spans="1:36" x14ac:dyDescent="0.3">
      <c r="A42" s="203"/>
      <c r="B42" s="33"/>
      <c r="C42" s="34" t="s">
        <v>16</v>
      </c>
      <c r="D42" s="35">
        <f>D41/$A41</f>
        <v>0.78723404255319152</v>
      </c>
      <c r="E42" s="35">
        <f t="shared" ref="E42:AH42" si="39">+E41/$A41</f>
        <v>0.96808510638297873</v>
      </c>
      <c r="F42" s="35">
        <f t="shared" si="39"/>
        <v>0.98936170212765961</v>
      </c>
      <c r="G42" s="35">
        <f t="shared" si="39"/>
        <v>0.97872340425531912</v>
      </c>
      <c r="H42" s="35">
        <f t="shared" si="39"/>
        <v>0.98936170212765961</v>
      </c>
      <c r="I42" s="35">
        <f t="shared" si="39"/>
        <v>0.71276595744680848</v>
      </c>
      <c r="J42" s="35">
        <f t="shared" si="39"/>
        <v>0.67021276595744683</v>
      </c>
      <c r="K42" s="35">
        <f t="shared" si="39"/>
        <v>0.51063829787234039</v>
      </c>
      <c r="L42" s="35">
        <f t="shared" si="39"/>
        <v>0.88297872340425532</v>
      </c>
      <c r="M42" s="35">
        <f t="shared" si="39"/>
        <v>0.94680851063829785</v>
      </c>
      <c r="N42" s="35">
        <f t="shared" si="39"/>
        <v>0.95744680851063835</v>
      </c>
      <c r="O42" s="35">
        <f t="shared" si="39"/>
        <v>0.93617021276595747</v>
      </c>
      <c r="P42" s="35">
        <f t="shared" si="39"/>
        <v>0.88297872340425532</v>
      </c>
      <c r="Q42" s="35">
        <f t="shared" si="39"/>
        <v>0.91489361702127658</v>
      </c>
      <c r="R42" s="35">
        <f t="shared" si="39"/>
        <v>0.76595744680851063</v>
      </c>
      <c r="S42" s="35">
        <f t="shared" si="39"/>
        <v>0.82978723404255317</v>
      </c>
      <c r="T42" s="35">
        <f t="shared" si="39"/>
        <v>0.9042553191489362</v>
      </c>
      <c r="U42" s="35">
        <f t="shared" si="39"/>
        <v>0.65957446808510634</v>
      </c>
      <c r="V42" s="35">
        <f t="shared" si="39"/>
        <v>0.62765957446808507</v>
      </c>
      <c r="W42" s="35">
        <f t="shared" si="39"/>
        <v>0.8936170212765957</v>
      </c>
      <c r="X42" s="35">
        <f t="shared" si="39"/>
        <v>0.9042553191489362</v>
      </c>
      <c r="Y42" s="35">
        <f t="shared" si="39"/>
        <v>0.86170212765957444</v>
      </c>
      <c r="Z42" s="35">
        <f t="shared" si="39"/>
        <v>0.96808510638297873</v>
      </c>
      <c r="AA42" s="35">
        <f t="shared" si="39"/>
        <v>0.96808510638297873</v>
      </c>
      <c r="AB42" s="35">
        <f t="shared" si="39"/>
        <v>0.84042553191489366</v>
      </c>
      <c r="AC42" s="35">
        <f t="shared" si="39"/>
        <v>0.68085106382978722</v>
      </c>
      <c r="AD42" s="35">
        <f t="shared" si="39"/>
        <v>0.65957446808510634</v>
      </c>
      <c r="AE42" s="35">
        <f t="shared" si="39"/>
        <v>0.87234042553191493</v>
      </c>
      <c r="AF42" s="35">
        <f t="shared" si="39"/>
        <v>0.96808510638297873</v>
      </c>
      <c r="AG42" s="35">
        <f t="shared" si="39"/>
        <v>0.63829787234042556</v>
      </c>
      <c r="AH42" s="35">
        <f t="shared" si="39"/>
        <v>0.6063829787234043</v>
      </c>
      <c r="AI42" s="281">
        <f>+AI41/(A41*A$1)</f>
        <v>0.83150308853809196</v>
      </c>
      <c r="AJ42" s="282">
        <f>AJ41/($A41*30)</f>
        <v>0.85921985815602842</v>
      </c>
    </row>
    <row r="43" spans="1:36" x14ac:dyDescent="0.3">
      <c r="A43" s="203"/>
      <c r="B43" s="33"/>
      <c r="C43" s="34" t="s">
        <v>17</v>
      </c>
      <c r="D43" s="37">
        <f>+IFERROR(D45/D41,0)</f>
        <v>107.00067567567568</v>
      </c>
      <c r="E43" s="37">
        <f t="shared" ref="E43:AH43" si="40">+IFERROR(E45/E41,0)</f>
        <v>117.16219780219781</v>
      </c>
      <c r="F43" s="37">
        <f t="shared" si="40"/>
        <v>131.13956989247311</v>
      </c>
      <c r="G43" s="37">
        <f t="shared" si="40"/>
        <v>132.3175</v>
      </c>
      <c r="H43" s="37">
        <f t="shared" si="40"/>
        <v>121.03268817204302</v>
      </c>
      <c r="I43" s="37">
        <f t="shared" si="40"/>
        <v>126.19477611940297</v>
      </c>
      <c r="J43" s="37">
        <f t="shared" si="40"/>
        <v>110.94111111111111</v>
      </c>
      <c r="K43" s="37">
        <f t="shared" si="40"/>
        <v>96.477083333333326</v>
      </c>
      <c r="L43" s="37">
        <f t="shared" si="40"/>
        <v>124.19277108433735</v>
      </c>
      <c r="M43" s="37">
        <f t="shared" si="40"/>
        <v>143.11674157303369</v>
      </c>
      <c r="N43" s="37">
        <f t="shared" si="40"/>
        <v>144.13655555555556</v>
      </c>
      <c r="O43" s="37">
        <f t="shared" si="40"/>
        <v>124.20340909090909</v>
      </c>
      <c r="P43" s="37">
        <f t="shared" si="40"/>
        <v>116.11204819277107</v>
      </c>
      <c r="Q43" s="37">
        <f t="shared" si="40"/>
        <v>116.68813953488372</v>
      </c>
      <c r="R43" s="37">
        <f t="shared" si="40"/>
        <v>108.90805555555556</v>
      </c>
      <c r="S43" s="37">
        <f t="shared" si="40"/>
        <v>123.51666666666665</v>
      </c>
      <c r="T43" s="37">
        <f t="shared" si="40"/>
        <v>137.2464705882353</v>
      </c>
      <c r="U43" s="37">
        <f t="shared" si="40"/>
        <v>146.22258064516129</v>
      </c>
      <c r="V43" s="37">
        <f t="shared" si="40"/>
        <v>131.51525423728813</v>
      </c>
      <c r="W43" s="37">
        <f t="shared" si="40"/>
        <v>142.77238095238096</v>
      </c>
      <c r="X43" s="37">
        <f t="shared" si="40"/>
        <v>140.56694117647061</v>
      </c>
      <c r="Y43" s="37">
        <f t="shared" si="40"/>
        <v>120.02962962962962</v>
      </c>
      <c r="Z43" s="37">
        <f t="shared" si="40"/>
        <v>120.15131868131868</v>
      </c>
      <c r="AA43" s="37">
        <f t="shared" si="40"/>
        <v>150.69274725274727</v>
      </c>
      <c r="AB43" s="37">
        <f t="shared" si="40"/>
        <v>141.77949367088607</v>
      </c>
      <c r="AC43" s="37">
        <f t="shared" si="40"/>
        <v>134.91593750000001</v>
      </c>
      <c r="AD43" s="37">
        <f t="shared" si="40"/>
        <v>142.71048387096772</v>
      </c>
      <c r="AE43" s="37">
        <f t="shared" si="40"/>
        <v>164.71926829268293</v>
      </c>
      <c r="AF43" s="37">
        <f t="shared" si="40"/>
        <v>119.38054945054944</v>
      </c>
      <c r="AG43" s="37">
        <f t="shared" si="40"/>
        <v>122.617</v>
      </c>
      <c r="AH43" s="37">
        <f t="shared" si="40"/>
        <v>130.43263157894737</v>
      </c>
      <c r="AI43" s="283">
        <f>+AI45/AI41</f>
        <v>129.1881923235658</v>
      </c>
      <c r="AJ43" s="279">
        <f>+AJ45/AJ41</f>
        <v>129.1881923235658</v>
      </c>
    </row>
    <row r="44" spans="1:36" x14ac:dyDescent="0.3">
      <c r="A44" s="203"/>
      <c r="B44" s="33"/>
      <c r="C44" s="34" t="s">
        <v>18</v>
      </c>
      <c r="D44" s="37">
        <f>+D42*D43</f>
        <v>84.234574468085114</v>
      </c>
      <c r="E44" s="37">
        <f t="shared" ref="E44:AH44" si="41">+E42*E43</f>
        <v>113.42297872340427</v>
      </c>
      <c r="F44" s="37">
        <f t="shared" si="41"/>
        <v>129.74446808510638</v>
      </c>
      <c r="G44" s="37">
        <f t="shared" si="41"/>
        <v>129.50223404255317</v>
      </c>
      <c r="H44" s="37">
        <f t="shared" si="41"/>
        <v>119.74510638297875</v>
      </c>
      <c r="I44" s="37">
        <f t="shared" si="41"/>
        <v>89.947340425531905</v>
      </c>
      <c r="J44" s="37">
        <f t="shared" si="41"/>
        <v>74.354148936170219</v>
      </c>
      <c r="K44" s="37">
        <f t="shared" si="41"/>
        <v>49.264893617021272</v>
      </c>
      <c r="L44" s="37">
        <f t="shared" si="41"/>
        <v>109.65957446808511</v>
      </c>
      <c r="M44" s="37">
        <f t="shared" si="41"/>
        <v>135.5041489361702</v>
      </c>
      <c r="N44" s="37">
        <f t="shared" si="41"/>
        <v>138.003085106383</v>
      </c>
      <c r="O44" s="37">
        <f t="shared" si="41"/>
        <v>116.27553191489362</v>
      </c>
      <c r="P44" s="37">
        <f t="shared" si="41"/>
        <v>102.52446808510636</v>
      </c>
      <c r="Q44" s="37">
        <f t="shared" si="41"/>
        <v>106.75723404255319</v>
      </c>
      <c r="R44" s="37">
        <f t="shared" si="41"/>
        <v>83.418936170212774</v>
      </c>
      <c r="S44" s="37">
        <f t="shared" si="41"/>
        <v>102.49255319148935</v>
      </c>
      <c r="T44" s="37">
        <f t="shared" si="41"/>
        <v>124.10585106382979</v>
      </c>
      <c r="U44" s="37">
        <f t="shared" si="41"/>
        <v>96.444680851063822</v>
      </c>
      <c r="V44" s="37">
        <f t="shared" si="41"/>
        <v>82.546808510638286</v>
      </c>
      <c r="W44" s="37">
        <f t="shared" si="41"/>
        <v>127.58382978723404</v>
      </c>
      <c r="X44" s="37">
        <f t="shared" si="41"/>
        <v>127.10840425531917</v>
      </c>
      <c r="Y44" s="37">
        <f t="shared" si="41"/>
        <v>103.42978723404255</v>
      </c>
      <c r="Z44" s="37">
        <f t="shared" si="41"/>
        <v>116.31670212765958</v>
      </c>
      <c r="AA44" s="37">
        <f t="shared" si="41"/>
        <v>145.88340425531916</v>
      </c>
      <c r="AB44" s="37">
        <f t="shared" si="41"/>
        <v>119.15510638297873</v>
      </c>
      <c r="AC44" s="37">
        <f t="shared" si="41"/>
        <v>91.857659574468087</v>
      </c>
      <c r="AD44" s="37">
        <f t="shared" si="41"/>
        <v>94.128191489361683</v>
      </c>
      <c r="AE44" s="37">
        <f t="shared" si="41"/>
        <v>143.69127659574468</v>
      </c>
      <c r="AF44" s="37">
        <f t="shared" si="41"/>
        <v>115.57053191489361</v>
      </c>
      <c r="AG44" s="37">
        <f t="shared" si="41"/>
        <v>78.266170212765971</v>
      </c>
      <c r="AH44" s="37">
        <f t="shared" si="41"/>
        <v>79.092127659574473</v>
      </c>
      <c r="AI44" s="283">
        <f>+AI43*AI42</f>
        <v>107.42038091969799</v>
      </c>
      <c r="AJ44" s="279">
        <f>+AJ42*AJ43</f>
        <v>111.00106028368792</v>
      </c>
    </row>
    <row r="45" spans="1:36" ht="15" thickBot="1" x14ac:dyDescent="0.35">
      <c r="A45" s="203"/>
      <c r="B45" s="33"/>
      <c r="C45" s="34" t="s">
        <v>19</v>
      </c>
      <c r="D45" s="158">
        <v>7918.05</v>
      </c>
      <c r="E45" s="158">
        <v>10661.76</v>
      </c>
      <c r="F45" s="158">
        <v>12195.98</v>
      </c>
      <c r="G45" s="158">
        <v>12173.21</v>
      </c>
      <c r="H45" s="158">
        <v>11256.04</v>
      </c>
      <c r="I45" s="158">
        <v>8455.0499999999993</v>
      </c>
      <c r="J45" s="158">
        <v>6989.29</v>
      </c>
      <c r="K45" s="158">
        <v>4630.8999999999996</v>
      </c>
      <c r="L45" s="158">
        <v>10308</v>
      </c>
      <c r="M45" s="158">
        <v>12737.39</v>
      </c>
      <c r="N45" s="158">
        <v>12972.29</v>
      </c>
      <c r="O45" s="158">
        <v>10929.9</v>
      </c>
      <c r="P45" s="158">
        <v>9637.2999999999993</v>
      </c>
      <c r="Q45" s="158">
        <v>10035.18</v>
      </c>
      <c r="R45" s="158">
        <v>7841.38</v>
      </c>
      <c r="S45" s="158">
        <v>9634.2999999999993</v>
      </c>
      <c r="T45" s="158">
        <v>11665.95</v>
      </c>
      <c r="U45" s="158">
        <v>9065.7999999999993</v>
      </c>
      <c r="V45" s="158">
        <v>7759.4</v>
      </c>
      <c r="W45" s="158">
        <v>11992.88</v>
      </c>
      <c r="X45" s="158">
        <v>11948.19</v>
      </c>
      <c r="Y45" s="158">
        <v>9722.4</v>
      </c>
      <c r="Z45" s="158">
        <v>10933.77</v>
      </c>
      <c r="AA45" s="158">
        <v>13713.04</v>
      </c>
      <c r="AB45" s="158">
        <v>11200.58</v>
      </c>
      <c r="AC45" s="158">
        <v>8634.6200000000008</v>
      </c>
      <c r="AD45" s="158">
        <v>8848.0499999999993</v>
      </c>
      <c r="AE45" s="158">
        <v>13506.98</v>
      </c>
      <c r="AF45" s="158">
        <v>10863.63</v>
      </c>
      <c r="AG45" s="158">
        <v>7357.02</v>
      </c>
      <c r="AH45" s="158">
        <v>7434.66</v>
      </c>
      <c r="AI45" s="284">
        <f>SUM(D45:AH45)</f>
        <v>313022.98999999993</v>
      </c>
      <c r="AJ45" s="285">
        <f>+AI45/$A$1*$AK$1</f>
        <v>313022.98999999993</v>
      </c>
    </row>
    <row r="46" spans="1:36" x14ac:dyDescent="0.3">
      <c r="A46" s="203">
        <v>133</v>
      </c>
      <c r="B46" s="159" t="s">
        <v>30</v>
      </c>
      <c r="C46" s="160" t="s">
        <v>15</v>
      </c>
      <c r="D46" s="275">
        <v>87</v>
      </c>
      <c r="E46" s="207">
        <v>95</v>
      </c>
      <c r="F46" s="207">
        <v>116</v>
      </c>
      <c r="G46" s="207">
        <v>122</v>
      </c>
      <c r="H46" s="207">
        <v>118</v>
      </c>
      <c r="I46" s="207">
        <v>74</v>
      </c>
      <c r="J46" s="207">
        <v>71</v>
      </c>
      <c r="K46" s="207">
        <v>105</v>
      </c>
      <c r="L46" s="207">
        <v>129</v>
      </c>
      <c r="M46" s="207">
        <v>130</v>
      </c>
      <c r="N46" s="207">
        <v>128</v>
      </c>
      <c r="O46" s="207">
        <v>111</v>
      </c>
      <c r="P46" s="207">
        <v>127</v>
      </c>
      <c r="Q46" s="207">
        <v>119</v>
      </c>
      <c r="R46" s="207">
        <v>96</v>
      </c>
      <c r="S46" s="207">
        <v>92</v>
      </c>
      <c r="T46" s="207">
        <v>127</v>
      </c>
      <c r="U46" s="207">
        <v>110</v>
      </c>
      <c r="V46" s="207">
        <v>110</v>
      </c>
      <c r="W46" s="207">
        <v>112</v>
      </c>
      <c r="X46" s="207">
        <v>113</v>
      </c>
      <c r="Y46" s="207">
        <v>112</v>
      </c>
      <c r="Z46" s="207">
        <v>127</v>
      </c>
      <c r="AA46" s="207">
        <v>123</v>
      </c>
      <c r="AB46" s="207">
        <v>112</v>
      </c>
      <c r="AC46" s="207">
        <v>85</v>
      </c>
      <c r="AD46" s="207">
        <v>41</v>
      </c>
      <c r="AE46" s="207">
        <v>69</v>
      </c>
      <c r="AF46" s="207">
        <v>58</v>
      </c>
      <c r="AG46" s="207">
        <v>74</v>
      </c>
      <c r="AH46" s="207">
        <v>110</v>
      </c>
      <c r="AI46" s="302">
        <f>SUM(D46:AH46)</f>
        <v>3203</v>
      </c>
      <c r="AJ46" s="303">
        <f>+$AI46/$A$1*$AK$1</f>
        <v>3203</v>
      </c>
    </row>
    <row r="47" spans="1:36" x14ac:dyDescent="0.3">
      <c r="A47" s="203"/>
      <c r="B47" s="162"/>
      <c r="C47" s="163" t="s">
        <v>16</v>
      </c>
      <c r="D47" s="164">
        <f>D46/$A$46</f>
        <v>0.65413533834586468</v>
      </c>
      <c r="E47" s="164">
        <f t="shared" ref="E47:W47" si="42">E46/$A$46</f>
        <v>0.7142857142857143</v>
      </c>
      <c r="F47" s="164">
        <f t="shared" si="42"/>
        <v>0.8721804511278195</v>
      </c>
      <c r="G47" s="164">
        <f t="shared" si="42"/>
        <v>0.91729323308270672</v>
      </c>
      <c r="H47" s="164">
        <f t="shared" si="42"/>
        <v>0.88721804511278191</v>
      </c>
      <c r="I47" s="164">
        <f t="shared" si="42"/>
        <v>0.55639097744360899</v>
      </c>
      <c r="J47" s="164">
        <f t="shared" si="42"/>
        <v>0.53383458646616544</v>
      </c>
      <c r="K47" s="164">
        <f t="shared" si="42"/>
        <v>0.78947368421052633</v>
      </c>
      <c r="L47" s="164">
        <f t="shared" si="42"/>
        <v>0.96992481203007519</v>
      </c>
      <c r="M47" s="164">
        <f t="shared" si="42"/>
        <v>0.97744360902255634</v>
      </c>
      <c r="N47" s="164">
        <f t="shared" si="42"/>
        <v>0.96240601503759393</v>
      </c>
      <c r="O47" s="164">
        <f t="shared" si="42"/>
        <v>0.83458646616541354</v>
      </c>
      <c r="P47" s="164">
        <f t="shared" si="42"/>
        <v>0.95488721804511278</v>
      </c>
      <c r="Q47" s="164">
        <f t="shared" si="42"/>
        <v>0.89473684210526316</v>
      </c>
      <c r="R47" s="164">
        <f t="shared" si="42"/>
        <v>0.72180451127819545</v>
      </c>
      <c r="S47" s="164">
        <f t="shared" si="42"/>
        <v>0.69172932330827064</v>
      </c>
      <c r="T47" s="164">
        <f t="shared" si="42"/>
        <v>0.95488721804511278</v>
      </c>
      <c r="U47" s="164">
        <f t="shared" si="42"/>
        <v>0.82706766917293228</v>
      </c>
      <c r="V47" s="164">
        <f t="shared" si="42"/>
        <v>0.82706766917293228</v>
      </c>
      <c r="W47" s="164">
        <f t="shared" si="42"/>
        <v>0.84210526315789469</v>
      </c>
      <c r="X47" s="164">
        <f>X46/$A$46</f>
        <v>0.84962406015037595</v>
      </c>
      <c r="Y47" s="164">
        <f t="shared" ref="Y47:AH47" si="43">Y46/$A$46</f>
        <v>0.84210526315789469</v>
      </c>
      <c r="Z47" s="164">
        <f t="shared" si="43"/>
        <v>0.95488721804511278</v>
      </c>
      <c r="AA47" s="164">
        <f t="shared" si="43"/>
        <v>0.92481203007518797</v>
      </c>
      <c r="AB47" s="164">
        <f t="shared" si="43"/>
        <v>0.84210526315789469</v>
      </c>
      <c r="AC47" s="164">
        <f t="shared" si="43"/>
        <v>0.63909774436090228</v>
      </c>
      <c r="AD47" s="164">
        <f t="shared" si="43"/>
        <v>0.30827067669172931</v>
      </c>
      <c r="AE47" s="164">
        <f t="shared" si="43"/>
        <v>0.51879699248120303</v>
      </c>
      <c r="AF47" s="164">
        <f t="shared" si="43"/>
        <v>0.43609022556390975</v>
      </c>
      <c r="AG47" s="164">
        <f t="shared" si="43"/>
        <v>0.55639097744360899</v>
      </c>
      <c r="AH47" s="164">
        <f t="shared" si="43"/>
        <v>0.82706766917293228</v>
      </c>
      <c r="AI47" s="290">
        <f>+AI46/(A46*A$1)</f>
        <v>0.77686150861023529</v>
      </c>
      <c r="AJ47" s="304">
        <f>AJ46/($A46*AK1)</f>
        <v>0.77686150861023529</v>
      </c>
    </row>
    <row r="48" spans="1:36" x14ac:dyDescent="0.3">
      <c r="A48" s="203"/>
      <c r="B48" s="162"/>
      <c r="C48" s="163" t="s">
        <v>17</v>
      </c>
      <c r="D48" s="165">
        <f>+IFERROR(D50/D46,0)</f>
        <v>143.11919540229886</v>
      </c>
      <c r="E48" s="165">
        <f t="shared" ref="E48:AH48" si="44">+IFERROR(E50/E46,0)</f>
        <v>145.50378947368421</v>
      </c>
      <c r="F48" s="165">
        <f t="shared" si="44"/>
        <v>161.92629310344827</v>
      </c>
      <c r="G48" s="165">
        <f t="shared" si="44"/>
        <v>163.05245901639344</v>
      </c>
      <c r="H48" s="165">
        <f t="shared" si="44"/>
        <v>142.28203389830509</v>
      </c>
      <c r="I48" s="165">
        <f t="shared" si="44"/>
        <v>125.44837837837838</v>
      </c>
      <c r="J48" s="165">
        <f t="shared" si="44"/>
        <v>118.01985915492958</v>
      </c>
      <c r="K48" s="165">
        <f t="shared" si="44"/>
        <v>135.28295238095237</v>
      </c>
      <c r="L48" s="165">
        <f t="shared" si="44"/>
        <v>144.70085271317831</v>
      </c>
      <c r="M48" s="165">
        <f t="shared" si="44"/>
        <v>159.60407692307692</v>
      </c>
      <c r="N48" s="165">
        <f t="shared" si="44"/>
        <v>141.15875</v>
      </c>
      <c r="O48" s="165">
        <f t="shared" si="44"/>
        <v>150.51720720720721</v>
      </c>
      <c r="P48" s="165">
        <f t="shared" si="44"/>
        <v>129.16212598425196</v>
      </c>
      <c r="Q48" s="165">
        <f t="shared" si="44"/>
        <v>122.66042016806723</v>
      </c>
      <c r="R48" s="165">
        <f t="shared" si="44"/>
        <v>124.87531250000001</v>
      </c>
      <c r="S48" s="165">
        <f t="shared" si="44"/>
        <v>125.50119565217392</v>
      </c>
      <c r="T48" s="165">
        <f t="shared" si="44"/>
        <v>175.54559055118111</v>
      </c>
      <c r="U48" s="165">
        <f t="shared" si="44"/>
        <v>145.08599999999998</v>
      </c>
      <c r="V48" s="165">
        <f t="shared" si="44"/>
        <v>134.95518181818181</v>
      </c>
      <c r="W48" s="165">
        <f t="shared" si="44"/>
        <v>146.20133928571428</v>
      </c>
      <c r="X48" s="165">
        <f t="shared" si="44"/>
        <v>128.7079646017699</v>
      </c>
      <c r="Y48" s="165">
        <f t="shared" si="44"/>
        <v>154.67214285714286</v>
      </c>
      <c r="Z48" s="165">
        <f t="shared" si="44"/>
        <v>180.75685039370077</v>
      </c>
      <c r="AA48" s="165">
        <f t="shared" si="44"/>
        <v>228.00146341463415</v>
      </c>
      <c r="AB48" s="165">
        <f t="shared" si="44"/>
        <v>160.58410714285714</v>
      </c>
      <c r="AC48" s="165">
        <f t="shared" si="44"/>
        <v>136.77235294117648</v>
      </c>
      <c r="AD48" s="165">
        <f t="shared" si="44"/>
        <v>117.54317073170733</v>
      </c>
      <c r="AE48" s="165">
        <f t="shared" si="44"/>
        <v>113.2836231884058</v>
      </c>
      <c r="AF48" s="165">
        <f t="shared" si="44"/>
        <v>108.08689655172414</v>
      </c>
      <c r="AG48" s="165">
        <f t="shared" si="44"/>
        <v>122.71378378378378</v>
      </c>
      <c r="AH48" s="165">
        <f t="shared" si="44"/>
        <v>144.10772727272729</v>
      </c>
      <c r="AI48" s="292">
        <f>+AI50/AI46</f>
        <v>146.15086481423666</v>
      </c>
      <c r="AJ48" s="305">
        <f>+AJ50/AJ46</f>
        <v>146.15086481423666</v>
      </c>
    </row>
    <row r="49" spans="1:36" x14ac:dyDescent="0.3">
      <c r="A49" s="203"/>
      <c r="B49" s="162"/>
      <c r="C49" s="163" t="s">
        <v>18</v>
      </c>
      <c r="D49" s="165">
        <f>+D47*D48</f>
        <v>93.61932330827068</v>
      </c>
      <c r="E49" s="165">
        <f t="shared" ref="E49:AH49" si="45">+E47*E48</f>
        <v>103.93127819548872</v>
      </c>
      <c r="F49" s="165">
        <f t="shared" si="45"/>
        <v>141.22894736842105</v>
      </c>
      <c r="G49" s="165">
        <f t="shared" si="45"/>
        <v>149.56691729323308</v>
      </c>
      <c r="H49" s="165">
        <f t="shared" si="45"/>
        <v>126.23518796992481</v>
      </c>
      <c r="I49" s="165">
        <f t="shared" si="45"/>
        <v>69.798345864661655</v>
      </c>
      <c r="J49" s="165">
        <f t="shared" si="45"/>
        <v>63.003082706766918</v>
      </c>
      <c r="K49" s="165">
        <f t="shared" si="45"/>
        <v>106.80233082706766</v>
      </c>
      <c r="L49" s="165">
        <f t="shared" si="45"/>
        <v>140.34894736842105</v>
      </c>
      <c r="M49" s="165">
        <f t="shared" si="45"/>
        <v>156.00398496240601</v>
      </c>
      <c r="N49" s="165">
        <f t="shared" si="45"/>
        <v>135.85203007518797</v>
      </c>
      <c r="O49" s="165">
        <f t="shared" si="45"/>
        <v>125.61962406015037</v>
      </c>
      <c r="P49" s="165">
        <f t="shared" si="45"/>
        <v>123.33526315789473</v>
      </c>
      <c r="Q49" s="165">
        <f t="shared" si="45"/>
        <v>109.7487969924812</v>
      </c>
      <c r="R49" s="165">
        <f t="shared" si="45"/>
        <v>90.135563909774433</v>
      </c>
      <c r="S49" s="165">
        <f t="shared" si="45"/>
        <v>86.812857142857141</v>
      </c>
      <c r="T49" s="165">
        <f t="shared" si="45"/>
        <v>167.62624060150375</v>
      </c>
      <c r="U49" s="165">
        <f t="shared" si="45"/>
        <v>119.99593984962404</v>
      </c>
      <c r="V49" s="165">
        <f t="shared" si="45"/>
        <v>111.61706766917293</v>
      </c>
      <c r="W49" s="165">
        <f t="shared" si="45"/>
        <v>123.11691729323307</v>
      </c>
      <c r="X49" s="165">
        <f t="shared" si="45"/>
        <v>109.3533834586466</v>
      </c>
      <c r="Y49" s="165">
        <f t="shared" si="45"/>
        <v>130.25022556390977</v>
      </c>
      <c r="Z49" s="165">
        <f t="shared" si="45"/>
        <v>172.60240601503759</v>
      </c>
      <c r="AA49" s="165">
        <f t="shared" si="45"/>
        <v>210.85849624060151</v>
      </c>
      <c r="AB49" s="165">
        <f t="shared" si="45"/>
        <v>135.22872180451125</v>
      </c>
      <c r="AC49" s="165">
        <f t="shared" si="45"/>
        <v>87.410902255639101</v>
      </c>
      <c r="AD49" s="165">
        <f t="shared" si="45"/>
        <v>36.235112781954889</v>
      </c>
      <c r="AE49" s="165">
        <f t="shared" si="45"/>
        <v>58.7712030075188</v>
      </c>
      <c r="AF49" s="165">
        <f t="shared" si="45"/>
        <v>47.13563909774436</v>
      </c>
      <c r="AG49" s="165">
        <f t="shared" si="45"/>
        <v>68.276842105263157</v>
      </c>
      <c r="AH49" s="165">
        <f t="shared" si="45"/>
        <v>119.18684210526317</v>
      </c>
      <c r="AI49" s="292">
        <f>+AI47*AI48</f>
        <v>113.53898132427844</v>
      </c>
      <c r="AJ49" s="305">
        <f>+AJ47*AJ48</f>
        <v>113.53898132427844</v>
      </c>
    </row>
    <row r="50" spans="1:36" s="248" customFormat="1" ht="15" thickBot="1" x14ac:dyDescent="0.35">
      <c r="A50" s="238"/>
      <c r="B50" s="212"/>
      <c r="C50" s="213" t="s">
        <v>31</v>
      </c>
      <c r="D50" s="214">
        <v>12451.37</v>
      </c>
      <c r="E50" s="214">
        <v>13822.86</v>
      </c>
      <c r="F50" s="214">
        <v>18783.45</v>
      </c>
      <c r="G50" s="214">
        <v>19892.400000000001</v>
      </c>
      <c r="H50" s="214">
        <v>16789.28</v>
      </c>
      <c r="I50" s="214">
        <v>9283.18</v>
      </c>
      <c r="J50" s="214">
        <v>8379.41</v>
      </c>
      <c r="K50" s="214">
        <v>14204.71</v>
      </c>
      <c r="L50" s="214">
        <v>18666.41</v>
      </c>
      <c r="M50" s="214">
        <v>20748.53</v>
      </c>
      <c r="N50" s="214">
        <v>18068.32</v>
      </c>
      <c r="O50" s="214">
        <v>16707.41</v>
      </c>
      <c r="P50" s="214">
        <v>16403.59</v>
      </c>
      <c r="Q50" s="214">
        <v>14596.59</v>
      </c>
      <c r="R50" s="214">
        <v>11988.03</v>
      </c>
      <c r="S50" s="214">
        <v>11546.11</v>
      </c>
      <c r="T50" s="214">
        <v>22294.29</v>
      </c>
      <c r="U50" s="214">
        <v>15959.46</v>
      </c>
      <c r="V50" s="214">
        <v>14845.07</v>
      </c>
      <c r="W50" s="214">
        <v>16374.55</v>
      </c>
      <c r="X50" s="214">
        <v>14544</v>
      </c>
      <c r="Y50" s="214">
        <v>17323.28</v>
      </c>
      <c r="Z50" s="214">
        <v>22956.12</v>
      </c>
      <c r="AA50" s="214">
        <v>28044.18</v>
      </c>
      <c r="AB50" s="214">
        <f>17985.42</f>
        <v>17985.419999999998</v>
      </c>
      <c r="AC50" s="214">
        <v>11625.65</v>
      </c>
      <c r="AD50" s="214">
        <v>4819.2700000000004</v>
      </c>
      <c r="AE50" s="214">
        <v>7816.57</v>
      </c>
      <c r="AF50" s="214">
        <v>6269.04</v>
      </c>
      <c r="AG50" s="214">
        <v>9080.82</v>
      </c>
      <c r="AH50" s="214">
        <v>15851.85</v>
      </c>
      <c r="AI50" s="215">
        <f>SUM(D50:AH50)</f>
        <v>468121.22000000003</v>
      </c>
      <c r="AJ50" s="306">
        <f>+AI50/$A$1*$AK$1</f>
        <v>468121.22000000003</v>
      </c>
    </row>
    <row r="51" spans="1:36" x14ac:dyDescent="0.3">
      <c r="A51" s="203">
        <v>91</v>
      </c>
      <c r="B51" s="159" t="s">
        <v>32</v>
      </c>
      <c r="C51" s="160" t="s">
        <v>15</v>
      </c>
      <c r="D51" s="207">
        <v>62</v>
      </c>
      <c r="E51" s="207">
        <v>86</v>
      </c>
      <c r="F51" s="207">
        <v>90</v>
      </c>
      <c r="G51" s="207">
        <v>90</v>
      </c>
      <c r="H51" s="207">
        <v>88</v>
      </c>
      <c r="I51" s="207">
        <v>87</v>
      </c>
      <c r="J51" s="207">
        <v>80</v>
      </c>
      <c r="K51" s="207">
        <v>73</v>
      </c>
      <c r="L51" s="207">
        <v>89</v>
      </c>
      <c r="M51" s="207">
        <v>91</v>
      </c>
      <c r="N51" s="207">
        <v>88</v>
      </c>
      <c r="O51" s="207">
        <v>88</v>
      </c>
      <c r="P51" s="207">
        <v>79</v>
      </c>
      <c r="Q51" s="207">
        <v>89</v>
      </c>
      <c r="R51" s="207">
        <v>62</v>
      </c>
      <c r="S51" s="207">
        <v>79</v>
      </c>
      <c r="T51" s="207">
        <v>72</v>
      </c>
      <c r="U51" s="207">
        <v>87</v>
      </c>
      <c r="V51" s="207">
        <v>86</v>
      </c>
      <c r="W51" s="207">
        <v>65</v>
      </c>
      <c r="X51" s="207">
        <v>64</v>
      </c>
      <c r="Y51" s="207">
        <v>59</v>
      </c>
      <c r="Z51" s="207">
        <v>90</v>
      </c>
      <c r="AA51" s="207">
        <v>89</v>
      </c>
      <c r="AB51" s="207">
        <v>76</v>
      </c>
      <c r="AC51" s="207">
        <v>45</v>
      </c>
      <c r="AD51" s="207">
        <v>63</v>
      </c>
      <c r="AE51" s="207">
        <v>40</v>
      </c>
      <c r="AF51" s="207">
        <v>36</v>
      </c>
      <c r="AG51" s="207">
        <v>32</v>
      </c>
      <c r="AH51" s="207">
        <v>48</v>
      </c>
      <c r="AI51" s="302">
        <f>SUM(D51:AH51)</f>
        <v>2273</v>
      </c>
      <c r="AJ51" s="289">
        <f>+$AI51/$A$1*$AK$1</f>
        <v>2273</v>
      </c>
    </row>
    <row r="52" spans="1:36" x14ac:dyDescent="0.3">
      <c r="A52" s="203"/>
      <c r="B52" s="162"/>
      <c r="C52" s="163" t="s">
        <v>16</v>
      </c>
      <c r="D52" s="164">
        <f t="shared" ref="D52:G52" si="46">D51/$A$51</f>
        <v>0.68131868131868134</v>
      </c>
      <c r="E52" s="164">
        <f t="shared" si="46"/>
        <v>0.94505494505494503</v>
      </c>
      <c r="F52" s="164">
        <f t="shared" si="46"/>
        <v>0.98901098901098905</v>
      </c>
      <c r="G52" s="164">
        <f t="shared" si="46"/>
        <v>0.98901098901098905</v>
      </c>
      <c r="H52" s="164">
        <f>H51/$A$51</f>
        <v>0.96703296703296704</v>
      </c>
      <c r="I52" s="164">
        <f t="shared" ref="I52:AH52" si="47">I51/$A$51</f>
        <v>0.95604395604395609</v>
      </c>
      <c r="J52" s="164">
        <f t="shared" si="47"/>
        <v>0.87912087912087911</v>
      </c>
      <c r="K52" s="164">
        <f t="shared" si="47"/>
        <v>0.80219780219780223</v>
      </c>
      <c r="L52" s="164">
        <f t="shared" si="47"/>
        <v>0.97802197802197799</v>
      </c>
      <c r="M52" s="164">
        <f t="shared" si="47"/>
        <v>1</v>
      </c>
      <c r="N52" s="164">
        <f t="shared" si="47"/>
        <v>0.96703296703296704</v>
      </c>
      <c r="O52" s="164">
        <f t="shared" si="47"/>
        <v>0.96703296703296704</v>
      </c>
      <c r="P52" s="164">
        <f t="shared" si="47"/>
        <v>0.86813186813186816</v>
      </c>
      <c r="Q52" s="164">
        <f t="shared" si="47"/>
        <v>0.97802197802197799</v>
      </c>
      <c r="R52" s="164">
        <f t="shared" si="47"/>
        <v>0.68131868131868134</v>
      </c>
      <c r="S52" s="164">
        <f t="shared" si="47"/>
        <v>0.86813186813186816</v>
      </c>
      <c r="T52" s="164">
        <f t="shared" si="47"/>
        <v>0.79120879120879117</v>
      </c>
      <c r="U52" s="164">
        <f t="shared" si="47"/>
        <v>0.95604395604395609</v>
      </c>
      <c r="V52" s="164">
        <f t="shared" si="47"/>
        <v>0.94505494505494503</v>
      </c>
      <c r="W52" s="164">
        <f t="shared" si="47"/>
        <v>0.7142857142857143</v>
      </c>
      <c r="X52" s="164">
        <f t="shared" si="47"/>
        <v>0.70329670329670335</v>
      </c>
      <c r="Y52" s="164">
        <f t="shared" si="47"/>
        <v>0.64835164835164838</v>
      </c>
      <c r="Z52" s="164">
        <f t="shared" si="47"/>
        <v>0.98901098901098905</v>
      </c>
      <c r="AA52" s="164">
        <f t="shared" si="47"/>
        <v>0.97802197802197799</v>
      </c>
      <c r="AB52" s="164">
        <f t="shared" si="47"/>
        <v>0.8351648351648352</v>
      </c>
      <c r="AC52" s="164">
        <f t="shared" si="47"/>
        <v>0.49450549450549453</v>
      </c>
      <c r="AD52" s="164">
        <f t="shared" si="47"/>
        <v>0.69230769230769229</v>
      </c>
      <c r="AE52" s="164">
        <f t="shared" si="47"/>
        <v>0.43956043956043955</v>
      </c>
      <c r="AF52" s="164">
        <f t="shared" si="47"/>
        <v>0.39560439560439559</v>
      </c>
      <c r="AG52" s="164">
        <f t="shared" si="47"/>
        <v>0.35164835164835168</v>
      </c>
      <c r="AH52" s="164">
        <f t="shared" si="47"/>
        <v>0.52747252747252749</v>
      </c>
      <c r="AI52" s="290">
        <f>+AI51/(A51*A$1)</f>
        <v>0.80574264445232191</v>
      </c>
      <c r="AJ52" s="291">
        <f>AJ51/($A51*AK1)</f>
        <v>0.80574264445232191</v>
      </c>
    </row>
    <row r="53" spans="1:36" x14ac:dyDescent="0.3">
      <c r="A53" s="203"/>
      <c r="B53" s="162"/>
      <c r="C53" s="163" t="s">
        <v>17</v>
      </c>
      <c r="D53" s="165">
        <f>+IFERROR(D55/D51,0)</f>
        <v>124.42999999999999</v>
      </c>
      <c r="E53" s="165">
        <f t="shared" ref="E53:AH53" si="48">+IFERROR(E55/E51,0)</f>
        <v>131.22139534883721</v>
      </c>
      <c r="F53" s="165">
        <f t="shared" si="48"/>
        <v>133.44622222222222</v>
      </c>
      <c r="G53" s="165">
        <f t="shared" si="48"/>
        <v>141.351</v>
      </c>
      <c r="H53" s="165">
        <f t="shared" si="48"/>
        <v>136.68886363636364</v>
      </c>
      <c r="I53" s="165">
        <f t="shared" si="48"/>
        <v>138.93218390804597</v>
      </c>
      <c r="J53" s="165">
        <f t="shared" si="48"/>
        <v>118.338375</v>
      </c>
      <c r="K53" s="165">
        <f t="shared" si="48"/>
        <v>141.00712328767125</v>
      </c>
      <c r="L53" s="165">
        <f t="shared" si="48"/>
        <v>146.81314606741574</v>
      </c>
      <c r="M53" s="165">
        <f t="shared" si="48"/>
        <v>150.48813186813186</v>
      </c>
      <c r="N53" s="165">
        <f t="shared" si="48"/>
        <v>135.04738636363638</v>
      </c>
      <c r="O53" s="165">
        <f t="shared" si="48"/>
        <v>155.69920454545456</v>
      </c>
      <c r="P53" s="165">
        <f t="shared" si="48"/>
        <v>136.73632911392406</v>
      </c>
      <c r="Q53" s="165">
        <f t="shared" si="48"/>
        <v>123.76078651685393</v>
      </c>
      <c r="R53" s="165">
        <f t="shared" si="48"/>
        <v>126.86209677419355</v>
      </c>
      <c r="S53" s="165">
        <f t="shared" si="48"/>
        <v>136.77962025316455</v>
      </c>
      <c r="T53" s="165">
        <f t="shared" si="48"/>
        <v>147.85722222222222</v>
      </c>
      <c r="U53" s="165">
        <f t="shared" si="48"/>
        <v>143.81149425287356</v>
      </c>
      <c r="V53" s="165">
        <f t="shared" si="48"/>
        <v>148.88337209302324</v>
      </c>
      <c r="W53" s="165">
        <f t="shared" si="48"/>
        <v>128.20846153846153</v>
      </c>
      <c r="X53" s="165">
        <f t="shared" si="48"/>
        <v>139.03156250000001</v>
      </c>
      <c r="Y53" s="165">
        <f t="shared" si="48"/>
        <v>152.20389830508475</v>
      </c>
      <c r="Z53" s="165">
        <f t="shared" si="48"/>
        <v>186.45511111111111</v>
      </c>
      <c r="AA53" s="165">
        <f t="shared" si="48"/>
        <v>170.71044943820223</v>
      </c>
      <c r="AB53" s="165">
        <f t="shared" si="48"/>
        <v>145.99776315789472</v>
      </c>
      <c r="AC53" s="165">
        <f t="shared" si="48"/>
        <v>152.14355555555557</v>
      </c>
      <c r="AD53" s="165">
        <f t="shared" si="48"/>
        <v>131.49460317460318</v>
      </c>
      <c r="AE53" s="165">
        <f t="shared" si="48"/>
        <v>117.84224999999999</v>
      </c>
      <c r="AF53" s="165">
        <f t="shared" si="48"/>
        <v>106.44861111111112</v>
      </c>
      <c r="AG53" s="165">
        <f t="shared" si="48"/>
        <v>107.191875</v>
      </c>
      <c r="AH53" s="165">
        <f t="shared" si="48"/>
        <v>126.32541666666667</v>
      </c>
      <c r="AI53" s="292">
        <f>+AI55/AI51</f>
        <v>140.27949846018481</v>
      </c>
      <c r="AJ53" s="293">
        <f>+AJ55/AJ51</f>
        <v>140.27949846018481</v>
      </c>
    </row>
    <row r="54" spans="1:36" x14ac:dyDescent="0.3">
      <c r="A54" s="203"/>
      <c r="B54" s="162"/>
      <c r="C54" s="163" t="s">
        <v>18</v>
      </c>
      <c r="D54" s="165">
        <f>+D52*D53</f>
        <v>84.776483516483509</v>
      </c>
      <c r="E54" s="165">
        <f t="shared" ref="E54:AH54" si="49">+E52*E53</f>
        <v>124.01142857142857</v>
      </c>
      <c r="F54" s="165">
        <f t="shared" si="49"/>
        <v>131.97978021978022</v>
      </c>
      <c r="G54" s="165">
        <f t="shared" si="49"/>
        <v>139.7976923076923</v>
      </c>
      <c r="H54" s="165">
        <f t="shared" si="49"/>
        <v>132.18263736263737</v>
      </c>
      <c r="I54" s="165">
        <f t="shared" si="49"/>
        <v>132.82527472527474</v>
      </c>
      <c r="J54" s="165">
        <f t="shared" si="49"/>
        <v>104.03373626373626</v>
      </c>
      <c r="K54" s="165">
        <f t="shared" si="49"/>
        <v>113.11560439560441</v>
      </c>
      <c r="L54" s="165">
        <f t="shared" si="49"/>
        <v>143.58648351648353</v>
      </c>
      <c r="M54" s="165">
        <f t="shared" si="49"/>
        <v>150.48813186813186</v>
      </c>
      <c r="N54" s="165">
        <f t="shared" si="49"/>
        <v>130.59527472527475</v>
      </c>
      <c r="O54" s="165">
        <f t="shared" si="49"/>
        <v>150.56626373626375</v>
      </c>
      <c r="P54" s="165">
        <f t="shared" si="49"/>
        <v>118.70516483516485</v>
      </c>
      <c r="Q54" s="165">
        <f t="shared" si="49"/>
        <v>121.04076923076921</v>
      </c>
      <c r="R54" s="165">
        <f t="shared" si="49"/>
        <v>86.433516483516485</v>
      </c>
      <c r="S54" s="165">
        <f t="shared" si="49"/>
        <v>118.74274725274725</v>
      </c>
      <c r="T54" s="165">
        <f t="shared" si="49"/>
        <v>116.98593406593406</v>
      </c>
      <c r="U54" s="165">
        <f t="shared" si="49"/>
        <v>137.49010989010989</v>
      </c>
      <c r="V54" s="165">
        <f t="shared" si="49"/>
        <v>140.70296703296702</v>
      </c>
      <c r="W54" s="165">
        <f t="shared" si="49"/>
        <v>91.577472527472523</v>
      </c>
      <c r="X54" s="165">
        <f t="shared" si="49"/>
        <v>97.780439560439575</v>
      </c>
      <c r="Y54" s="165">
        <f t="shared" si="49"/>
        <v>98.681648351648363</v>
      </c>
      <c r="Z54" s="165">
        <f t="shared" si="49"/>
        <v>184.40615384615384</v>
      </c>
      <c r="AA54" s="165">
        <f t="shared" si="49"/>
        <v>166.95857142857142</v>
      </c>
      <c r="AB54" s="165">
        <f>+AB52*AB53</f>
        <v>121.93219780219779</v>
      </c>
      <c r="AC54" s="165">
        <f t="shared" si="49"/>
        <v>75.235824175824177</v>
      </c>
      <c r="AD54" s="165">
        <f t="shared" si="49"/>
        <v>91.034725274725275</v>
      </c>
      <c r="AE54" s="165">
        <f t="shared" si="49"/>
        <v>51.798791208791208</v>
      </c>
      <c r="AF54" s="165">
        <f t="shared" si="49"/>
        <v>42.111538461538466</v>
      </c>
      <c r="AG54" s="165">
        <f t="shared" si="49"/>
        <v>37.693846153846152</v>
      </c>
      <c r="AH54" s="165">
        <f t="shared" si="49"/>
        <v>66.633186813186811</v>
      </c>
      <c r="AI54" s="292">
        <f>+AI52*AI53</f>
        <v>113.02917405175472</v>
      </c>
      <c r="AJ54" s="293">
        <f>+AJ52*AJ53</f>
        <v>113.02917405175472</v>
      </c>
    </row>
    <row r="55" spans="1:36" s="248" customFormat="1" ht="15" thickBot="1" x14ac:dyDescent="0.35">
      <c r="A55" s="238"/>
      <c r="B55" s="212"/>
      <c r="C55" s="213" t="s">
        <v>31</v>
      </c>
      <c r="D55" s="214">
        <v>7714.66</v>
      </c>
      <c r="E55" s="214">
        <v>11285.04</v>
      </c>
      <c r="F55" s="214">
        <v>12010.16</v>
      </c>
      <c r="G55" s="214">
        <v>12721.59</v>
      </c>
      <c r="H55" s="214">
        <v>12028.62</v>
      </c>
      <c r="I55" s="214">
        <v>12087.1</v>
      </c>
      <c r="J55" s="214">
        <v>9467.07</v>
      </c>
      <c r="K55" s="214">
        <v>10293.52</v>
      </c>
      <c r="L55" s="214">
        <v>13066.37</v>
      </c>
      <c r="M55" s="214">
        <v>13694.42</v>
      </c>
      <c r="N55" s="214">
        <v>11884.17</v>
      </c>
      <c r="O55" s="214">
        <v>13701.53</v>
      </c>
      <c r="P55" s="214">
        <v>10802.17</v>
      </c>
      <c r="Q55" s="214">
        <v>11014.71</v>
      </c>
      <c r="R55" s="214">
        <v>7865.45</v>
      </c>
      <c r="S55" s="214">
        <v>10805.59</v>
      </c>
      <c r="T55" s="214">
        <v>10645.72</v>
      </c>
      <c r="U55" s="214">
        <v>12511.6</v>
      </c>
      <c r="V55" s="214">
        <v>12803.97</v>
      </c>
      <c r="W55" s="214">
        <v>8333.5499999999993</v>
      </c>
      <c r="X55" s="214">
        <v>8898.02</v>
      </c>
      <c r="Y55" s="214">
        <v>8980.0300000000007</v>
      </c>
      <c r="Z55" s="214">
        <v>16780.96</v>
      </c>
      <c r="AA55" s="214">
        <v>15193.23</v>
      </c>
      <c r="AB55" s="214">
        <v>11095.83</v>
      </c>
      <c r="AC55" s="214">
        <v>6846.46</v>
      </c>
      <c r="AD55" s="214">
        <v>8284.16</v>
      </c>
      <c r="AE55" s="214">
        <v>4713.6899999999996</v>
      </c>
      <c r="AF55" s="214">
        <v>3832.15</v>
      </c>
      <c r="AG55" s="214">
        <v>3430.14</v>
      </c>
      <c r="AH55" s="214">
        <v>6063.62</v>
      </c>
      <c r="AI55" s="215">
        <f>SUM(D55:AH55)</f>
        <v>318855.30000000005</v>
      </c>
      <c r="AJ55" s="307">
        <f>+AI55/$A$1*$AK$1</f>
        <v>318855.30000000005</v>
      </c>
    </row>
    <row r="56" spans="1:36" s="248" customFormat="1" ht="15" hidden="1" thickBot="1" x14ac:dyDescent="0.35">
      <c r="A56" s="238"/>
      <c r="B56" s="256"/>
      <c r="C56" s="257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9"/>
      <c r="AJ56" s="295"/>
    </row>
    <row r="57" spans="1:36" x14ac:dyDescent="0.3">
      <c r="A57" s="203">
        <v>224</v>
      </c>
      <c r="B57" s="159" t="s">
        <v>33</v>
      </c>
      <c r="C57" s="160" t="s">
        <v>19</v>
      </c>
      <c r="D57" s="253">
        <f>+D55+D50</f>
        <v>20166.03</v>
      </c>
      <c r="E57" s="253">
        <f t="shared" ref="E57:AH57" si="50">+E55+E50</f>
        <v>25107.9</v>
      </c>
      <c r="F57" s="253">
        <f t="shared" si="50"/>
        <v>30793.61</v>
      </c>
      <c r="G57" s="253">
        <f t="shared" si="50"/>
        <v>32613.99</v>
      </c>
      <c r="H57" s="253">
        <f t="shared" si="50"/>
        <v>28817.9</v>
      </c>
      <c r="I57" s="253">
        <f>+I55+I50</f>
        <v>21370.28</v>
      </c>
      <c r="J57" s="253">
        <f t="shared" si="50"/>
        <v>17846.48</v>
      </c>
      <c r="K57" s="253">
        <f t="shared" si="50"/>
        <v>24498.23</v>
      </c>
      <c r="L57" s="253">
        <f t="shared" si="50"/>
        <v>31732.78</v>
      </c>
      <c r="M57" s="253">
        <f t="shared" si="50"/>
        <v>34442.949999999997</v>
      </c>
      <c r="N57" s="253">
        <f t="shared" si="50"/>
        <v>29952.489999999998</v>
      </c>
      <c r="O57" s="253">
        <f t="shared" si="50"/>
        <v>30408.940000000002</v>
      </c>
      <c r="P57" s="253">
        <f t="shared" si="50"/>
        <v>27205.760000000002</v>
      </c>
      <c r="Q57" s="253">
        <f t="shared" si="50"/>
        <v>25611.3</v>
      </c>
      <c r="R57" s="253">
        <f t="shared" si="50"/>
        <v>19853.48</v>
      </c>
      <c r="S57" s="253">
        <f t="shared" si="50"/>
        <v>22351.7</v>
      </c>
      <c r="T57" s="253">
        <f>+T55+T50</f>
        <v>32940.01</v>
      </c>
      <c r="U57" s="253">
        <f t="shared" si="50"/>
        <v>28471.059999999998</v>
      </c>
      <c r="V57" s="253">
        <f t="shared" si="50"/>
        <v>27649.040000000001</v>
      </c>
      <c r="W57" s="253">
        <f t="shared" si="50"/>
        <v>24708.1</v>
      </c>
      <c r="X57" s="253">
        <f t="shared" si="50"/>
        <v>23442.02</v>
      </c>
      <c r="Y57" s="253">
        <f t="shared" si="50"/>
        <v>26303.309999999998</v>
      </c>
      <c r="Z57" s="253">
        <f t="shared" si="50"/>
        <v>39737.08</v>
      </c>
      <c r="AA57" s="253">
        <f t="shared" si="50"/>
        <v>43237.41</v>
      </c>
      <c r="AB57" s="253">
        <f t="shared" si="50"/>
        <v>29081.25</v>
      </c>
      <c r="AC57" s="253">
        <f t="shared" si="50"/>
        <v>18472.11</v>
      </c>
      <c r="AD57" s="253">
        <f t="shared" si="50"/>
        <v>13103.43</v>
      </c>
      <c r="AE57" s="253">
        <f t="shared" si="50"/>
        <v>12530.259999999998</v>
      </c>
      <c r="AF57" s="253">
        <f t="shared" si="50"/>
        <v>10101.19</v>
      </c>
      <c r="AG57" s="253">
        <f t="shared" si="50"/>
        <v>12510.96</v>
      </c>
      <c r="AH57" s="253">
        <f t="shared" si="50"/>
        <v>21915.47</v>
      </c>
      <c r="AI57" s="308">
        <f>SUM(D57:AG57)</f>
        <v>765061.05</v>
      </c>
      <c r="AJ57" s="293">
        <f>+AJ55+AJ50</f>
        <v>786976.52</v>
      </c>
    </row>
    <row r="58" spans="1:36" x14ac:dyDescent="0.3">
      <c r="A58" s="203"/>
      <c r="B58" s="162"/>
      <c r="C58" s="163" t="s">
        <v>34</v>
      </c>
      <c r="D58" s="166">
        <f t="shared" ref="D58:W58" si="51">+D59-D57</f>
        <v>972.47000000000116</v>
      </c>
      <c r="E58" s="166">
        <f t="shared" si="51"/>
        <v>1494.0799999999981</v>
      </c>
      <c r="F58" s="166">
        <f t="shared" si="51"/>
        <v>673.91999999999825</v>
      </c>
      <c r="G58" s="166">
        <f t="shared" si="51"/>
        <v>569.7599999999984</v>
      </c>
      <c r="H58" s="166">
        <f t="shared" si="51"/>
        <v>1698.869999999999</v>
      </c>
      <c r="I58" s="166">
        <f t="shared" si="51"/>
        <v>-8857.0399999999991</v>
      </c>
      <c r="J58" s="166">
        <f>+J59-J57</f>
        <v>2007.9700000000012</v>
      </c>
      <c r="K58" s="166">
        <f t="shared" si="51"/>
        <v>-130.10000000000218</v>
      </c>
      <c r="L58" s="166">
        <f>L59-L57</f>
        <v>9521.1699999999983</v>
      </c>
      <c r="M58" s="166">
        <f t="shared" si="51"/>
        <v>11681.320000000007</v>
      </c>
      <c r="N58" s="166">
        <f t="shared" si="51"/>
        <v>424.05000000000291</v>
      </c>
      <c r="O58" s="166">
        <f t="shared" si="51"/>
        <v>1647.1599999999962</v>
      </c>
      <c r="P58" s="166">
        <f t="shared" si="51"/>
        <v>414.16999999999825</v>
      </c>
      <c r="Q58" s="166">
        <f t="shared" si="51"/>
        <v>958.22999999999956</v>
      </c>
      <c r="R58" s="166">
        <f t="shared" si="51"/>
        <v>546.56000000000131</v>
      </c>
      <c r="S58" s="166">
        <f t="shared" si="51"/>
        <v>2041.3899999999994</v>
      </c>
      <c r="T58" s="166">
        <f>+T59-T57</f>
        <v>3506.9399999999951</v>
      </c>
      <c r="U58" s="166">
        <f t="shared" si="51"/>
        <v>201.38000000000102</v>
      </c>
      <c r="V58" s="166">
        <f t="shared" si="51"/>
        <v>554.7699999999968</v>
      </c>
      <c r="W58" s="166">
        <f t="shared" si="51"/>
        <v>314.12000000000262</v>
      </c>
      <c r="X58" s="166">
        <f>+X59-X57</f>
        <v>676.92999999999665</v>
      </c>
      <c r="Y58" s="166">
        <f t="shared" ref="Y58:AH58" si="52">+Y59-Y57</f>
        <v>448.81000000000131</v>
      </c>
      <c r="Z58" s="166">
        <f t="shared" si="52"/>
        <v>3617.4799999999959</v>
      </c>
      <c r="AA58" s="166">
        <f t="shared" si="52"/>
        <v>339.97999999999593</v>
      </c>
      <c r="AB58" s="166">
        <f t="shared" si="52"/>
        <v>1359.9300000000003</v>
      </c>
      <c r="AC58" s="166">
        <f t="shared" si="52"/>
        <v>659.80999999999767</v>
      </c>
      <c r="AD58" s="166">
        <f t="shared" si="52"/>
        <v>338.47999999999956</v>
      </c>
      <c r="AE58" s="166">
        <f t="shared" si="52"/>
        <v>939.42000000000189</v>
      </c>
      <c r="AF58" s="166">
        <f t="shared" si="52"/>
        <v>237.33999999999833</v>
      </c>
      <c r="AG58" s="166">
        <f t="shared" si="52"/>
        <v>277.56000000000131</v>
      </c>
      <c r="AH58" s="166">
        <f t="shared" si="52"/>
        <v>26311.96</v>
      </c>
      <c r="AI58" s="294">
        <f>SUM(D58:AG58)</f>
        <v>39136.929999999978</v>
      </c>
      <c r="AJ58" s="293">
        <f>+AI58/$A$1*AK1</f>
        <v>39136.929999999978</v>
      </c>
    </row>
    <row r="59" spans="1:36" ht="15" thickBot="1" x14ac:dyDescent="0.35">
      <c r="A59" s="203"/>
      <c r="B59" s="205"/>
      <c r="C59" s="206" t="s">
        <v>35</v>
      </c>
      <c r="D59" s="254">
        <f>8091.59+13046.91</f>
        <v>21138.5</v>
      </c>
      <c r="E59" s="254">
        <f>15181.14+11420.84</f>
        <v>26601.98</v>
      </c>
      <c r="F59" s="254">
        <f>19147.9+12319.63</f>
        <v>31467.53</v>
      </c>
      <c r="G59" s="254">
        <f>20334.67+12849.08</f>
        <v>33183.75</v>
      </c>
      <c r="H59" s="254">
        <f>12476.54+18040.23</f>
        <v>30516.77</v>
      </c>
      <c r="I59" s="254">
        <f>12513.24</f>
        <v>12513.24</v>
      </c>
      <c r="J59" s="254">
        <f>10886.68+8967.77</f>
        <v>19854.45</v>
      </c>
      <c r="K59" s="254">
        <f>14672.8+9695.33</f>
        <v>24368.129999999997</v>
      </c>
      <c r="L59" s="254">
        <f>13180.01+28073.94</f>
        <v>41253.949999999997</v>
      </c>
      <c r="M59" s="254">
        <f>13820.07+32304.2</f>
        <v>46124.270000000004</v>
      </c>
      <c r="N59" s="254">
        <f>18253.1+12123.44</f>
        <v>30376.54</v>
      </c>
      <c r="O59" s="254">
        <f>18163.17+13892.93</f>
        <v>32056.1</v>
      </c>
      <c r="P59" s="254">
        <f>16693.66+10926.27</f>
        <v>27619.93</v>
      </c>
      <c r="Q59" s="254">
        <f>14811.92+11757.61</f>
        <v>26569.53</v>
      </c>
      <c r="R59" s="254">
        <f>8095.6+12304.44</f>
        <v>20400.04</v>
      </c>
      <c r="S59" s="254">
        <f>13174.55+11218.54</f>
        <v>24393.09</v>
      </c>
      <c r="T59" s="254">
        <v>36446.949999999997</v>
      </c>
      <c r="U59" s="254">
        <f>12558.71+16113.73</f>
        <v>28672.44</v>
      </c>
      <c r="V59" s="254">
        <f>12903.75+15300.06</f>
        <v>28203.809999999998</v>
      </c>
      <c r="W59" s="254">
        <f>8375.12+16647.1</f>
        <v>25022.22</v>
      </c>
      <c r="X59" s="254">
        <f>14972.15+9146.8</f>
        <v>24118.949999999997</v>
      </c>
      <c r="Y59" s="254">
        <f>9077.84+17674.28</f>
        <v>26752.12</v>
      </c>
      <c r="Z59" s="254">
        <f>26113.49+17241.07</f>
        <v>43354.559999999998</v>
      </c>
      <c r="AA59" s="254">
        <f>28269.59+15307.8</f>
        <v>43577.39</v>
      </c>
      <c r="AB59" s="254">
        <f>11137.41+19303.77</f>
        <v>30441.18</v>
      </c>
      <c r="AC59" s="254">
        <f>12069.06+7062.86</f>
        <v>19131.919999999998</v>
      </c>
      <c r="AD59" s="254">
        <f>4969.86+8472.05</f>
        <v>13441.91</v>
      </c>
      <c r="AE59" s="254">
        <f>8473.78+4995.9</f>
        <v>13469.68</v>
      </c>
      <c r="AF59" s="254">
        <f>6359.11+3979.42</f>
        <v>10338.529999999999</v>
      </c>
      <c r="AG59" s="254">
        <f>3442.15+9346.37</f>
        <v>12788.52</v>
      </c>
      <c r="AH59" s="254">
        <f>41909.65+6317.78</f>
        <v>48227.43</v>
      </c>
      <c r="AI59" s="309">
        <f>SUM(D59:AG59)</f>
        <v>804197.9800000001</v>
      </c>
      <c r="AJ59" s="295">
        <f>+AJ57+AJ58</f>
        <v>826113.45</v>
      </c>
    </row>
    <row r="60" spans="1:36" ht="15" hidden="1" thickBot="1" x14ac:dyDescent="0.35">
      <c r="A60" s="203">
        <v>74</v>
      </c>
      <c r="B60" s="33" t="s">
        <v>36</v>
      </c>
      <c r="C60" s="34" t="s">
        <v>15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310">
        <f>SUM(D60:AH60)</f>
        <v>0</v>
      </c>
      <c r="AJ60" s="285">
        <f>+$AI60/$A$1*$AK$1</f>
        <v>0</v>
      </c>
    </row>
    <row r="61" spans="1:36" ht="15" hidden="1" thickBot="1" x14ac:dyDescent="0.35">
      <c r="A61" s="203"/>
      <c r="B61" s="33"/>
      <c r="C61" s="34" t="s">
        <v>16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281">
        <f>+AI60/(A60*A$1)</f>
        <v>0</v>
      </c>
      <c r="AJ61" s="282">
        <f>AJ60/($A60*AK1)</f>
        <v>0</v>
      </c>
    </row>
    <row r="62" spans="1:36" ht="15" hidden="1" thickBot="1" x14ac:dyDescent="0.35">
      <c r="A62" s="203"/>
      <c r="B62" s="33"/>
      <c r="C62" s="34" t="s">
        <v>17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283" t="e">
        <f>+AI64/AI60</f>
        <v>#DIV/0!</v>
      </c>
      <c r="AJ62" s="279" t="e">
        <f>+AJ64/AJ60</f>
        <v>#DIV/0!</v>
      </c>
    </row>
    <row r="63" spans="1:36" ht="15" hidden="1" thickBot="1" x14ac:dyDescent="0.35">
      <c r="A63" s="203"/>
      <c r="B63" s="33"/>
      <c r="C63" s="34" t="s">
        <v>18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283" t="e">
        <f>+AI62*AI61</f>
        <v>#DIV/0!</v>
      </c>
      <c r="AJ63" s="279" t="e">
        <f>+AJ61*AJ62</f>
        <v>#DIV/0!</v>
      </c>
    </row>
    <row r="64" spans="1:36" s="249" customFormat="1" ht="15" hidden="1" thickBot="1" x14ac:dyDescent="0.35">
      <c r="A64" s="203"/>
      <c r="B64" s="141"/>
      <c r="C64" s="65" t="s">
        <v>19</v>
      </c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311">
        <f>SUM(D64:AH64)</f>
        <v>0</v>
      </c>
      <c r="AJ64" s="285">
        <f>+AI64/$A$1*$AK$1</f>
        <v>0</v>
      </c>
    </row>
    <row r="65" spans="1:36" x14ac:dyDescent="0.3">
      <c r="A65" s="203">
        <v>120</v>
      </c>
      <c r="B65" s="323" t="s">
        <v>37</v>
      </c>
      <c r="C65" s="163" t="s">
        <v>15</v>
      </c>
      <c r="D65" s="223">
        <v>61</v>
      </c>
      <c r="E65" s="223">
        <v>93</v>
      </c>
      <c r="F65" s="223">
        <v>80</v>
      </c>
      <c r="G65" s="223">
        <v>59</v>
      </c>
      <c r="H65" s="223">
        <v>117</v>
      </c>
      <c r="I65" s="223">
        <v>118</v>
      </c>
      <c r="J65" s="223">
        <v>71</v>
      </c>
      <c r="K65" s="223">
        <v>85</v>
      </c>
      <c r="L65" s="223">
        <v>90</v>
      </c>
      <c r="M65" s="223">
        <v>88</v>
      </c>
      <c r="N65" s="223">
        <v>115</v>
      </c>
      <c r="O65" s="223">
        <v>115</v>
      </c>
      <c r="P65" s="223">
        <v>104</v>
      </c>
      <c r="Q65" s="223">
        <v>83</v>
      </c>
      <c r="R65" s="223">
        <v>70</v>
      </c>
      <c r="S65" s="223">
        <v>94</v>
      </c>
      <c r="T65" s="223">
        <v>95</v>
      </c>
      <c r="U65" s="223">
        <v>105</v>
      </c>
      <c r="V65" s="223">
        <v>99</v>
      </c>
      <c r="W65" s="223">
        <v>78</v>
      </c>
      <c r="X65" s="223">
        <v>92</v>
      </c>
      <c r="Y65" s="223">
        <v>79</v>
      </c>
      <c r="Z65" s="223">
        <v>81</v>
      </c>
      <c r="AA65" s="223">
        <v>89</v>
      </c>
      <c r="AB65" s="223">
        <v>98</v>
      </c>
      <c r="AC65" s="223">
        <v>118</v>
      </c>
      <c r="AD65" s="223">
        <v>114</v>
      </c>
      <c r="AE65" s="223">
        <v>99</v>
      </c>
      <c r="AF65" s="223">
        <v>59</v>
      </c>
      <c r="AG65" s="223">
        <v>53</v>
      </c>
      <c r="AH65" s="223">
        <v>82</v>
      </c>
      <c r="AI65" s="312">
        <f>SUM(D65:AH65)</f>
        <v>2784</v>
      </c>
      <c r="AJ65" s="289">
        <f>+$AI65/$A$1*$AK$1</f>
        <v>2784</v>
      </c>
    </row>
    <row r="66" spans="1:36" x14ac:dyDescent="0.3">
      <c r="A66" s="203"/>
      <c r="B66" s="162"/>
      <c r="C66" s="163" t="s">
        <v>16</v>
      </c>
      <c r="D66" s="164">
        <f>+D65/$A65</f>
        <v>0.5083333333333333</v>
      </c>
      <c r="E66" s="164">
        <f t="shared" ref="E66:AH66" si="53">+E65/$A65</f>
        <v>0.77500000000000002</v>
      </c>
      <c r="F66" s="164">
        <f t="shared" si="53"/>
        <v>0.66666666666666663</v>
      </c>
      <c r="G66" s="164">
        <f t="shared" si="53"/>
        <v>0.49166666666666664</v>
      </c>
      <c r="H66" s="164">
        <f t="shared" si="53"/>
        <v>0.97499999999999998</v>
      </c>
      <c r="I66" s="164">
        <f t="shared" si="53"/>
        <v>0.98333333333333328</v>
      </c>
      <c r="J66" s="164">
        <f t="shared" si="53"/>
        <v>0.59166666666666667</v>
      </c>
      <c r="K66" s="164">
        <f t="shared" si="53"/>
        <v>0.70833333333333337</v>
      </c>
      <c r="L66" s="164">
        <f t="shared" si="53"/>
        <v>0.75</v>
      </c>
      <c r="M66" s="164">
        <f t="shared" si="53"/>
        <v>0.73333333333333328</v>
      </c>
      <c r="N66" s="164">
        <f t="shared" si="53"/>
        <v>0.95833333333333337</v>
      </c>
      <c r="O66" s="164">
        <f t="shared" si="53"/>
        <v>0.95833333333333337</v>
      </c>
      <c r="P66" s="164">
        <f>+P65/$A65</f>
        <v>0.8666666666666667</v>
      </c>
      <c r="Q66" s="164">
        <f t="shared" ref="Q66:R66" si="54">+Q65/$A65</f>
        <v>0.69166666666666665</v>
      </c>
      <c r="R66" s="164">
        <f t="shared" si="54"/>
        <v>0.58333333333333337</v>
      </c>
      <c r="S66" s="164">
        <f t="shared" si="53"/>
        <v>0.78333333333333333</v>
      </c>
      <c r="T66" s="164">
        <f t="shared" si="53"/>
        <v>0.79166666666666663</v>
      </c>
      <c r="U66" s="164">
        <f t="shared" si="53"/>
        <v>0.875</v>
      </c>
      <c r="V66" s="164">
        <f t="shared" si="53"/>
        <v>0.82499999999999996</v>
      </c>
      <c r="W66" s="164">
        <f t="shared" si="53"/>
        <v>0.65</v>
      </c>
      <c r="X66" s="164">
        <f t="shared" si="53"/>
        <v>0.76666666666666672</v>
      </c>
      <c r="Y66" s="164">
        <f t="shared" si="53"/>
        <v>0.65833333333333333</v>
      </c>
      <c r="Z66" s="164">
        <f t="shared" si="53"/>
        <v>0.67500000000000004</v>
      </c>
      <c r="AA66" s="164">
        <f t="shared" si="53"/>
        <v>0.7416666666666667</v>
      </c>
      <c r="AB66" s="164">
        <f t="shared" si="53"/>
        <v>0.81666666666666665</v>
      </c>
      <c r="AC66" s="164">
        <f t="shared" si="53"/>
        <v>0.98333333333333328</v>
      </c>
      <c r="AD66" s="164">
        <f t="shared" si="53"/>
        <v>0.95</v>
      </c>
      <c r="AE66" s="164">
        <f t="shared" si="53"/>
        <v>0.82499999999999996</v>
      </c>
      <c r="AF66" s="164">
        <f t="shared" si="53"/>
        <v>0.49166666666666664</v>
      </c>
      <c r="AG66" s="164">
        <f t="shared" si="53"/>
        <v>0.44166666666666665</v>
      </c>
      <c r="AH66" s="164">
        <f t="shared" si="53"/>
        <v>0.68333333333333335</v>
      </c>
      <c r="AI66" s="290">
        <f>+AI65/(A65*A$1)</f>
        <v>0.74838709677419357</v>
      </c>
      <c r="AJ66" s="291">
        <f>AJ65/($A65*AK1)</f>
        <v>0.74838709677419357</v>
      </c>
    </row>
    <row r="67" spans="1:36" x14ac:dyDescent="0.3">
      <c r="A67" s="203"/>
      <c r="B67" s="162"/>
      <c r="C67" s="163" t="s">
        <v>17</v>
      </c>
      <c r="D67" s="165">
        <f t="shared" ref="D67:AH67" si="55">+IFERROR(D69/D65,0)</f>
        <v>114.54655737704918</v>
      </c>
      <c r="E67" s="165">
        <f t="shared" si="55"/>
        <v>114.62247311827956</v>
      </c>
      <c r="F67" s="165">
        <f t="shared" si="55"/>
        <v>111.188625</v>
      </c>
      <c r="G67" s="165">
        <f t="shared" si="55"/>
        <v>113.60644067796609</v>
      </c>
      <c r="H67" s="165">
        <f t="shared" si="55"/>
        <v>157.98478632478634</v>
      </c>
      <c r="I67" s="165">
        <f t="shared" si="55"/>
        <v>169.23618644067795</v>
      </c>
      <c r="J67" s="165">
        <f t="shared" si="55"/>
        <v>115.75281690140847</v>
      </c>
      <c r="K67" s="165">
        <f t="shared" si="55"/>
        <v>44.292352941176468</v>
      </c>
      <c r="L67" s="165">
        <f t="shared" si="55"/>
        <v>112.82033333333334</v>
      </c>
      <c r="M67" s="165">
        <f t="shared" si="55"/>
        <v>147.31522727272727</v>
      </c>
      <c r="N67" s="165">
        <f t="shared" si="55"/>
        <v>129.69808695652173</v>
      </c>
      <c r="O67" s="165">
        <f t="shared" si="55"/>
        <v>244.34052173913042</v>
      </c>
      <c r="P67" s="165">
        <f t="shared" si="55"/>
        <v>270.87365384615384</v>
      </c>
      <c r="Q67" s="165">
        <f t="shared" si="55"/>
        <v>185.84180722891568</v>
      </c>
      <c r="R67" s="165">
        <f t="shared" si="55"/>
        <v>103.42971428571428</v>
      </c>
      <c r="S67" s="165">
        <f t="shared" si="55"/>
        <v>115.95712765957447</v>
      </c>
      <c r="T67" s="165">
        <f t="shared" si="55"/>
        <v>118.17378947368421</v>
      </c>
      <c r="U67" s="165">
        <f t="shared" si="55"/>
        <v>116.13066666666666</v>
      </c>
      <c r="V67" s="165">
        <f t="shared" si="55"/>
        <v>116.3440404040404</v>
      </c>
      <c r="W67" s="165">
        <f t="shared" si="55"/>
        <v>143.77500000000001</v>
      </c>
      <c r="X67" s="165">
        <f t="shared" si="55"/>
        <v>143.88989130434783</v>
      </c>
      <c r="Y67" s="165">
        <f t="shared" si="55"/>
        <v>103.53518987341772</v>
      </c>
      <c r="Z67" s="165">
        <f t="shared" si="55"/>
        <v>106.37469135802469</v>
      </c>
      <c r="AA67" s="165">
        <f t="shared" si="55"/>
        <v>107.8570786516854</v>
      </c>
      <c r="AB67" s="165">
        <f t="shared" si="55"/>
        <v>102.30785714285715</v>
      </c>
      <c r="AC67" s="165">
        <f t="shared" si="55"/>
        <v>172.24694915254236</v>
      </c>
      <c r="AD67" s="165">
        <f t="shared" si="55"/>
        <v>136.95263157894738</v>
      </c>
      <c r="AE67" s="165">
        <f t="shared" si="55"/>
        <v>137.00555555555556</v>
      </c>
      <c r="AF67" s="165">
        <f t="shared" si="55"/>
        <v>104.4971186440678</v>
      </c>
      <c r="AG67" s="165">
        <f t="shared" si="55"/>
        <v>106.3311320754717</v>
      </c>
      <c r="AH67" s="165">
        <f t="shared" si="55"/>
        <v>167.5110975609756</v>
      </c>
      <c r="AI67" s="292">
        <f>+AI69/AI65</f>
        <v>137.35633979885057</v>
      </c>
      <c r="AJ67" s="293">
        <f>+AJ69/AJ65</f>
        <v>137.35633979885057</v>
      </c>
    </row>
    <row r="68" spans="1:36" x14ac:dyDescent="0.3">
      <c r="A68" s="203"/>
      <c r="B68" s="162"/>
      <c r="C68" s="163" t="s">
        <v>18</v>
      </c>
      <c r="D68" s="165">
        <f t="shared" ref="D68:AH68" si="56">+D66*D67</f>
        <v>58.227833333333329</v>
      </c>
      <c r="E68" s="165">
        <f t="shared" si="56"/>
        <v>88.83241666666666</v>
      </c>
      <c r="F68" s="165">
        <f t="shared" si="56"/>
        <v>74.125749999999996</v>
      </c>
      <c r="G68" s="165">
        <f t="shared" si="56"/>
        <v>55.85649999999999</v>
      </c>
      <c r="H68" s="165">
        <f t="shared" si="56"/>
        <v>154.03516666666667</v>
      </c>
      <c r="I68" s="165">
        <f t="shared" si="56"/>
        <v>166.4155833333333</v>
      </c>
      <c r="J68" s="165">
        <f t="shared" si="56"/>
        <v>68.487083333333345</v>
      </c>
      <c r="K68" s="165">
        <f t="shared" si="56"/>
        <v>31.373750000000001</v>
      </c>
      <c r="L68" s="165">
        <f t="shared" si="56"/>
        <v>84.615250000000003</v>
      </c>
      <c r="M68" s="165">
        <f t="shared" si="56"/>
        <v>108.03116666666666</v>
      </c>
      <c r="N68" s="165">
        <f t="shared" si="56"/>
        <v>124.294</v>
      </c>
      <c r="O68" s="165">
        <f t="shared" si="56"/>
        <v>234.15966666666665</v>
      </c>
      <c r="P68" s="165">
        <f>+P66*P67</f>
        <v>234.75716666666668</v>
      </c>
      <c r="Q68" s="165">
        <f t="shared" ref="Q68:R68" si="57">+Q66*Q67</f>
        <v>128.54058333333336</v>
      </c>
      <c r="R68" s="165">
        <f t="shared" si="57"/>
        <v>60.334000000000003</v>
      </c>
      <c r="S68" s="165">
        <f t="shared" si="56"/>
        <v>90.833083333333335</v>
      </c>
      <c r="T68" s="165">
        <f t="shared" si="56"/>
        <v>93.554249999999996</v>
      </c>
      <c r="U68" s="165">
        <f t="shared" si="56"/>
        <v>101.61433333333332</v>
      </c>
      <c r="V68" s="165">
        <f t="shared" si="56"/>
        <v>95.983833333333322</v>
      </c>
      <c r="W68" s="165">
        <f t="shared" si="56"/>
        <v>93.453750000000014</v>
      </c>
      <c r="X68" s="165">
        <f t="shared" si="56"/>
        <v>110.31558333333334</v>
      </c>
      <c r="Y68" s="165">
        <f t="shared" si="56"/>
        <v>68.160666666666671</v>
      </c>
      <c r="Z68" s="165">
        <f t="shared" si="56"/>
        <v>71.802916666666675</v>
      </c>
      <c r="AA68" s="165">
        <f t="shared" si="56"/>
        <v>79.994000000000014</v>
      </c>
      <c r="AB68" s="165">
        <f t="shared" si="56"/>
        <v>83.551416666666668</v>
      </c>
      <c r="AC68" s="165">
        <f t="shared" si="56"/>
        <v>169.37616666666665</v>
      </c>
      <c r="AD68" s="165">
        <f t="shared" si="56"/>
        <v>130.10499999999999</v>
      </c>
      <c r="AE68" s="165">
        <f t="shared" si="56"/>
        <v>113.02958333333333</v>
      </c>
      <c r="AF68" s="165">
        <f t="shared" si="56"/>
        <v>51.377749999999999</v>
      </c>
      <c r="AG68" s="165">
        <f t="shared" si="56"/>
        <v>46.962916666666665</v>
      </c>
      <c r="AH68" s="165">
        <f t="shared" si="56"/>
        <v>114.46591666666666</v>
      </c>
      <c r="AI68" s="292">
        <f>+AI67*AI66</f>
        <v>102.7957123655914</v>
      </c>
      <c r="AJ68" s="293">
        <f>+AJ66*AJ67</f>
        <v>102.7957123655914</v>
      </c>
    </row>
    <row r="69" spans="1:36" ht="15" thickBot="1" x14ac:dyDescent="0.35">
      <c r="A69" s="203"/>
      <c r="B69" s="162"/>
      <c r="C69" s="163" t="s">
        <v>19</v>
      </c>
      <c r="D69" s="166">
        <v>6987.34</v>
      </c>
      <c r="E69" s="166">
        <v>10659.89</v>
      </c>
      <c r="F69" s="166">
        <v>8895.09</v>
      </c>
      <c r="G69" s="166">
        <v>6702.78</v>
      </c>
      <c r="H69" s="166">
        <v>18484.22</v>
      </c>
      <c r="I69" s="166">
        <f>21142.87-1173</f>
        <v>19969.87</v>
      </c>
      <c r="J69" s="166">
        <v>8218.4500000000007</v>
      </c>
      <c r="K69" s="166">
        <v>3764.85</v>
      </c>
      <c r="L69" s="166">
        <f>10422.78-268.95</f>
        <v>10153.83</v>
      </c>
      <c r="M69" s="166">
        <v>12963.74</v>
      </c>
      <c r="N69" s="166">
        <v>14915.28</v>
      </c>
      <c r="O69" s="166">
        <v>28099.16</v>
      </c>
      <c r="P69" s="166">
        <v>28170.86</v>
      </c>
      <c r="Q69" s="166">
        <v>15424.87</v>
      </c>
      <c r="R69" s="166">
        <v>7240.08</v>
      </c>
      <c r="S69" s="166">
        <v>10899.97</v>
      </c>
      <c r="T69" s="166">
        <v>11226.51</v>
      </c>
      <c r="U69" s="166">
        <v>12193.72</v>
      </c>
      <c r="V69" s="166">
        <v>11518.06</v>
      </c>
      <c r="W69" s="166">
        <v>11214.45</v>
      </c>
      <c r="X69" s="166">
        <v>13237.87</v>
      </c>
      <c r="Y69" s="166">
        <v>8179.28</v>
      </c>
      <c r="Z69" s="166">
        <v>8616.35</v>
      </c>
      <c r="AA69" s="166">
        <v>9599.2800000000007</v>
      </c>
      <c r="AB69" s="166">
        <v>10026.17</v>
      </c>
      <c r="AC69" s="166">
        <f>13262.28+7062.86</f>
        <v>20325.14</v>
      </c>
      <c r="AD69" s="166">
        <v>15612.6</v>
      </c>
      <c r="AE69" s="166">
        <v>13563.55</v>
      </c>
      <c r="AF69" s="166">
        <v>6165.33</v>
      </c>
      <c r="AG69" s="166">
        <v>5635.55</v>
      </c>
      <c r="AH69" s="166">
        <v>13735.91</v>
      </c>
      <c r="AI69" s="294">
        <f>SUM(D69:AH69)</f>
        <v>382400.05</v>
      </c>
      <c r="AJ69" s="307">
        <f>+AI69/$A$1*$AK$1</f>
        <v>382400.05</v>
      </c>
    </row>
    <row r="70" spans="1:36" ht="15" thickTop="1" x14ac:dyDescent="0.3">
      <c r="A70" s="203">
        <v>93</v>
      </c>
      <c r="B70" s="28" t="s">
        <v>38</v>
      </c>
      <c r="C70" s="29" t="s">
        <v>15</v>
      </c>
      <c r="D70" s="30">
        <v>62</v>
      </c>
      <c r="E70" s="30">
        <v>82</v>
      </c>
      <c r="F70" s="30">
        <v>78</v>
      </c>
      <c r="G70" s="30">
        <v>83</v>
      </c>
      <c r="H70" s="30">
        <v>82</v>
      </c>
      <c r="I70" s="30">
        <v>93</v>
      </c>
      <c r="J70" s="30">
        <v>61</v>
      </c>
      <c r="K70" s="30">
        <v>69</v>
      </c>
      <c r="L70" s="30">
        <v>84</v>
      </c>
      <c r="M70" s="30">
        <v>83</v>
      </c>
      <c r="N70" s="30">
        <v>91</v>
      </c>
      <c r="O70" s="30">
        <v>87</v>
      </c>
      <c r="P70" s="30">
        <v>90</v>
      </c>
      <c r="Q70" s="30">
        <v>83</v>
      </c>
      <c r="R70" s="30">
        <v>59</v>
      </c>
      <c r="S70" s="30">
        <v>73</v>
      </c>
      <c r="T70" s="30">
        <v>70</v>
      </c>
      <c r="U70" s="30">
        <v>73</v>
      </c>
      <c r="V70" s="30">
        <v>62</v>
      </c>
      <c r="W70" s="30">
        <v>68</v>
      </c>
      <c r="X70" s="30">
        <v>65</v>
      </c>
      <c r="Y70" s="30">
        <v>62</v>
      </c>
      <c r="Z70" s="30">
        <v>69</v>
      </c>
      <c r="AA70" s="30">
        <v>85</v>
      </c>
      <c r="AB70" s="30">
        <v>75</v>
      </c>
      <c r="AC70" s="30">
        <v>75</v>
      </c>
      <c r="AD70" s="30">
        <v>75</v>
      </c>
      <c r="AE70" s="30">
        <v>76</v>
      </c>
      <c r="AF70" s="30">
        <v>54</v>
      </c>
      <c r="AG70" s="30">
        <v>33</v>
      </c>
      <c r="AH70" s="30">
        <v>43</v>
      </c>
      <c r="AI70" s="313">
        <f>SUM(D70:AH70)</f>
        <v>2245</v>
      </c>
      <c r="AJ70" s="285">
        <f>+$AI70/$A$1*$AK$1</f>
        <v>2245</v>
      </c>
    </row>
    <row r="71" spans="1:36" x14ac:dyDescent="0.3">
      <c r="A71" s="203"/>
      <c r="B71" s="33"/>
      <c r="C71" s="34" t="s">
        <v>16</v>
      </c>
      <c r="D71" s="35">
        <f t="shared" ref="D71:AH71" si="58">+D70/$A70</f>
        <v>0.66666666666666663</v>
      </c>
      <c r="E71" s="35">
        <f t="shared" si="58"/>
        <v>0.88172043010752688</v>
      </c>
      <c r="F71" s="35">
        <f t="shared" si="58"/>
        <v>0.83870967741935487</v>
      </c>
      <c r="G71" s="35">
        <f t="shared" si="58"/>
        <v>0.89247311827956988</v>
      </c>
      <c r="H71" s="35">
        <f t="shared" si="58"/>
        <v>0.88172043010752688</v>
      </c>
      <c r="I71" s="35">
        <f t="shared" si="58"/>
        <v>1</v>
      </c>
      <c r="J71" s="35">
        <f t="shared" si="58"/>
        <v>0.65591397849462363</v>
      </c>
      <c r="K71" s="35">
        <f t="shared" si="58"/>
        <v>0.74193548387096775</v>
      </c>
      <c r="L71" s="35">
        <f>+L70/$A70</f>
        <v>0.90322580645161288</v>
      </c>
      <c r="M71" s="35">
        <f t="shared" si="58"/>
        <v>0.89247311827956988</v>
      </c>
      <c r="N71" s="35">
        <f t="shared" si="58"/>
        <v>0.978494623655914</v>
      </c>
      <c r="O71" s="35">
        <f t="shared" si="58"/>
        <v>0.93548387096774188</v>
      </c>
      <c r="P71" s="35">
        <f t="shared" si="58"/>
        <v>0.967741935483871</v>
      </c>
      <c r="Q71" s="35">
        <f t="shared" si="58"/>
        <v>0.89247311827956988</v>
      </c>
      <c r="R71" s="35">
        <f t="shared" si="58"/>
        <v>0.63440860215053763</v>
      </c>
      <c r="S71" s="35">
        <f t="shared" si="58"/>
        <v>0.78494623655913975</v>
      </c>
      <c r="T71" s="35">
        <f t="shared" si="58"/>
        <v>0.75268817204301075</v>
      </c>
      <c r="U71" s="35">
        <f t="shared" si="58"/>
        <v>0.78494623655913975</v>
      </c>
      <c r="V71" s="35">
        <f t="shared" si="58"/>
        <v>0.66666666666666663</v>
      </c>
      <c r="W71" s="35">
        <f t="shared" si="58"/>
        <v>0.73118279569892475</v>
      </c>
      <c r="X71" s="35">
        <f t="shared" si="58"/>
        <v>0.69892473118279574</v>
      </c>
      <c r="Y71" s="35">
        <f t="shared" si="58"/>
        <v>0.66666666666666663</v>
      </c>
      <c r="Z71" s="35">
        <f t="shared" si="58"/>
        <v>0.74193548387096775</v>
      </c>
      <c r="AA71" s="35">
        <f t="shared" si="58"/>
        <v>0.91397849462365588</v>
      </c>
      <c r="AB71" s="35">
        <f t="shared" si="58"/>
        <v>0.80645161290322576</v>
      </c>
      <c r="AC71" s="35">
        <f t="shared" si="58"/>
        <v>0.80645161290322576</v>
      </c>
      <c r="AD71" s="35">
        <f t="shared" si="58"/>
        <v>0.80645161290322576</v>
      </c>
      <c r="AE71" s="35">
        <f t="shared" si="58"/>
        <v>0.81720430107526887</v>
      </c>
      <c r="AF71" s="35">
        <f t="shared" si="58"/>
        <v>0.58064516129032262</v>
      </c>
      <c r="AG71" s="35">
        <f t="shared" si="58"/>
        <v>0.35483870967741937</v>
      </c>
      <c r="AH71" s="35">
        <f t="shared" si="58"/>
        <v>0.46236559139784944</v>
      </c>
      <c r="AI71" s="281">
        <f>+AI70/(A70*A$1)</f>
        <v>0.77870274020117936</v>
      </c>
      <c r="AJ71" s="282">
        <f>AJ70/($A70*AK1)</f>
        <v>0.77870274020117936</v>
      </c>
    </row>
    <row r="72" spans="1:36" x14ac:dyDescent="0.3">
      <c r="A72" s="203"/>
      <c r="B72" s="33"/>
      <c r="C72" s="34" t="s">
        <v>17</v>
      </c>
      <c r="D72" s="37">
        <f>+IFERROR(D74/D70,0)</f>
        <v>105.59677419354838</v>
      </c>
      <c r="E72" s="37">
        <f t="shared" ref="E72:AH72" si="59">+IFERROR(E74/E70,0)</f>
        <v>113.09243902439025</v>
      </c>
      <c r="F72" s="37">
        <f t="shared" si="59"/>
        <v>110.20051282051281</v>
      </c>
      <c r="G72" s="37">
        <f t="shared" si="59"/>
        <v>111.18180722891566</v>
      </c>
      <c r="H72" s="37">
        <f t="shared" si="59"/>
        <v>120.22560975609755</v>
      </c>
      <c r="I72" s="37">
        <f t="shared" si="59"/>
        <v>144.39333333333335</v>
      </c>
      <c r="J72" s="37">
        <f t="shared" si="59"/>
        <v>115.99852459016394</v>
      </c>
      <c r="K72" s="37">
        <f t="shared" si="59"/>
        <v>106.39608695652174</v>
      </c>
      <c r="L72" s="37">
        <f t="shared" si="59"/>
        <v>112.84297619047618</v>
      </c>
      <c r="M72" s="37">
        <f t="shared" si="59"/>
        <v>123.98554216867468</v>
      </c>
      <c r="N72" s="37">
        <f t="shared" si="59"/>
        <v>126.40428571428572</v>
      </c>
      <c r="O72" s="37">
        <f t="shared" si="59"/>
        <v>209.26</v>
      </c>
      <c r="P72" s="37">
        <f t="shared" si="59"/>
        <v>237.08611111111111</v>
      </c>
      <c r="Q72" s="37">
        <f t="shared" si="59"/>
        <v>165.03337349397592</v>
      </c>
      <c r="R72" s="37">
        <f t="shared" si="59"/>
        <v>110.18728813559322</v>
      </c>
      <c r="S72" s="37">
        <f t="shared" si="59"/>
        <v>109.37739726027398</v>
      </c>
      <c r="T72" s="37">
        <f t="shared" si="59"/>
        <v>118.32</v>
      </c>
      <c r="U72" s="37">
        <f t="shared" si="59"/>
        <v>115.13794520547945</v>
      </c>
      <c r="V72" s="37">
        <f t="shared" si="59"/>
        <v>114.98435483870968</v>
      </c>
      <c r="W72" s="37">
        <f t="shared" si="59"/>
        <v>134.95250000000001</v>
      </c>
      <c r="X72" s="37">
        <f t="shared" si="59"/>
        <v>119.99738461538462</v>
      </c>
      <c r="Y72" s="37">
        <f t="shared" si="59"/>
        <v>111.8817741935484</v>
      </c>
      <c r="Z72" s="37">
        <f t="shared" si="59"/>
        <v>113.90826086956523</v>
      </c>
      <c r="AA72" s="37">
        <f t="shared" si="59"/>
        <v>118.86905882352941</v>
      </c>
      <c r="AB72" s="37">
        <f t="shared" si="59"/>
        <v>108.04693333333334</v>
      </c>
      <c r="AC72" s="37">
        <f t="shared" si="59"/>
        <v>118.41693333333333</v>
      </c>
      <c r="AD72" s="37">
        <f t="shared" si="59"/>
        <v>131.43879999999999</v>
      </c>
      <c r="AE72" s="37">
        <f t="shared" si="59"/>
        <v>125.95789473684209</v>
      </c>
      <c r="AF72" s="37">
        <f t="shared" si="59"/>
        <v>105.15833333333333</v>
      </c>
      <c r="AG72" s="37">
        <f t="shared" si="59"/>
        <v>110.43939393939394</v>
      </c>
      <c r="AH72" s="37">
        <f t="shared" si="59"/>
        <v>105.75</v>
      </c>
      <c r="AI72" s="283">
        <f>+AI74/AI70</f>
        <v>127.5398129175946</v>
      </c>
      <c r="AJ72" s="279">
        <f>+AJ74/AJ70</f>
        <v>127.5398129175946</v>
      </c>
    </row>
    <row r="73" spans="1:36" x14ac:dyDescent="0.3">
      <c r="A73" s="203"/>
      <c r="B73" s="33"/>
      <c r="C73" s="34" t="s">
        <v>18</v>
      </c>
      <c r="D73" s="37">
        <f>+D71*D72</f>
        <v>70.397849462365585</v>
      </c>
      <c r="E73" s="37">
        <f t="shared" ref="E73:AH73" si="60">+E71*E72</f>
        <v>99.715913978494626</v>
      </c>
      <c r="F73" s="37">
        <f t="shared" si="60"/>
        <v>92.426236559139781</v>
      </c>
      <c r="G73" s="37">
        <f t="shared" si="60"/>
        <v>99.22677419354838</v>
      </c>
      <c r="H73" s="37">
        <f t="shared" si="60"/>
        <v>106.00537634408602</v>
      </c>
      <c r="I73" s="37">
        <f t="shared" si="60"/>
        <v>144.39333333333335</v>
      </c>
      <c r="J73" s="37">
        <f t="shared" si="60"/>
        <v>76.085053763440854</v>
      </c>
      <c r="K73" s="37">
        <f t="shared" si="60"/>
        <v>78.939032258064515</v>
      </c>
      <c r="L73" s="37">
        <f t="shared" si="60"/>
        <v>101.922688172043</v>
      </c>
      <c r="M73" s="37">
        <f t="shared" si="60"/>
        <v>110.6537634408602</v>
      </c>
      <c r="N73" s="37">
        <f t="shared" si="60"/>
        <v>123.68591397849463</v>
      </c>
      <c r="O73" s="37">
        <f t="shared" si="60"/>
        <v>195.75935483870967</v>
      </c>
      <c r="P73" s="37">
        <f t="shared" si="60"/>
        <v>229.43817204301075</v>
      </c>
      <c r="Q73" s="37">
        <f t="shared" si="60"/>
        <v>147.28784946236559</v>
      </c>
      <c r="R73" s="37">
        <f t="shared" si="60"/>
        <v>69.903763440860217</v>
      </c>
      <c r="S73" s="37">
        <f t="shared" si="60"/>
        <v>85.855376344086025</v>
      </c>
      <c r="T73" s="37">
        <f t="shared" si="60"/>
        <v>89.058064516129022</v>
      </c>
      <c r="U73" s="37">
        <f t="shared" si="60"/>
        <v>90.377096774193546</v>
      </c>
      <c r="V73" s="37">
        <f t="shared" si="60"/>
        <v>76.656236559139785</v>
      </c>
      <c r="W73" s="37">
        <f t="shared" si="60"/>
        <v>98.674946236559151</v>
      </c>
      <c r="X73" s="37">
        <f t="shared" si="60"/>
        <v>83.869139784946242</v>
      </c>
      <c r="Y73" s="37">
        <f t="shared" si="60"/>
        <v>74.587849462365597</v>
      </c>
      <c r="Z73" s="37">
        <f t="shared" si="60"/>
        <v>84.512580645161293</v>
      </c>
      <c r="AA73" s="37">
        <f t="shared" si="60"/>
        <v>108.64376344086021</v>
      </c>
      <c r="AB73" s="37">
        <f t="shared" si="60"/>
        <v>87.134623655913984</v>
      </c>
      <c r="AC73" s="37">
        <f t="shared" si="60"/>
        <v>95.497526881720418</v>
      </c>
      <c r="AD73" s="37">
        <f t="shared" si="60"/>
        <v>105.9990322580645</v>
      </c>
      <c r="AE73" s="37">
        <f t="shared" si="60"/>
        <v>102.93333333333332</v>
      </c>
      <c r="AF73" s="37">
        <f t="shared" si="60"/>
        <v>61.059677419354841</v>
      </c>
      <c r="AG73" s="37">
        <f t="shared" si="60"/>
        <v>39.188172043010752</v>
      </c>
      <c r="AH73" s="37">
        <f t="shared" si="60"/>
        <v>48.895161290322577</v>
      </c>
      <c r="AI73" s="283">
        <f>+AI72*AI71</f>
        <v>99.315601803676685</v>
      </c>
      <c r="AJ73" s="279">
        <f>+AJ71*AJ72</f>
        <v>99.315601803676685</v>
      </c>
    </row>
    <row r="74" spans="1:36" ht="15" thickBot="1" x14ac:dyDescent="0.35">
      <c r="A74" s="203"/>
      <c r="B74" s="33"/>
      <c r="C74" s="34" t="s">
        <v>19</v>
      </c>
      <c r="D74" s="158">
        <f>6647-100</f>
        <v>6547</v>
      </c>
      <c r="E74" s="158">
        <v>9273.58</v>
      </c>
      <c r="F74" s="158">
        <v>8595.64</v>
      </c>
      <c r="G74" s="158">
        <v>9228.09</v>
      </c>
      <c r="H74" s="158">
        <v>9858.5</v>
      </c>
      <c r="I74" s="158">
        <v>13428.58</v>
      </c>
      <c r="J74" s="158">
        <v>7075.91</v>
      </c>
      <c r="K74" s="158">
        <v>7341.33</v>
      </c>
      <c r="L74" s="158">
        <v>9478.81</v>
      </c>
      <c r="M74" s="158">
        <v>10290.799999999999</v>
      </c>
      <c r="N74" s="158">
        <v>11502.79</v>
      </c>
      <c r="O74" s="158">
        <v>18205.62</v>
      </c>
      <c r="P74" s="158">
        <v>21337.75</v>
      </c>
      <c r="Q74" s="158">
        <v>13697.77</v>
      </c>
      <c r="R74" s="158">
        <v>6501.05</v>
      </c>
      <c r="S74" s="158">
        <v>7984.55</v>
      </c>
      <c r="T74" s="158">
        <v>8282.4</v>
      </c>
      <c r="U74" s="158">
        <v>8405.07</v>
      </c>
      <c r="V74" s="158">
        <v>7129.03</v>
      </c>
      <c r="W74" s="158">
        <v>9176.77</v>
      </c>
      <c r="X74" s="158">
        <v>7799.83</v>
      </c>
      <c r="Y74" s="158">
        <v>6936.67</v>
      </c>
      <c r="Z74" s="158">
        <v>7859.67</v>
      </c>
      <c r="AA74" s="158">
        <v>10103.870000000001</v>
      </c>
      <c r="AB74" s="158">
        <v>8103.52</v>
      </c>
      <c r="AC74" s="158">
        <v>8881.27</v>
      </c>
      <c r="AD74" s="158">
        <v>9857.91</v>
      </c>
      <c r="AE74" s="158">
        <v>9572.7999999999993</v>
      </c>
      <c r="AF74" s="158">
        <v>5678.55</v>
      </c>
      <c r="AG74" s="158">
        <v>3644.5</v>
      </c>
      <c r="AH74" s="158">
        <v>4547.25</v>
      </c>
      <c r="AI74" s="284">
        <f>SUM(D74:AH74)</f>
        <v>286326.87999999989</v>
      </c>
      <c r="AJ74" s="285">
        <f>+AI74/$A$1*$AK$1</f>
        <v>286326.87999999989</v>
      </c>
    </row>
    <row r="75" spans="1:36" hidden="1" x14ac:dyDescent="0.3">
      <c r="A75" s="203"/>
      <c r="B75" s="33"/>
      <c r="C75" s="34" t="s">
        <v>22</v>
      </c>
      <c r="D75" s="226"/>
      <c r="E75" s="226"/>
      <c r="F75" s="194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194"/>
      <c r="AB75" s="226"/>
      <c r="AC75" s="226"/>
      <c r="AD75" s="226"/>
      <c r="AE75" s="226"/>
      <c r="AF75" s="226"/>
      <c r="AG75" s="226"/>
      <c r="AH75" s="226"/>
      <c r="AI75" s="284"/>
      <c r="AJ75" s="279"/>
    </row>
    <row r="76" spans="1:36" hidden="1" x14ac:dyDescent="0.3">
      <c r="A76" s="203"/>
      <c r="B76" s="33"/>
      <c r="C76" s="34" t="s">
        <v>23</v>
      </c>
      <c r="D76" s="226"/>
      <c r="E76" s="226"/>
      <c r="F76" s="194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194"/>
      <c r="AB76" s="226"/>
      <c r="AC76" s="226"/>
      <c r="AD76" s="226"/>
      <c r="AE76" s="226"/>
      <c r="AF76" s="226"/>
      <c r="AG76" s="226"/>
      <c r="AH76" s="226"/>
      <c r="AI76" s="284"/>
      <c r="AJ76" s="279"/>
    </row>
    <row r="77" spans="1:36" ht="15" hidden="1" thickBot="1" x14ac:dyDescent="0.35">
      <c r="A77" s="237"/>
      <c r="B77" s="40"/>
      <c r="C77" s="34" t="s">
        <v>24</v>
      </c>
      <c r="D77" s="226"/>
      <c r="E77" s="226"/>
      <c r="F77" s="194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194"/>
      <c r="AB77" s="226"/>
      <c r="AC77" s="226"/>
      <c r="AD77" s="226"/>
      <c r="AE77" s="226"/>
      <c r="AF77" s="226"/>
      <c r="AG77" s="226"/>
      <c r="AH77" s="226"/>
      <c r="AI77" s="314"/>
      <c r="AJ77" s="279"/>
    </row>
    <row r="78" spans="1:36" x14ac:dyDescent="0.3">
      <c r="A78" s="203">
        <v>118</v>
      </c>
      <c r="B78" s="159" t="s">
        <v>39</v>
      </c>
      <c r="C78" s="160" t="s">
        <v>15</v>
      </c>
      <c r="D78" s="228">
        <v>33</v>
      </c>
      <c r="E78" s="228">
        <v>52</v>
      </c>
      <c r="F78" s="228">
        <v>73</v>
      </c>
      <c r="G78" s="228">
        <v>73</v>
      </c>
      <c r="H78" s="228">
        <v>100</v>
      </c>
      <c r="I78" s="228">
        <v>114</v>
      </c>
      <c r="J78" s="228">
        <v>109</v>
      </c>
      <c r="K78" s="228">
        <v>116</v>
      </c>
      <c r="L78" s="228">
        <v>116</v>
      </c>
      <c r="M78" s="228">
        <v>103</v>
      </c>
      <c r="N78" s="228">
        <v>112</v>
      </c>
      <c r="O78" s="228">
        <v>106</v>
      </c>
      <c r="P78" s="228">
        <v>82</v>
      </c>
      <c r="Q78" s="228">
        <v>58</v>
      </c>
      <c r="R78" s="228">
        <v>32</v>
      </c>
      <c r="S78" s="228">
        <v>70</v>
      </c>
      <c r="T78" s="228">
        <v>78</v>
      </c>
      <c r="U78" s="228">
        <v>95</v>
      </c>
      <c r="V78" s="228">
        <v>70</v>
      </c>
      <c r="W78" s="228">
        <v>64</v>
      </c>
      <c r="X78" s="228">
        <v>60</v>
      </c>
      <c r="Y78" s="228">
        <v>38</v>
      </c>
      <c r="Z78" s="228">
        <v>51</v>
      </c>
      <c r="AA78" s="228">
        <v>53</v>
      </c>
      <c r="AB78" s="228">
        <v>72</v>
      </c>
      <c r="AC78" s="228">
        <v>77</v>
      </c>
      <c r="AD78" s="228">
        <v>77</v>
      </c>
      <c r="AE78" s="228">
        <v>78</v>
      </c>
      <c r="AF78" s="228">
        <v>57</v>
      </c>
      <c r="AG78" s="228">
        <v>35</v>
      </c>
      <c r="AH78" s="228">
        <v>67</v>
      </c>
      <c r="AI78" s="288">
        <f>SUM(D78:AH78)</f>
        <v>2321</v>
      </c>
      <c r="AJ78" s="289">
        <f>+$AI78/$A$1*$AK$1</f>
        <v>2321</v>
      </c>
    </row>
    <row r="79" spans="1:36" x14ac:dyDescent="0.3">
      <c r="A79" s="203"/>
      <c r="B79" s="162"/>
      <c r="C79" s="163" t="s">
        <v>16</v>
      </c>
      <c r="D79" s="164">
        <f>+D78/$A78</f>
        <v>0.27966101694915252</v>
      </c>
      <c r="E79" s="164">
        <f t="shared" ref="E79:AH79" si="61">+E78/$A78</f>
        <v>0.44067796610169491</v>
      </c>
      <c r="F79" s="164">
        <f t="shared" si="61"/>
        <v>0.61864406779661019</v>
      </c>
      <c r="G79" s="164">
        <f t="shared" si="61"/>
        <v>0.61864406779661019</v>
      </c>
      <c r="H79" s="164">
        <f t="shared" si="61"/>
        <v>0.84745762711864403</v>
      </c>
      <c r="I79" s="164">
        <f t="shared" si="61"/>
        <v>0.96610169491525422</v>
      </c>
      <c r="J79" s="164">
        <f t="shared" si="61"/>
        <v>0.92372881355932202</v>
      </c>
      <c r="K79" s="164">
        <f t="shared" si="61"/>
        <v>0.98305084745762716</v>
      </c>
      <c r="L79" s="164">
        <f t="shared" si="61"/>
        <v>0.98305084745762716</v>
      </c>
      <c r="M79" s="164">
        <f t="shared" si="61"/>
        <v>0.8728813559322034</v>
      </c>
      <c r="N79" s="164">
        <f t="shared" si="61"/>
        <v>0.94915254237288138</v>
      </c>
      <c r="O79" s="164">
        <f t="shared" si="61"/>
        <v>0.89830508474576276</v>
      </c>
      <c r="P79" s="164">
        <f t="shared" si="61"/>
        <v>0.69491525423728817</v>
      </c>
      <c r="Q79" s="164">
        <f t="shared" si="61"/>
        <v>0.49152542372881358</v>
      </c>
      <c r="R79" s="164">
        <f t="shared" si="61"/>
        <v>0.2711864406779661</v>
      </c>
      <c r="S79" s="164">
        <f t="shared" si="61"/>
        <v>0.59322033898305082</v>
      </c>
      <c r="T79" s="164">
        <f t="shared" si="61"/>
        <v>0.66101694915254239</v>
      </c>
      <c r="U79" s="164">
        <f t="shared" si="61"/>
        <v>0.80508474576271183</v>
      </c>
      <c r="V79" s="164">
        <f t="shared" si="61"/>
        <v>0.59322033898305082</v>
      </c>
      <c r="W79" s="164">
        <f t="shared" si="61"/>
        <v>0.5423728813559322</v>
      </c>
      <c r="X79" s="164">
        <f t="shared" si="61"/>
        <v>0.50847457627118642</v>
      </c>
      <c r="Y79" s="164">
        <f t="shared" si="61"/>
        <v>0.32203389830508472</v>
      </c>
      <c r="Z79" s="164">
        <f t="shared" si="61"/>
        <v>0.43220338983050849</v>
      </c>
      <c r="AA79" s="164">
        <f>+AA78/$A78</f>
        <v>0.44915254237288138</v>
      </c>
      <c r="AB79" s="164">
        <f t="shared" si="61"/>
        <v>0.61016949152542377</v>
      </c>
      <c r="AC79" s="164">
        <f t="shared" si="61"/>
        <v>0.65254237288135597</v>
      </c>
      <c r="AD79" s="164">
        <f t="shared" si="61"/>
        <v>0.65254237288135597</v>
      </c>
      <c r="AE79" s="164">
        <f t="shared" si="61"/>
        <v>0.66101694915254239</v>
      </c>
      <c r="AF79" s="164">
        <f t="shared" si="61"/>
        <v>0.48305084745762711</v>
      </c>
      <c r="AG79" s="164">
        <f t="shared" si="61"/>
        <v>0.29661016949152541</v>
      </c>
      <c r="AH79" s="164">
        <f t="shared" si="61"/>
        <v>0.56779661016949157</v>
      </c>
      <c r="AI79" s="290">
        <f>+AI78/(A78*A$1)</f>
        <v>0.63449972662657195</v>
      </c>
      <c r="AJ79" s="291">
        <f>AJ78/($A78*AK1)</f>
        <v>0.63449972662657195</v>
      </c>
    </row>
    <row r="80" spans="1:36" x14ac:dyDescent="0.3">
      <c r="A80" s="203"/>
      <c r="B80" s="162"/>
      <c r="C80" s="163" t="s">
        <v>17</v>
      </c>
      <c r="D80" s="165">
        <f t="shared" ref="D80:AH80" si="62">+IFERROR(D82/D78,0)</f>
        <v>120.40151515151516</v>
      </c>
      <c r="E80" s="165">
        <f t="shared" si="62"/>
        <v>114.6875</v>
      </c>
      <c r="F80" s="165">
        <f t="shared" si="62"/>
        <v>113.74698630136987</v>
      </c>
      <c r="G80" s="165">
        <f t="shared" si="62"/>
        <v>114.28602739726027</v>
      </c>
      <c r="H80" s="165">
        <f t="shared" si="62"/>
        <v>149.77629999999999</v>
      </c>
      <c r="I80" s="165">
        <f t="shared" si="62"/>
        <v>126.30921052631579</v>
      </c>
      <c r="J80" s="165">
        <f t="shared" si="62"/>
        <v>122.15743119266055</v>
      </c>
      <c r="K80" s="165">
        <f t="shared" si="62"/>
        <v>113.73155172413793</v>
      </c>
      <c r="L80" s="165">
        <f t="shared" si="62"/>
        <v>113.91439655172414</v>
      </c>
      <c r="M80" s="165">
        <f t="shared" si="62"/>
        <v>117.51097087378641</v>
      </c>
      <c r="N80" s="165">
        <f t="shared" si="62"/>
        <v>141.94473214285713</v>
      </c>
      <c r="O80" s="165">
        <f t="shared" si="62"/>
        <v>231.56603773584905</v>
      </c>
      <c r="P80" s="165">
        <f t="shared" si="62"/>
        <v>258.23365853658538</v>
      </c>
      <c r="Q80" s="165">
        <f t="shared" si="62"/>
        <v>220.40982758620692</v>
      </c>
      <c r="R80" s="165">
        <f t="shared" si="62"/>
        <v>120.2746875</v>
      </c>
      <c r="S80" s="165">
        <f t="shared" si="62"/>
        <v>110.90685714285713</v>
      </c>
      <c r="T80" s="165">
        <f t="shared" si="62"/>
        <v>114.51294871794872</v>
      </c>
      <c r="U80" s="165">
        <f t="shared" si="62"/>
        <v>108.08452631578947</v>
      </c>
      <c r="V80" s="165">
        <f t="shared" si="62"/>
        <v>115.04057142857143</v>
      </c>
      <c r="W80" s="165">
        <f t="shared" si="62"/>
        <v>135.88218749999999</v>
      </c>
      <c r="X80" s="165">
        <f t="shared" si="62"/>
        <v>129.90866666666668</v>
      </c>
      <c r="Y80" s="165">
        <f t="shared" si="62"/>
        <v>114.96447368421052</v>
      </c>
      <c r="Z80" s="165">
        <f t="shared" si="62"/>
        <v>111.08490196078431</v>
      </c>
      <c r="AA80" s="165">
        <f>+IFERROR(AA82/AA78,0)</f>
        <v>109.87679245283019</v>
      </c>
      <c r="AB80" s="165">
        <f t="shared" si="62"/>
        <v>108.46333333333332</v>
      </c>
      <c r="AC80" s="165">
        <f t="shared" si="62"/>
        <v>112.22818181818181</v>
      </c>
      <c r="AD80" s="165">
        <f t="shared" si="62"/>
        <v>128.95974025974024</v>
      </c>
      <c r="AE80" s="165">
        <f t="shared" si="62"/>
        <v>129.77192307692306</v>
      </c>
      <c r="AF80" s="165">
        <f t="shared" si="62"/>
        <v>105.13824561403509</v>
      </c>
      <c r="AG80" s="165">
        <f t="shared" si="62"/>
        <v>108.32828571428571</v>
      </c>
      <c r="AH80" s="165">
        <f t="shared" si="62"/>
        <v>106.91746268656716</v>
      </c>
      <c r="AI80" s="292">
        <f>+AI82/AI78</f>
        <v>132.20732873761307</v>
      </c>
      <c r="AJ80" s="293">
        <f>+AJ82/AJ78</f>
        <v>132.20732873761307</v>
      </c>
    </row>
    <row r="81" spans="1:36" x14ac:dyDescent="0.3">
      <c r="A81" s="203"/>
      <c r="B81" s="162"/>
      <c r="C81" s="163" t="s">
        <v>18</v>
      </c>
      <c r="D81" s="165">
        <f t="shared" ref="D81:AH81" si="63">+D79*D80</f>
        <v>33.671610169491522</v>
      </c>
      <c r="E81" s="165">
        <f t="shared" si="63"/>
        <v>50.540254237288131</v>
      </c>
      <c r="F81" s="165">
        <f t="shared" si="63"/>
        <v>70.368898305084755</v>
      </c>
      <c r="G81" s="165">
        <f t="shared" si="63"/>
        <v>70.702372881355927</v>
      </c>
      <c r="H81" s="165">
        <f t="shared" si="63"/>
        <v>126.92906779661016</v>
      </c>
      <c r="I81" s="165">
        <f t="shared" si="63"/>
        <v>122.02754237288136</v>
      </c>
      <c r="J81" s="165">
        <f t="shared" si="63"/>
        <v>112.84033898305084</v>
      </c>
      <c r="K81" s="165">
        <f t="shared" si="63"/>
        <v>111.80389830508474</v>
      </c>
      <c r="L81" s="165">
        <f t="shared" si="63"/>
        <v>111.98364406779662</v>
      </c>
      <c r="M81" s="165">
        <f t="shared" si="63"/>
        <v>102.57313559322034</v>
      </c>
      <c r="N81" s="165">
        <f t="shared" si="63"/>
        <v>134.72720338983049</v>
      </c>
      <c r="O81" s="165">
        <f t="shared" si="63"/>
        <v>208.01694915254237</v>
      </c>
      <c r="P81" s="165">
        <f t="shared" si="63"/>
        <v>179.45050847457628</v>
      </c>
      <c r="Q81" s="165">
        <f t="shared" si="63"/>
        <v>108.33703389830509</v>
      </c>
      <c r="R81" s="165">
        <f t="shared" si="63"/>
        <v>32.616864406779662</v>
      </c>
      <c r="S81" s="165">
        <f t="shared" si="63"/>
        <v>65.792203389830505</v>
      </c>
      <c r="T81" s="165">
        <f t="shared" si="63"/>
        <v>75.695000000000007</v>
      </c>
      <c r="U81" s="165">
        <f t="shared" si="63"/>
        <v>87.017203389830499</v>
      </c>
      <c r="V81" s="165">
        <f t="shared" si="63"/>
        <v>68.244406779661006</v>
      </c>
      <c r="W81" s="165">
        <f t="shared" si="63"/>
        <v>73.698813559322019</v>
      </c>
      <c r="X81" s="165">
        <f t="shared" si="63"/>
        <v>66.055254237288139</v>
      </c>
      <c r="Y81" s="165">
        <f t="shared" si="63"/>
        <v>37.022457627118641</v>
      </c>
      <c r="Z81" s="165">
        <f t="shared" si="63"/>
        <v>48.011271186440673</v>
      </c>
      <c r="AA81" s="165">
        <f t="shared" si="63"/>
        <v>49.351440677966103</v>
      </c>
      <c r="AB81" s="165">
        <f t="shared" si="63"/>
        <v>66.181016949152536</v>
      </c>
      <c r="AC81" s="165">
        <f t="shared" si="63"/>
        <v>73.233644067796604</v>
      </c>
      <c r="AD81" s="165">
        <f t="shared" si="63"/>
        <v>84.151694915254225</v>
      </c>
      <c r="AE81" s="165">
        <f t="shared" si="63"/>
        <v>85.781440677966089</v>
      </c>
      <c r="AF81" s="165">
        <f t="shared" si="63"/>
        <v>50.787118644067796</v>
      </c>
      <c r="AG81" s="165">
        <f t="shared" si="63"/>
        <v>32.131271186440678</v>
      </c>
      <c r="AH81" s="165">
        <f t="shared" si="63"/>
        <v>60.707372881355937</v>
      </c>
      <c r="AI81" s="292">
        <f>+AI80*AI79</f>
        <v>83.885513942044824</v>
      </c>
      <c r="AJ81" s="293">
        <f>+AJ79*AJ80</f>
        <v>83.885513942044824</v>
      </c>
    </row>
    <row r="82" spans="1:36" ht="15" thickBot="1" x14ac:dyDescent="0.35">
      <c r="A82" s="203"/>
      <c r="B82" s="162"/>
      <c r="C82" s="163" t="s">
        <v>19</v>
      </c>
      <c r="D82" s="166">
        <v>3973.25</v>
      </c>
      <c r="E82" s="166">
        <v>5963.75</v>
      </c>
      <c r="F82" s="166">
        <v>8303.5300000000007</v>
      </c>
      <c r="G82" s="166">
        <v>8342.8799999999992</v>
      </c>
      <c r="H82" s="166">
        <v>14977.63</v>
      </c>
      <c r="I82" s="166">
        <v>14399.25</v>
      </c>
      <c r="J82" s="166">
        <v>13315.16</v>
      </c>
      <c r="K82" s="166">
        <v>13192.86</v>
      </c>
      <c r="L82" s="166">
        <v>13214.07</v>
      </c>
      <c r="M82" s="166">
        <v>12103.63</v>
      </c>
      <c r="N82" s="166">
        <v>15897.81</v>
      </c>
      <c r="O82" s="166">
        <v>24546</v>
      </c>
      <c r="P82" s="166">
        <v>21175.16</v>
      </c>
      <c r="Q82" s="166">
        <v>12783.77</v>
      </c>
      <c r="R82" s="166">
        <v>3848.79</v>
      </c>
      <c r="S82" s="166">
        <v>7763.48</v>
      </c>
      <c r="T82" s="166">
        <v>8932.01</v>
      </c>
      <c r="U82" s="166">
        <v>10268.030000000001</v>
      </c>
      <c r="V82" s="166">
        <v>8052.84</v>
      </c>
      <c r="W82" s="166">
        <v>8696.4599999999991</v>
      </c>
      <c r="X82" s="166">
        <v>7794.52</v>
      </c>
      <c r="Y82" s="166">
        <v>4368.6499999999996</v>
      </c>
      <c r="Z82" s="166">
        <v>5665.33</v>
      </c>
      <c r="AA82" s="166">
        <v>5823.47</v>
      </c>
      <c r="AB82" s="166">
        <v>7809.36</v>
      </c>
      <c r="AC82" s="166">
        <v>8641.57</v>
      </c>
      <c r="AD82" s="166">
        <v>9929.9</v>
      </c>
      <c r="AE82" s="166">
        <v>10122.209999999999</v>
      </c>
      <c r="AF82" s="166">
        <v>5992.88</v>
      </c>
      <c r="AG82" s="166">
        <v>3791.49</v>
      </c>
      <c r="AH82" s="166">
        <v>7163.47</v>
      </c>
      <c r="AI82" s="294">
        <f>SUM(D82:AH82)</f>
        <v>306853.20999999996</v>
      </c>
      <c r="AJ82" s="295">
        <f>+AI82/$A$1*$AK$1</f>
        <v>306853.20999999996</v>
      </c>
    </row>
    <row r="83" spans="1:36" x14ac:dyDescent="0.3">
      <c r="A83" s="203">
        <v>103</v>
      </c>
      <c r="B83" s="201" t="s">
        <v>40</v>
      </c>
      <c r="C83" s="104" t="s">
        <v>15</v>
      </c>
      <c r="D83" s="59">
        <v>38</v>
      </c>
      <c r="E83" s="59">
        <v>31</v>
      </c>
      <c r="F83" s="59">
        <v>31</v>
      </c>
      <c r="G83" s="59">
        <v>45</v>
      </c>
      <c r="H83" s="59">
        <v>38</v>
      </c>
      <c r="I83" s="59">
        <v>51</v>
      </c>
      <c r="J83" s="59">
        <v>48</v>
      </c>
      <c r="K83" s="59">
        <v>40</v>
      </c>
      <c r="L83" s="59">
        <v>32</v>
      </c>
      <c r="M83" s="59">
        <v>35</v>
      </c>
      <c r="N83" s="59">
        <v>29</v>
      </c>
      <c r="O83" s="59">
        <v>30</v>
      </c>
      <c r="P83" s="59">
        <v>44</v>
      </c>
      <c r="Q83" s="59">
        <v>43</v>
      </c>
      <c r="R83" s="59">
        <v>31</v>
      </c>
      <c r="S83" s="59">
        <v>34</v>
      </c>
      <c r="T83" s="59">
        <v>39</v>
      </c>
      <c r="U83" s="59">
        <v>47</v>
      </c>
      <c r="V83" s="59">
        <v>47</v>
      </c>
      <c r="W83" s="59">
        <v>47</v>
      </c>
      <c r="X83" s="59">
        <v>50</v>
      </c>
      <c r="Y83" s="59">
        <v>42</v>
      </c>
      <c r="Z83" s="59">
        <v>45</v>
      </c>
      <c r="AA83" s="59">
        <v>39</v>
      </c>
      <c r="AB83" s="59">
        <v>30</v>
      </c>
      <c r="AC83" s="59">
        <v>37</v>
      </c>
      <c r="AD83" s="59">
        <v>42</v>
      </c>
      <c r="AE83" s="59">
        <v>41</v>
      </c>
      <c r="AF83" s="59">
        <v>23</v>
      </c>
      <c r="AG83" s="59">
        <v>14</v>
      </c>
      <c r="AH83" s="59">
        <v>20</v>
      </c>
      <c r="AI83" s="315">
        <f>SUM(D83:AH83)</f>
        <v>1163</v>
      </c>
      <c r="AJ83" s="280">
        <f>+$AI83/$A$1*$AK$1</f>
        <v>1163</v>
      </c>
    </row>
    <row r="84" spans="1:36" x14ac:dyDescent="0.3">
      <c r="A84" s="203"/>
      <c r="B84" s="33"/>
      <c r="C84" s="34" t="s">
        <v>16</v>
      </c>
      <c r="D84" s="35">
        <f t="shared" ref="D84:AH84" si="64">+D83/$A83</f>
        <v>0.36893203883495146</v>
      </c>
      <c r="E84" s="35">
        <f t="shared" si="64"/>
        <v>0.30097087378640774</v>
      </c>
      <c r="F84" s="35">
        <f t="shared" si="64"/>
        <v>0.30097087378640774</v>
      </c>
      <c r="G84" s="35">
        <f t="shared" si="64"/>
        <v>0.43689320388349512</v>
      </c>
      <c r="H84" s="35">
        <f t="shared" si="64"/>
        <v>0.36893203883495146</v>
      </c>
      <c r="I84" s="35">
        <f t="shared" si="64"/>
        <v>0.49514563106796117</v>
      </c>
      <c r="J84" s="35">
        <f t="shared" si="64"/>
        <v>0.46601941747572817</v>
      </c>
      <c r="K84" s="35">
        <f t="shared" ref="K84" si="65">+K83/$A83</f>
        <v>0.38834951456310679</v>
      </c>
      <c r="L84" s="35">
        <f t="shared" si="64"/>
        <v>0.31067961165048541</v>
      </c>
      <c r="M84" s="35">
        <f t="shared" si="64"/>
        <v>0.33980582524271846</v>
      </c>
      <c r="N84" s="35">
        <f t="shared" si="64"/>
        <v>0.28155339805825241</v>
      </c>
      <c r="O84" s="35">
        <f t="shared" si="64"/>
        <v>0.29126213592233008</v>
      </c>
      <c r="P84" s="35">
        <f t="shared" si="64"/>
        <v>0.42718446601941745</v>
      </c>
      <c r="Q84" s="35">
        <f t="shared" si="64"/>
        <v>0.41747572815533979</v>
      </c>
      <c r="R84" s="35">
        <f t="shared" si="64"/>
        <v>0.30097087378640774</v>
      </c>
      <c r="S84" s="35">
        <f t="shared" si="64"/>
        <v>0.3300970873786408</v>
      </c>
      <c r="T84" s="35">
        <f>+T83/$A83</f>
        <v>0.37864077669902912</v>
      </c>
      <c r="U84" s="35">
        <f>+U83/$A83</f>
        <v>0.4563106796116505</v>
      </c>
      <c r="V84" s="35">
        <f t="shared" si="64"/>
        <v>0.4563106796116505</v>
      </c>
      <c r="W84" s="35">
        <f t="shared" si="64"/>
        <v>0.4563106796116505</v>
      </c>
      <c r="X84" s="35">
        <f t="shared" si="64"/>
        <v>0.4854368932038835</v>
      </c>
      <c r="Y84" s="35">
        <f t="shared" si="64"/>
        <v>0.40776699029126212</v>
      </c>
      <c r="Z84" s="35">
        <f t="shared" si="64"/>
        <v>0.43689320388349512</v>
      </c>
      <c r="AA84" s="35">
        <f t="shared" si="64"/>
        <v>0.37864077669902912</v>
      </c>
      <c r="AB84" s="35">
        <f t="shared" si="64"/>
        <v>0.29126213592233008</v>
      </c>
      <c r="AC84" s="35">
        <f t="shared" si="64"/>
        <v>0.35922330097087379</v>
      </c>
      <c r="AD84" s="35">
        <f t="shared" si="64"/>
        <v>0.40776699029126212</v>
      </c>
      <c r="AE84" s="35">
        <f t="shared" si="64"/>
        <v>0.39805825242718446</v>
      </c>
      <c r="AF84" s="35">
        <f t="shared" si="64"/>
        <v>0.22330097087378642</v>
      </c>
      <c r="AG84" s="35">
        <f t="shared" si="64"/>
        <v>0.13592233009708737</v>
      </c>
      <c r="AH84" s="35">
        <f t="shared" si="64"/>
        <v>0.1941747572815534</v>
      </c>
      <c r="AI84" s="281">
        <f>+AI83/(A83*A$1)</f>
        <v>0.36423426244910745</v>
      </c>
      <c r="AJ84" s="282">
        <f>AJ83/($A83*AK1)</f>
        <v>0.36423426244910745</v>
      </c>
    </row>
    <row r="85" spans="1:36" x14ac:dyDescent="0.3">
      <c r="A85" s="203"/>
      <c r="B85" s="33"/>
      <c r="C85" s="34" t="s">
        <v>17</v>
      </c>
      <c r="D85" s="37">
        <f t="shared" ref="D85:AH85" si="66">+IFERROR(D87/D83,0)</f>
        <v>82.641842105263152</v>
      </c>
      <c r="E85" s="37">
        <f t="shared" si="66"/>
        <v>66.296129032258065</v>
      </c>
      <c r="F85" s="37">
        <f t="shared" si="66"/>
        <v>100.05064516129033</v>
      </c>
      <c r="G85" s="37">
        <f t="shared" si="66"/>
        <v>60.481555555555559</v>
      </c>
      <c r="H85" s="37">
        <f t="shared" si="66"/>
        <v>71.811315789473682</v>
      </c>
      <c r="I85" s="37">
        <f t="shared" si="66"/>
        <v>86.87627450980392</v>
      </c>
      <c r="J85" s="37">
        <f t="shared" si="66"/>
        <v>97.83145833333333</v>
      </c>
      <c r="K85" s="37">
        <f t="shared" ref="K85" si="67">+IFERROR(K87/K83,0)</f>
        <v>83.930999999999997</v>
      </c>
      <c r="L85" s="37">
        <f t="shared" si="66"/>
        <v>56.59375</v>
      </c>
      <c r="M85" s="37">
        <v>94.4</v>
      </c>
      <c r="N85" s="37">
        <f t="shared" si="66"/>
        <v>90.645172413793105</v>
      </c>
      <c r="O85" s="37">
        <v>103.1</v>
      </c>
      <c r="P85" s="37">
        <v>105.92</v>
      </c>
      <c r="Q85" s="37">
        <v>110.28</v>
      </c>
      <c r="R85" s="37">
        <v>82.75</v>
      </c>
      <c r="S85" s="37">
        <f t="shared" si="66"/>
        <v>93.314705882352939</v>
      </c>
      <c r="T85" s="37">
        <f t="shared" si="66"/>
        <v>96.28435897435898</v>
      </c>
      <c r="U85" s="37">
        <f t="shared" si="66"/>
        <v>96.958510638297881</v>
      </c>
      <c r="V85" s="37">
        <f t="shared" si="66"/>
        <v>89.465319148936175</v>
      </c>
      <c r="W85" s="37">
        <f t="shared" si="66"/>
        <v>102.79468085106383</v>
      </c>
      <c r="X85" s="37">
        <f t="shared" si="66"/>
        <v>103.0324</v>
      </c>
      <c r="Y85" s="37">
        <f t="shared" si="66"/>
        <v>89.082857142857137</v>
      </c>
      <c r="Z85" s="37">
        <f t="shared" si="66"/>
        <v>91.050222222222231</v>
      </c>
      <c r="AA85" s="37">
        <f t="shared" si="66"/>
        <v>90.755128205128202</v>
      </c>
      <c r="AB85" s="37">
        <f t="shared" si="66"/>
        <v>91.35</v>
      </c>
      <c r="AC85" s="37">
        <f t="shared" si="66"/>
        <v>95.688108108108111</v>
      </c>
      <c r="AD85" s="37">
        <f t="shared" si="66"/>
        <v>97.395476190476188</v>
      </c>
      <c r="AE85" s="37">
        <f t="shared" si="66"/>
        <v>89.132195121951227</v>
      </c>
      <c r="AF85" s="37">
        <f t="shared" si="66"/>
        <v>108.86434782608696</v>
      </c>
      <c r="AG85" s="37">
        <f t="shared" si="66"/>
        <v>84.597857142857137</v>
      </c>
      <c r="AH85" s="37">
        <f t="shared" si="66"/>
        <v>98.343499999999992</v>
      </c>
      <c r="AI85" s="283">
        <f>+AI87/AI83</f>
        <v>90.944144453998263</v>
      </c>
      <c r="AJ85" s="279">
        <f>+AJ87/AJ83</f>
        <v>90.944144453998263</v>
      </c>
    </row>
    <row r="86" spans="1:36" x14ac:dyDescent="0.3">
      <c r="A86" s="203"/>
      <c r="B86" s="33"/>
      <c r="C86" s="34" t="s">
        <v>18</v>
      </c>
      <c r="D86" s="37">
        <f t="shared" ref="D86:AH86" si="68">+D84*D85</f>
        <v>30.48922330097087</v>
      </c>
      <c r="E86" s="37">
        <f t="shared" si="68"/>
        <v>19.953203883495146</v>
      </c>
      <c r="F86" s="37">
        <f t="shared" si="68"/>
        <v>30.11233009708738</v>
      </c>
      <c r="G86" s="37">
        <f t="shared" si="68"/>
        <v>26.423980582524273</v>
      </c>
      <c r="H86" s="37">
        <f t="shared" si="68"/>
        <v>26.493495145631066</v>
      </c>
      <c r="I86" s="37">
        <f t="shared" si="68"/>
        <v>43.016407766990291</v>
      </c>
      <c r="J86" s="37">
        <f t="shared" si="68"/>
        <v>45.591359223300969</v>
      </c>
      <c r="K86" s="37">
        <f t="shared" ref="K86" si="69">+K84*K85</f>
        <v>32.594563106796116</v>
      </c>
      <c r="L86" s="37">
        <f t="shared" si="68"/>
        <v>17.582524271844658</v>
      </c>
      <c r="M86" s="37">
        <f t="shared" si="68"/>
        <v>32.077669902912625</v>
      </c>
      <c r="N86" s="37">
        <f t="shared" si="68"/>
        <v>25.521456310679611</v>
      </c>
      <c r="O86" s="37">
        <f t="shared" si="68"/>
        <v>30.029126213592228</v>
      </c>
      <c r="P86" s="37">
        <f t="shared" si="68"/>
        <v>45.247378640776695</v>
      </c>
      <c r="Q86" s="37">
        <f t="shared" si="68"/>
        <v>46.039223300970875</v>
      </c>
      <c r="R86" s="37">
        <f t="shared" si="68"/>
        <v>24.905339805825239</v>
      </c>
      <c r="S86" s="37">
        <f t="shared" si="68"/>
        <v>30.802912621359223</v>
      </c>
      <c r="T86" s="37">
        <f t="shared" si="68"/>
        <v>36.45718446601942</v>
      </c>
      <c r="U86" s="37">
        <f t="shared" si="68"/>
        <v>44.243203883495148</v>
      </c>
      <c r="V86" s="37">
        <f t="shared" si="68"/>
        <v>40.823980582524278</v>
      </c>
      <c r="W86" s="37">
        <f t="shared" si="68"/>
        <v>46.90631067961165</v>
      </c>
      <c r="X86" s="37">
        <f t="shared" si="68"/>
        <v>50.015728155339808</v>
      </c>
      <c r="Y86" s="37">
        <f t="shared" si="68"/>
        <v>36.32504854368932</v>
      </c>
      <c r="Z86" s="37">
        <f t="shared" si="68"/>
        <v>39.779223300970877</v>
      </c>
      <c r="AA86" s="37">
        <f t="shared" si="68"/>
        <v>34.363592233009705</v>
      </c>
      <c r="AB86" s="37">
        <f t="shared" si="68"/>
        <v>26.606796116504849</v>
      </c>
      <c r="AC86" s="37">
        <f t="shared" si="68"/>
        <v>34.373398058252427</v>
      </c>
      <c r="AD86" s="37">
        <f t="shared" si="68"/>
        <v>39.714660194174755</v>
      </c>
      <c r="AE86" s="37">
        <f t="shared" si="68"/>
        <v>35.479805825242721</v>
      </c>
      <c r="AF86" s="37">
        <f t="shared" si="68"/>
        <v>24.309514563106799</v>
      </c>
      <c r="AG86" s="37">
        <f t="shared" si="68"/>
        <v>11.498737864077668</v>
      </c>
      <c r="AH86" s="37">
        <f t="shared" si="68"/>
        <v>19.095825242718444</v>
      </c>
      <c r="AI86" s="283">
        <f>+AI85*AI84</f>
        <v>33.124973379267146</v>
      </c>
      <c r="AJ86" s="279">
        <f>+AJ84*AJ85</f>
        <v>33.124973379267146</v>
      </c>
    </row>
    <row r="87" spans="1:36" ht="15" thickBot="1" x14ac:dyDescent="0.35">
      <c r="A87" s="203"/>
      <c r="B87" s="33"/>
      <c r="C87" s="34" t="s">
        <v>19</v>
      </c>
      <c r="D87" s="158">
        <f>3140.39</f>
        <v>3140.39</v>
      </c>
      <c r="E87" s="158">
        <v>2055.1799999999998</v>
      </c>
      <c r="F87" s="158">
        <v>3101.57</v>
      </c>
      <c r="G87" s="158">
        <v>2721.67</v>
      </c>
      <c r="H87" s="158">
        <v>2728.83</v>
      </c>
      <c r="I87" s="158">
        <v>4430.6899999999996</v>
      </c>
      <c r="J87" s="158">
        <v>4695.91</v>
      </c>
      <c r="K87" s="158">
        <v>3357.24</v>
      </c>
      <c r="L87" s="158">
        <v>1811</v>
      </c>
      <c r="M87" s="158">
        <v>3304.13</v>
      </c>
      <c r="N87" s="158">
        <v>2628.71</v>
      </c>
      <c r="O87" s="158">
        <v>3093.07</v>
      </c>
      <c r="P87" s="158">
        <v>4660.42</v>
      </c>
      <c r="Q87" s="158">
        <v>4741.87</v>
      </c>
      <c r="R87" s="222">
        <v>2565.38</v>
      </c>
      <c r="S87" s="158">
        <v>3172.7</v>
      </c>
      <c r="T87" s="158">
        <v>3755.09</v>
      </c>
      <c r="U87" s="158">
        <v>4557.05</v>
      </c>
      <c r="V87" s="158">
        <f>4467.87-263</f>
        <v>4204.87</v>
      </c>
      <c r="W87" s="158">
        <v>4831.3500000000004</v>
      </c>
      <c r="X87" s="158">
        <v>5151.62</v>
      </c>
      <c r="Y87" s="158">
        <v>3741.48</v>
      </c>
      <c r="Z87" s="158">
        <v>4097.26</v>
      </c>
      <c r="AA87" s="158">
        <v>3539.45</v>
      </c>
      <c r="AB87" s="158">
        <v>2740.5</v>
      </c>
      <c r="AC87" s="158">
        <v>3540.46</v>
      </c>
      <c r="AD87" s="158">
        <v>4090.61</v>
      </c>
      <c r="AE87" s="158">
        <v>3654.42</v>
      </c>
      <c r="AF87" s="158">
        <v>2503.88</v>
      </c>
      <c r="AG87" s="158">
        <v>1184.3699999999999</v>
      </c>
      <c r="AH87" s="158">
        <v>1966.87</v>
      </c>
      <c r="AI87" s="284">
        <f>SUM(D87:AH87)</f>
        <v>105768.03999999998</v>
      </c>
      <c r="AJ87" s="285">
        <f>+AI87/$A$1*$AK$1</f>
        <v>105768.03999999998</v>
      </c>
    </row>
    <row r="88" spans="1:36" x14ac:dyDescent="0.3">
      <c r="A88" s="203">
        <v>115</v>
      </c>
      <c r="B88" s="159" t="s">
        <v>41</v>
      </c>
      <c r="C88" s="160" t="s">
        <v>15</v>
      </c>
      <c r="D88" s="228">
        <v>31</v>
      </c>
      <c r="E88" s="228">
        <v>48</v>
      </c>
      <c r="F88" s="228">
        <v>50</v>
      </c>
      <c r="G88" s="228">
        <v>42</v>
      </c>
      <c r="H88" s="228">
        <v>37</v>
      </c>
      <c r="I88" s="228">
        <v>56</v>
      </c>
      <c r="J88" s="228">
        <v>62</v>
      </c>
      <c r="K88" s="228">
        <v>29</v>
      </c>
      <c r="L88" s="228">
        <v>41</v>
      </c>
      <c r="M88" s="228">
        <v>48</v>
      </c>
      <c r="N88" s="228">
        <v>61</v>
      </c>
      <c r="O88" s="228">
        <v>70</v>
      </c>
      <c r="P88" s="228">
        <v>98</v>
      </c>
      <c r="Q88" s="228">
        <v>95</v>
      </c>
      <c r="R88" s="228">
        <v>21</v>
      </c>
      <c r="S88" s="228">
        <v>48</v>
      </c>
      <c r="T88" s="228">
        <v>57</v>
      </c>
      <c r="U88" s="228">
        <v>55</v>
      </c>
      <c r="V88" s="228">
        <v>72</v>
      </c>
      <c r="W88" s="228">
        <v>104</v>
      </c>
      <c r="X88" s="228">
        <v>109</v>
      </c>
      <c r="Y88" s="228">
        <v>65</v>
      </c>
      <c r="Z88" s="228">
        <v>84</v>
      </c>
      <c r="AA88" s="228">
        <v>104</v>
      </c>
      <c r="AB88" s="228">
        <v>98</v>
      </c>
      <c r="AC88" s="228">
        <v>61</v>
      </c>
      <c r="AD88" s="228">
        <v>80</v>
      </c>
      <c r="AE88" s="228">
        <v>112</v>
      </c>
      <c r="AF88" s="228">
        <v>70</v>
      </c>
      <c r="AG88" s="228">
        <v>29</v>
      </c>
      <c r="AH88" s="228">
        <v>51</v>
      </c>
      <c r="AI88" s="288">
        <f>SUM(D88:AH88)</f>
        <v>1988</v>
      </c>
      <c r="AJ88" s="289">
        <f>+$AI88/$A$1*$AK$1</f>
        <v>1988</v>
      </c>
    </row>
    <row r="89" spans="1:36" x14ac:dyDescent="0.3">
      <c r="A89" s="203"/>
      <c r="B89" s="162"/>
      <c r="C89" s="163" t="s">
        <v>16</v>
      </c>
      <c r="D89" s="164">
        <f>+D88/$A88</f>
        <v>0.26956521739130435</v>
      </c>
      <c r="E89" s="164">
        <f t="shared" ref="E89:AH89" si="70">+E88/$A88</f>
        <v>0.41739130434782606</v>
      </c>
      <c r="F89" s="164">
        <f t="shared" si="70"/>
        <v>0.43478260869565216</v>
      </c>
      <c r="G89" s="164">
        <f t="shared" si="70"/>
        <v>0.36521739130434783</v>
      </c>
      <c r="H89" s="164">
        <f t="shared" si="70"/>
        <v>0.32173913043478258</v>
      </c>
      <c r="I89" s="164">
        <f t="shared" si="70"/>
        <v>0.48695652173913045</v>
      </c>
      <c r="J89" s="164">
        <f t="shared" si="70"/>
        <v>0.53913043478260869</v>
      </c>
      <c r="K89" s="164">
        <f t="shared" si="70"/>
        <v>0.25217391304347825</v>
      </c>
      <c r="L89" s="164">
        <f t="shared" si="70"/>
        <v>0.35652173913043478</v>
      </c>
      <c r="M89" s="164">
        <f t="shared" si="70"/>
        <v>0.41739130434782606</v>
      </c>
      <c r="N89" s="164">
        <f t="shared" si="70"/>
        <v>0.5304347826086957</v>
      </c>
      <c r="O89" s="164">
        <f t="shared" si="70"/>
        <v>0.60869565217391308</v>
      </c>
      <c r="P89" s="164">
        <f t="shared" si="70"/>
        <v>0.85217391304347823</v>
      </c>
      <c r="Q89" s="164">
        <f t="shared" si="70"/>
        <v>0.82608695652173914</v>
      </c>
      <c r="R89" s="164">
        <f t="shared" si="70"/>
        <v>0.18260869565217391</v>
      </c>
      <c r="S89" s="164">
        <f t="shared" si="70"/>
        <v>0.41739130434782606</v>
      </c>
      <c r="T89" s="164">
        <f t="shared" si="70"/>
        <v>0.4956521739130435</v>
      </c>
      <c r="U89" s="164">
        <f t="shared" si="70"/>
        <v>0.47826086956521741</v>
      </c>
      <c r="V89" s="164">
        <f t="shared" si="70"/>
        <v>0.62608695652173918</v>
      </c>
      <c r="W89" s="164">
        <f t="shared" si="70"/>
        <v>0.90434782608695652</v>
      </c>
      <c r="X89" s="164">
        <f t="shared" si="70"/>
        <v>0.94782608695652171</v>
      </c>
      <c r="Y89" s="164">
        <f t="shared" si="70"/>
        <v>0.56521739130434778</v>
      </c>
      <c r="Z89" s="164">
        <f t="shared" si="70"/>
        <v>0.73043478260869565</v>
      </c>
      <c r="AA89" s="164">
        <f>+AA88/$A88</f>
        <v>0.90434782608695652</v>
      </c>
      <c r="AB89" s="164">
        <f t="shared" si="70"/>
        <v>0.85217391304347823</v>
      </c>
      <c r="AC89" s="164">
        <f t="shared" si="70"/>
        <v>0.5304347826086957</v>
      </c>
      <c r="AD89" s="164">
        <f t="shared" si="70"/>
        <v>0.69565217391304346</v>
      </c>
      <c r="AE89" s="164">
        <f t="shared" si="70"/>
        <v>0.97391304347826091</v>
      </c>
      <c r="AF89" s="164">
        <f t="shared" si="70"/>
        <v>0.60869565217391308</v>
      </c>
      <c r="AG89" s="164">
        <f t="shared" si="70"/>
        <v>0.25217391304347825</v>
      </c>
      <c r="AH89" s="164">
        <f t="shared" si="70"/>
        <v>0.44347826086956521</v>
      </c>
      <c r="AI89" s="290">
        <f>+AI88/(A88*A$1)</f>
        <v>0.55764375876577843</v>
      </c>
      <c r="AJ89" s="291">
        <f>AJ88/($A88*AK1)</f>
        <v>0.55764375876577843</v>
      </c>
    </row>
    <row r="90" spans="1:36" x14ac:dyDescent="0.3">
      <c r="A90" s="203"/>
      <c r="B90" s="162"/>
      <c r="C90" s="163" t="s">
        <v>17</v>
      </c>
      <c r="D90" s="165">
        <f>+IFERROR(D92/D88,0)</f>
        <v>117.27096774193549</v>
      </c>
      <c r="E90" s="165">
        <f t="shared" ref="E90:AH90" si="71">+IFERROR(E92/E88,0)</f>
        <v>122.3625</v>
      </c>
      <c r="F90" s="165">
        <f t="shared" si="71"/>
        <v>127.72959999999999</v>
      </c>
      <c r="G90" s="165">
        <f t="shared" si="71"/>
        <v>118.73142857142858</v>
      </c>
      <c r="H90" s="165">
        <f t="shared" si="71"/>
        <v>112.24432432432432</v>
      </c>
      <c r="I90" s="165">
        <f t="shared" si="71"/>
        <v>111.99821428571428</v>
      </c>
      <c r="J90" s="165">
        <f t="shared" si="71"/>
        <v>104.08790322580644</v>
      </c>
      <c r="K90" s="165">
        <f t="shared" si="71"/>
        <v>111.13310344827586</v>
      </c>
      <c r="L90" s="165">
        <f t="shared" si="71"/>
        <v>116.37536585365855</v>
      </c>
      <c r="M90" s="165">
        <f t="shared" si="71"/>
        <v>114.93416666666667</v>
      </c>
      <c r="N90" s="165">
        <f t="shared" si="71"/>
        <v>113.90655737704918</v>
      </c>
      <c r="O90" s="165">
        <f t="shared" si="71"/>
        <v>104.89328571428571</v>
      </c>
      <c r="P90" s="165">
        <f t="shared" si="71"/>
        <v>115.66795918367346</v>
      </c>
      <c r="Q90" s="165">
        <f t="shared" si="71"/>
        <v>124.264</v>
      </c>
      <c r="R90" s="165">
        <f t="shared" si="71"/>
        <v>104.96904761904761</v>
      </c>
      <c r="S90" s="165">
        <f t="shared" si="71"/>
        <v>110.390625</v>
      </c>
      <c r="T90" s="165">
        <f t="shared" si="71"/>
        <v>114.29964912280701</v>
      </c>
      <c r="U90" s="165">
        <f t="shared" si="71"/>
        <v>121.28327272727273</v>
      </c>
      <c r="V90" s="165">
        <f t="shared" si="71"/>
        <v>103.89944444444444</v>
      </c>
      <c r="W90" s="165">
        <f t="shared" si="71"/>
        <v>109.64442307692308</v>
      </c>
      <c r="X90" s="165">
        <f t="shared" si="71"/>
        <v>120.46798165137615</v>
      </c>
      <c r="Y90" s="165">
        <f t="shared" si="71"/>
        <v>103.61492307692308</v>
      </c>
      <c r="Z90" s="165">
        <f t="shared" si="71"/>
        <v>113.37071428571429</v>
      </c>
      <c r="AA90" s="165">
        <f>+IFERROR(AA92/AA88,0)</f>
        <v>110.21990384615385</v>
      </c>
      <c r="AB90" s="165">
        <f t="shared" si="71"/>
        <v>107.83530612244898</v>
      </c>
      <c r="AC90" s="165">
        <f t="shared" si="71"/>
        <v>102.99360655737705</v>
      </c>
      <c r="AD90" s="165">
        <f t="shared" si="71"/>
        <v>118.39200000000001</v>
      </c>
      <c r="AE90" s="165">
        <f t="shared" si="71"/>
        <v>131.31821428571428</v>
      </c>
      <c r="AF90" s="165">
        <f t="shared" si="71"/>
        <v>97.941285714285712</v>
      </c>
      <c r="AG90" s="165">
        <f t="shared" si="71"/>
        <v>105.24379310344828</v>
      </c>
      <c r="AH90" s="165">
        <f t="shared" si="71"/>
        <v>110.02137254901962</v>
      </c>
      <c r="AI90" s="292">
        <f>+AI92/AI88</f>
        <v>113.51906438631791</v>
      </c>
      <c r="AJ90" s="293">
        <f>+AJ92/AJ88</f>
        <v>113.51906438631791</v>
      </c>
    </row>
    <row r="91" spans="1:36" x14ac:dyDescent="0.3">
      <c r="A91" s="203"/>
      <c r="B91" s="162"/>
      <c r="C91" s="163" t="s">
        <v>18</v>
      </c>
      <c r="D91" s="165">
        <f>+D89*D90</f>
        <v>31.612173913043481</v>
      </c>
      <c r="E91" s="165">
        <f t="shared" ref="E91:AH91" si="72">+E89*E90</f>
        <v>51.073043478260864</v>
      </c>
      <c r="F91" s="165">
        <f t="shared" si="72"/>
        <v>55.534608695652167</v>
      </c>
      <c r="G91" s="165">
        <f t="shared" si="72"/>
        <v>43.362782608695653</v>
      </c>
      <c r="H91" s="165">
        <f t="shared" si="72"/>
        <v>36.113391304347822</v>
      </c>
      <c r="I91" s="165">
        <f t="shared" si="72"/>
        <v>54.538260869565221</v>
      </c>
      <c r="J91" s="165">
        <f t="shared" si="72"/>
        <v>56.116956521739127</v>
      </c>
      <c r="K91" s="165">
        <f t="shared" si="72"/>
        <v>28.02486956521739</v>
      </c>
      <c r="L91" s="165">
        <f t="shared" si="72"/>
        <v>41.49034782608696</v>
      </c>
      <c r="M91" s="165">
        <f t="shared" si="72"/>
        <v>47.972521739130435</v>
      </c>
      <c r="N91" s="165">
        <f t="shared" si="72"/>
        <v>60.420000000000009</v>
      </c>
      <c r="O91" s="165">
        <f t="shared" si="72"/>
        <v>63.84808695652174</v>
      </c>
      <c r="P91" s="165">
        <f t="shared" si="72"/>
        <v>98.569217391304335</v>
      </c>
      <c r="Q91" s="165">
        <f t="shared" si="72"/>
        <v>102.65286956521739</v>
      </c>
      <c r="R91" s="165">
        <f t="shared" si="72"/>
        <v>19.168260869565216</v>
      </c>
      <c r="S91" s="165">
        <f t="shared" si="72"/>
        <v>46.076086956521735</v>
      </c>
      <c r="T91" s="165">
        <f t="shared" si="72"/>
        <v>56.652869565217394</v>
      </c>
      <c r="U91" s="165">
        <f t="shared" si="72"/>
        <v>58.005043478260873</v>
      </c>
      <c r="V91" s="165">
        <f t="shared" si="72"/>
        <v>65.050086956521739</v>
      </c>
      <c r="W91" s="165">
        <f t="shared" si="72"/>
        <v>99.156695652173909</v>
      </c>
      <c r="X91" s="165">
        <f t="shared" si="72"/>
        <v>114.1826956521739</v>
      </c>
      <c r="Y91" s="165">
        <f t="shared" si="72"/>
        <v>58.564956521739127</v>
      </c>
      <c r="Z91" s="165">
        <f t="shared" si="72"/>
        <v>82.809913043478261</v>
      </c>
      <c r="AA91" s="165">
        <f t="shared" si="72"/>
        <v>99.677130434782612</v>
      </c>
      <c r="AB91" s="165">
        <f t="shared" si="72"/>
        <v>91.894434782608698</v>
      </c>
      <c r="AC91" s="165">
        <f t="shared" si="72"/>
        <v>54.631391304347829</v>
      </c>
      <c r="AD91" s="165">
        <f t="shared" si="72"/>
        <v>82.359652173913048</v>
      </c>
      <c r="AE91" s="165">
        <f t="shared" si="72"/>
        <v>127.89252173913043</v>
      </c>
      <c r="AF91" s="165">
        <f t="shared" si="72"/>
        <v>59.6164347826087</v>
      </c>
      <c r="AG91" s="165">
        <f t="shared" si="72"/>
        <v>26.539739130434782</v>
      </c>
      <c r="AH91" s="165">
        <f t="shared" si="72"/>
        <v>48.792086956521743</v>
      </c>
      <c r="AI91" s="292">
        <f>+AI90*AI89</f>
        <v>63.303197755960731</v>
      </c>
      <c r="AJ91" s="293">
        <f>+AJ89*AJ90</f>
        <v>63.303197755960731</v>
      </c>
    </row>
    <row r="92" spans="1:36" ht="15" thickBot="1" x14ac:dyDescent="0.35">
      <c r="A92" s="203"/>
      <c r="B92" s="205"/>
      <c r="C92" s="206" t="s">
        <v>19</v>
      </c>
      <c r="D92" s="254">
        <v>3635.4</v>
      </c>
      <c r="E92" s="254">
        <v>5873.4</v>
      </c>
      <c r="F92" s="254">
        <v>6386.48</v>
      </c>
      <c r="G92" s="254">
        <v>4986.72</v>
      </c>
      <c r="H92" s="254">
        <v>4153.04</v>
      </c>
      <c r="I92" s="254">
        <v>6271.9</v>
      </c>
      <c r="J92" s="254">
        <v>6453.45</v>
      </c>
      <c r="K92" s="254">
        <v>3222.86</v>
      </c>
      <c r="L92" s="254">
        <v>4771.3900000000003</v>
      </c>
      <c r="M92" s="254">
        <v>5516.84</v>
      </c>
      <c r="N92" s="254">
        <v>6948.3</v>
      </c>
      <c r="O92" s="254">
        <v>7342.53</v>
      </c>
      <c r="P92" s="254">
        <v>11335.46</v>
      </c>
      <c r="Q92" s="254">
        <v>11805.08</v>
      </c>
      <c r="R92" s="254">
        <v>2204.35</v>
      </c>
      <c r="S92" s="254">
        <v>5298.75</v>
      </c>
      <c r="T92" s="254">
        <v>6515.08</v>
      </c>
      <c r="U92" s="254">
        <v>6670.58</v>
      </c>
      <c r="V92" s="254">
        <v>7480.76</v>
      </c>
      <c r="W92" s="254">
        <v>11403.02</v>
      </c>
      <c r="X92" s="254">
        <v>13131.01</v>
      </c>
      <c r="Y92" s="254">
        <v>6734.97</v>
      </c>
      <c r="Z92" s="254">
        <v>9523.14</v>
      </c>
      <c r="AA92" s="254">
        <v>11462.87</v>
      </c>
      <c r="AB92" s="254">
        <v>10567.86</v>
      </c>
      <c r="AC92" s="254">
        <v>6282.61</v>
      </c>
      <c r="AD92" s="254">
        <v>9471.36</v>
      </c>
      <c r="AE92" s="254">
        <v>14707.64</v>
      </c>
      <c r="AF92" s="254">
        <v>6855.89</v>
      </c>
      <c r="AG92" s="254">
        <v>3052.07</v>
      </c>
      <c r="AH92" s="254">
        <v>5611.09</v>
      </c>
      <c r="AI92" s="309">
        <f>SUM(D92:AH92)</f>
        <v>225675.9</v>
      </c>
      <c r="AJ92" s="307">
        <f>+AI92/$A$1*$AK$1</f>
        <v>225675.9</v>
      </c>
    </row>
    <row r="93" spans="1:36" hidden="1" x14ac:dyDescent="0.3">
      <c r="A93" s="203">
        <f>100-100</f>
        <v>0</v>
      </c>
      <c r="B93" s="33" t="s">
        <v>42</v>
      </c>
      <c r="C93" s="34" t="s">
        <v>15</v>
      </c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310">
        <f>SUM(D93:AH93)</f>
        <v>0</v>
      </c>
      <c r="AJ93" s="285">
        <f>+$AI93/$A$1*$AK$1</f>
        <v>0</v>
      </c>
    </row>
    <row r="94" spans="1:36" hidden="1" x14ac:dyDescent="0.3">
      <c r="A94" s="203"/>
      <c r="B94" s="33"/>
      <c r="C94" s="34" t="s">
        <v>16</v>
      </c>
      <c r="D94" s="35" t="e">
        <f t="shared" ref="D94:AH94" si="73">+D93/$A93</f>
        <v>#DIV/0!</v>
      </c>
      <c r="E94" s="35" t="e">
        <f t="shared" si="73"/>
        <v>#DIV/0!</v>
      </c>
      <c r="F94" s="35" t="e">
        <f t="shared" si="73"/>
        <v>#DIV/0!</v>
      </c>
      <c r="G94" s="35" t="e">
        <f t="shared" si="73"/>
        <v>#DIV/0!</v>
      </c>
      <c r="H94" s="35" t="e">
        <f t="shared" si="73"/>
        <v>#DIV/0!</v>
      </c>
      <c r="I94" s="35" t="e">
        <f t="shared" si="73"/>
        <v>#DIV/0!</v>
      </c>
      <c r="J94" s="35" t="e">
        <f t="shared" si="73"/>
        <v>#DIV/0!</v>
      </c>
      <c r="K94" s="35" t="e">
        <f t="shared" si="73"/>
        <v>#DIV/0!</v>
      </c>
      <c r="L94" s="35" t="e">
        <f t="shared" si="73"/>
        <v>#DIV/0!</v>
      </c>
      <c r="M94" s="35" t="e">
        <f t="shared" si="73"/>
        <v>#DIV/0!</v>
      </c>
      <c r="N94" s="35" t="e">
        <f t="shared" si="73"/>
        <v>#DIV/0!</v>
      </c>
      <c r="O94" s="35" t="e">
        <f t="shared" si="73"/>
        <v>#DIV/0!</v>
      </c>
      <c r="P94" s="35" t="e">
        <f t="shared" si="73"/>
        <v>#DIV/0!</v>
      </c>
      <c r="Q94" s="35" t="e">
        <f t="shared" si="73"/>
        <v>#DIV/0!</v>
      </c>
      <c r="R94" s="35" t="e">
        <f t="shared" si="73"/>
        <v>#DIV/0!</v>
      </c>
      <c r="S94" s="35" t="e">
        <f t="shared" si="73"/>
        <v>#DIV/0!</v>
      </c>
      <c r="T94" s="35" t="e">
        <f t="shared" si="73"/>
        <v>#DIV/0!</v>
      </c>
      <c r="U94" s="35" t="e">
        <f t="shared" si="73"/>
        <v>#DIV/0!</v>
      </c>
      <c r="V94" s="35" t="e">
        <f t="shared" si="73"/>
        <v>#DIV/0!</v>
      </c>
      <c r="W94" s="35" t="e">
        <f t="shared" si="73"/>
        <v>#DIV/0!</v>
      </c>
      <c r="X94" s="35" t="e">
        <f t="shared" si="73"/>
        <v>#DIV/0!</v>
      </c>
      <c r="Y94" s="35" t="e">
        <f t="shared" si="73"/>
        <v>#DIV/0!</v>
      </c>
      <c r="Z94" s="35" t="e">
        <f t="shared" si="73"/>
        <v>#DIV/0!</v>
      </c>
      <c r="AA94" s="35" t="e">
        <f t="shared" si="73"/>
        <v>#DIV/0!</v>
      </c>
      <c r="AB94" s="35" t="e">
        <f t="shared" si="73"/>
        <v>#DIV/0!</v>
      </c>
      <c r="AC94" s="35" t="e">
        <f t="shared" si="73"/>
        <v>#DIV/0!</v>
      </c>
      <c r="AD94" s="35" t="e">
        <f t="shared" si="73"/>
        <v>#DIV/0!</v>
      </c>
      <c r="AE94" s="35" t="e">
        <f t="shared" si="73"/>
        <v>#DIV/0!</v>
      </c>
      <c r="AF94" s="35" t="e">
        <f t="shared" si="73"/>
        <v>#DIV/0!</v>
      </c>
      <c r="AG94" s="35" t="e">
        <f t="shared" si="73"/>
        <v>#DIV/0!</v>
      </c>
      <c r="AH94" s="35" t="e">
        <f t="shared" si="73"/>
        <v>#DIV/0!</v>
      </c>
      <c r="AI94" s="281" t="e">
        <f>+AI93/(A93*A$1)</f>
        <v>#DIV/0!</v>
      </c>
      <c r="AJ94" s="282" t="e">
        <f>AJ93/($A93*AK1)</f>
        <v>#DIV/0!</v>
      </c>
    </row>
    <row r="95" spans="1:36" hidden="1" x14ac:dyDescent="0.3">
      <c r="A95" s="203"/>
      <c r="B95" s="33"/>
      <c r="C95" s="34" t="s">
        <v>17</v>
      </c>
      <c r="D95" s="37">
        <f t="shared" ref="D95:AH95" si="74">+IFERROR(D97/D93,0)</f>
        <v>0</v>
      </c>
      <c r="E95" s="37">
        <f t="shared" si="74"/>
        <v>0</v>
      </c>
      <c r="F95" s="37">
        <f t="shared" si="74"/>
        <v>0</v>
      </c>
      <c r="G95" s="37">
        <f t="shared" si="74"/>
        <v>0</v>
      </c>
      <c r="H95" s="37">
        <f t="shared" si="74"/>
        <v>0</v>
      </c>
      <c r="I95" s="37">
        <f t="shared" si="74"/>
        <v>0</v>
      </c>
      <c r="J95" s="37">
        <f t="shared" si="74"/>
        <v>0</v>
      </c>
      <c r="K95" s="37">
        <f t="shared" si="74"/>
        <v>0</v>
      </c>
      <c r="L95" s="37">
        <f t="shared" si="74"/>
        <v>0</v>
      </c>
      <c r="M95" s="37">
        <f t="shared" si="74"/>
        <v>0</v>
      </c>
      <c r="N95" s="37">
        <f t="shared" si="74"/>
        <v>0</v>
      </c>
      <c r="O95" s="37">
        <f t="shared" si="74"/>
        <v>0</v>
      </c>
      <c r="P95" s="37">
        <f t="shared" si="74"/>
        <v>0</v>
      </c>
      <c r="Q95" s="37">
        <f t="shared" si="74"/>
        <v>0</v>
      </c>
      <c r="R95" s="37">
        <f t="shared" si="74"/>
        <v>0</v>
      </c>
      <c r="S95" s="37">
        <f t="shared" si="74"/>
        <v>0</v>
      </c>
      <c r="T95" s="37">
        <f t="shared" si="74"/>
        <v>0</v>
      </c>
      <c r="U95" s="37">
        <f t="shared" si="74"/>
        <v>0</v>
      </c>
      <c r="V95" s="37">
        <f t="shared" si="74"/>
        <v>0</v>
      </c>
      <c r="W95" s="37">
        <f t="shared" si="74"/>
        <v>0</v>
      </c>
      <c r="X95" s="37">
        <f t="shared" si="74"/>
        <v>0</v>
      </c>
      <c r="Y95" s="37">
        <f t="shared" si="74"/>
        <v>0</v>
      </c>
      <c r="Z95" s="37">
        <f t="shared" si="74"/>
        <v>0</v>
      </c>
      <c r="AA95" s="37">
        <f t="shared" si="74"/>
        <v>0</v>
      </c>
      <c r="AB95" s="37">
        <f t="shared" si="74"/>
        <v>0</v>
      </c>
      <c r="AC95" s="37">
        <f t="shared" si="74"/>
        <v>0</v>
      </c>
      <c r="AD95" s="37">
        <f t="shared" si="74"/>
        <v>0</v>
      </c>
      <c r="AE95" s="37">
        <f t="shared" si="74"/>
        <v>0</v>
      </c>
      <c r="AF95" s="37">
        <f t="shared" si="74"/>
        <v>0</v>
      </c>
      <c r="AG95" s="37">
        <f t="shared" si="74"/>
        <v>0</v>
      </c>
      <c r="AH95" s="37">
        <f t="shared" si="74"/>
        <v>0</v>
      </c>
      <c r="AI95" s="283" t="e">
        <f>+AI97/AI93</f>
        <v>#DIV/0!</v>
      </c>
      <c r="AJ95" s="279" t="e">
        <f>+AJ97/AJ93</f>
        <v>#DIV/0!</v>
      </c>
    </row>
    <row r="96" spans="1:36" hidden="1" x14ac:dyDescent="0.3">
      <c r="A96" s="203"/>
      <c r="B96" s="33"/>
      <c r="C96" s="34" t="s">
        <v>18</v>
      </c>
      <c r="D96" s="37" t="e">
        <f t="shared" ref="D96:AH96" si="75">+D94*D95</f>
        <v>#DIV/0!</v>
      </c>
      <c r="E96" s="37" t="e">
        <f t="shared" si="75"/>
        <v>#DIV/0!</v>
      </c>
      <c r="F96" s="37" t="e">
        <f t="shared" si="75"/>
        <v>#DIV/0!</v>
      </c>
      <c r="G96" s="37" t="e">
        <f t="shared" si="75"/>
        <v>#DIV/0!</v>
      </c>
      <c r="H96" s="37" t="e">
        <f t="shared" si="75"/>
        <v>#DIV/0!</v>
      </c>
      <c r="I96" s="37" t="e">
        <f t="shared" si="75"/>
        <v>#DIV/0!</v>
      </c>
      <c r="J96" s="37" t="e">
        <f t="shared" si="75"/>
        <v>#DIV/0!</v>
      </c>
      <c r="K96" s="37" t="e">
        <f t="shared" si="75"/>
        <v>#DIV/0!</v>
      </c>
      <c r="L96" s="37" t="e">
        <f t="shared" si="75"/>
        <v>#DIV/0!</v>
      </c>
      <c r="M96" s="37" t="e">
        <f t="shared" si="75"/>
        <v>#DIV/0!</v>
      </c>
      <c r="N96" s="37" t="e">
        <f t="shared" si="75"/>
        <v>#DIV/0!</v>
      </c>
      <c r="O96" s="37" t="e">
        <f t="shared" si="75"/>
        <v>#DIV/0!</v>
      </c>
      <c r="P96" s="37" t="e">
        <f t="shared" si="75"/>
        <v>#DIV/0!</v>
      </c>
      <c r="Q96" s="37" t="e">
        <f t="shared" si="75"/>
        <v>#DIV/0!</v>
      </c>
      <c r="R96" s="37" t="e">
        <f t="shared" si="75"/>
        <v>#DIV/0!</v>
      </c>
      <c r="S96" s="37" t="e">
        <f t="shared" si="75"/>
        <v>#DIV/0!</v>
      </c>
      <c r="T96" s="37" t="e">
        <f t="shared" si="75"/>
        <v>#DIV/0!</v>
      </c>
      <c r="U96" s="37" t="e">
        <f t="shared" si="75"/>
        <v>#DIV/0!</v>
      </c>
      <c r="V96" s="37" t="e">
        <f t="shared" si="75"/>
        <v>#DIV/0!</v>
      </c>
      <c r="W96" s="37" t="e">
        <f t="shared" si="75"/>
        <v>#DIV/0!</v>
      </c>
      <c r="X96" s="37" t="e">
        <f t="shared" si="75"/>
        <v>#DIV/0!</v>
      </c>
      <c r="Y96" s="37" t="e">
        <f t="shared" si="75"/>
        <v>#DIV/0!</v>
      </c>
      <c r="Z96" s="37" t="e">
        <f t="shared" si="75"/>
        <v>#DIV/0!</v>
      </c>
      <c r="AA96" s="37" t="e">
        <f t="shared" si="75"/>
        <v>#DIV/0!</v>
      </c>
      <c r="AB96" s="37" t="e">
        <f t="shared" si="75"/>
        <v>#DIV/0!</v>
      </c>
      <c r="AC96" s="37" t="e">
        <f t="shared" si="75"/>
        <v>#DIV/0!</v>
      </c>
      <c r="AD96" s="37" t="e">
        <f t="shared" si="75"/>
        <v>#DIV/0!</v>
      </c>
      <c r="AE96" s="37" t="e">
        <f t="shared" si="75"/>
        <v>#DIV/0!</v>
      </c>
      <c r="AF96" s="37" t="e">
        <f t="shared" si="75"/>
        <v>#DIV/0!</v>
      </c>
      <c r="AG96" s="37" t="e">
        <f t="shared" si="75"/>
        <v>#DIV/0!</v>
      </c>
      <c r="AH96" s="37" t="e">
        <f t="shared" si="75"/>
        <v>#DIV/0!</v>
      </c>
      <c r="AI96" s="283" t="e">
        <f>+AI95*AI94</f>
        <v>#DIV/0!</v>
      </c>
      <c r="AJ96" s="279" t="e">
        <f>+AJ94*AJ95</f>
        <v>#DIV/0!</v>
      </c>
    </row>
    <row r="97" spans="1:36" ht="15" hidden="1" thickBot="1" x14ac:dyDescent="0.35">
      <c r="A97" s="203"/>
      <c r="B97" s="33"/>
      <c r="C97" s="34" t="s">
        <v>19</v>
      </c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284">
        <f>SUM(D97:AH97)</f>
        <v>0</v>
      </c>
      <c r="AJ97" s="285">
        <f>+AI97/$A$1*$AK$1</f>
        <v>0</v>
      </c>
    </row>
    <row r="98" spans="1:36" x14ac:dyDescent="0.3">
      <c r="A98" s="203">
        <v>107</v>
      </c>
      <c r="B98" s="159" t="s">
        <v>43</v>
      </c>
      <c r="C98" s="160" t="s">
        <v>15</v>
      </c>
      <c r="D98" s="228">
        <v>51</v>
      </c>
      <c r="E98" s="228">
        <v>70</v>
      </c>
      <c r="F98" s="228">
        <v>68</v>
      </c>
      <c r="G98" s="228">
        <v>76</v>
      </c>
      <c r="H98" s="228">
        <v>77</v>
      </c>
      <c r="I98" s="228">
        <v>96</v>
      </c>
      <c r="J98" s="228">
        <v>95</v>
      </c>
      <c r="K98" s="228">
        <v>53</v>
      </c>
      <c r="L98" s="228">
        <v>71</v>
      </c>
      <c r="M98" s="228">
        <v>76</v>
      </c>
      <c r="N98" s="228">
        <v>69</v>
      </c>
      <c r="O98" s="228">
        <v>79</v>
      </c>
      <c r="P98" s="228">
        <v>95</v>
      </c>
      <c r="Q98" s="228">
        <v>104</v>
      </c>
      <c r="R98" s="228">
        <v>65</v>
      </c>
      <c r="S98" s="228">
        <v>70</v>
      </c>
      <c r="T98" s="228">
        <v>68</v>
      </c>
      <c r="U98" s="228">
        <v>63</v>
      </c>
      <c r="V98" s="228">
        <v>72</v>
      </c>
      <c r="W98" s="228">
        <v>107</v>
      </c>
      <c r="X98" s="228">
        <v>107</v>
      </c>
      <c r="Y98" s="228">
        <v>69</v>
      </c>
      <c r="Z98" s="228">
        <v>79</v>
      </c>
      <c r="AA98" s="228">
        <v>69</v>
      </c>
      <c r="AB98" s="228">
        <v>57</v>
      </c>
      <c r="AC98" s="228">
        <v>51</v>
      </c>
      <c r="AD98" s="228">
        <v>89</v>
      </c>
      <c r="AE98" s="228">
        <v>103</v>
      </c>
      <c r="AF98" s="228">
        <v>66</v>
      </c>
      <c r="AG98" s="228">
        <v>46</v>
      </c>
      <c r="AH98" s="228">
        <v>63</v>
      </c>
      <c r="AI98" s="288">
        <f>SUM(D98:AH98)</f>
        <v>2324</v>
      </c>
      <c r="AJ98" s="289">
        <f>+$AI98/$A$1*$AK$1</f>
        <v>2324</v>
      </c>
    </row>
    <row r="99" spans="1:36" x14ac:dyDescent="0.3">
      <c r="A99" s="203"/>
      <c r="B99" s="162"/>
      <c r="C99" s="163" t="s">
        <v>16</v>
      </c>
      <c r="D99" s="164">
        <f>+D98/$A98</f>
        <v>0.47663551401869159</v>
      </c>
      <c r="E99" s="164">
        <f t="shared" ref="E99:AH99" si="76">+E98/$A98</f>
        <v>0.65420560747663548</v>
      </c>
      <c r="F99" s="164">
        <f t="shared" si="76"/>
        <v>0.63551401869158874</v>
      </c>
      <c r="G99" s="164">
        <f t="shared" si="76"/>
        <v>0.71028037383177567</v>
      </c>
      <c r="H99" s="164">
        <f t="shared" si="76"/>
        <v>0.71962616822429903</v>
      </c>
      <c r="I99" s="164">
        <f t="shared" si="76"/>
        <v>0.89719626168224298</v>
      </c>
      <c r="J99" s="164">
        <f t="shared" si="76"/>
        <v>0.88785046728971961</v>
      </c>
      <c r="K99" s="164">
        <f t="shared" si="76"/>
        <v>0.49532710280373832</v>
      </c>
      <c r="L99" s="164">
        <f t="shared" si="76"/>
        <v>0.66355140186915884</v>
      </c>
      <c r="M99" s="164">
        <f t="shared" si="76"/>
        <v>0.71028037383177567</v>
      </c>
      <c r="N99" s="164">
        <f t="shared" si="76"/>
        <v>0.64485981308411211</v>
      </c>
      <c r="O99" s="164">
        <f t="shared" si="76"/>
        <v>0.73831775700934577</v>
      </c>
      <c r="P99" s="164">
        <f t="shared" si="76"/>
        <v>0.88785046728971961</v>
      </c>
      <c r="Q99" s="164">
        <f t="shared" si="76"/>
        <v>0.9719626168224299</v>
      </c>
      <c r="R99" s="164">
        <f t="shared" si="76"/>
        <v>0.60747663551401865</v>
      </c>
      <c r="S99" s="164">
        <f t="shared" si="76"/>
        <v>0.65420560747663548</v>
      </c>
      <c r="T99" s="164">
        <f t="shared" si="76"/>
        <v>0.63551401869158874</v>
      </c>
      <c r="U99" s="164">
        <f t="shared" si="76"/>
        <v>0.58878504672897192</v>
      </c>
      <c r="V99" s="164">
        <f t="shared" si="76"/>
        <v>0.67289719626168221</v>
      </c>
      <c r="W99" s="164">
        <f t="shared" si="76"/>
        <v>1</v>
      </c>
      <c r="X99" s="164">
        <f t="shared" si="76"/>
        <v>1</v>
      </c>
      <c r="Y99" s="164">
        <f t="shared" si="76"/>
        <v>0.64485981308411211</v>
      </c>
      <c r="Z99" s="164">
        <f t="shared" si="76"/>
        <v>0.73831775700934577</v>
      </c>
      <c r="AA99" s="164">
        <f>+AA98/$A98</f>
        <v>0.64485981308411211</v>
      </c>
      <c r="AB99" s="164">
        <f t="shared" si="76"/>
        <v>0.53271028037383172</v>
      </c>
      <c r="AC99" s="164">
        <f t="shared" si="76"/>
        <v>0.47663551401869159</v>
      </c>
      <c r="AD99" s="164">
        <f t="shared" si="76"/>
        <v>0.83177570093457942</v>
      </c>
      <c r="AE99" s="164">
        <f t="shared" si="76"/>
        <v>0.96261682242990654</v>
      </c>
      <c r="AF99" s="164">
        <f t="shared" si="76"/>
        <v>0.61682242990654201</v>
      </c>
      <c r="AG99" s="164">
        <f t="shared" si="76"/>
        <v>0.42990654205607476</v>
      </c>
      <c r="AH99" s="164">
        <f t="shared" si="76"/>
        <v>0.58878504672897192</v>
      </c>
      <c r="AI99" s="290">
        <f>+AI98/(A98*A$1)</f>
        <v>0.70063310220078379</v>
      </c>
      <c r="AJ99" s="291">
        <f>AJ98/($A98*AK1)</f>
        <v>0.70063310220078379</v>
      </c>
    </row>
    <row r="100" spans="1:36" x14ac:dyDescent="0.3">
      <c r="A100" s="203"/>
      <c r="B100" s="162"/>
      <c r="C100" s="163" t="s">
        <v>17</v>
      </c>
      <c r="D100" s="165">
        <f>+IFERROR(D102/D98,0)</f>
        <v>113.16588235294118</v>
      </c>
      <c r="E100" s="165">
        <f t="shared" ref="E100:AH100" si="77">+IFERROR(E102/E98,0)</f>
        <v>118.30085714285714</v>
      </c>
      <c r="F100" s="165">
        <f t="shared" si="77"/>
        <v>114.52985294117647</v>
      </c>
      <c r="G100" s="165">
        <f t="shared" si="77"/>
        <v>116.11539473684211</v>
      </c>
      <c r="H100" s="165">
        <f t="shared" si="77"/>
        <v>115.8538961038961</v>
      </c>
      <c r="I100" s="165">
        <f t="shared" si="77"/>
        <v>123.10583333333334</v>
      </c>
      <c r="J100" s="165">
        <f t="shared" si="77"/>
        <v>124.316</v>
      </c>
      <c r="K100" s="165">
        <f t="shared" si="77"/>
        <v>111.53075471698114</v>
      </c>
      <c r="L100" s="165">
        <f t="shared" si="77"/>
        <v>119.95295774647887</v>
      </c>
      <c r="M100" s="165">
        <v>124.5</v>
      </c>
      <c r="N100" s="165">
        <v>128.59</v>
      </c>
      <c r="O100" s="165">
        <v>131.47</v>
      </c>
      <c r="P100" s="165">
        <f t="shared" si="77"/>
        <v>129.98726315789474</v>
      </c>
      <c r="Q100" s="165">
        <f t="shared" si="77"/>
        <v>146.2368269230769</v>
      </c>
      <c r="R100" s="165">
        <f t="shared" si="77"/>
        <v>118.22815384615384</v>
      </c>
      <c r="S100" s="165">
        <f t="shared" si="77"/>
        <v>111.57671428571429</v>
      </c>
      <c r="T100" s="165">
        <f t="shared" si="77"/>
        <v>114.23573529411765</v>
      </c>
      <c r="U100" s="165">
        <f t="shared" si="77"/>
        <v>117.63952380952381</v>
      </c>
      <c r="V100" s="165">
        <f t="shared" si="77"/>
        <v>124.2948611111111</v>
      </c>
      <c r="W100" s="165">
        <f t="shared" si="77"/>
        <v>153.81551401869157</v>
      </c>
      <c r="X100" s="165">
        <f t="shared" si="77"/>
        <v>151.7229906542056</v>
      </c>
      <c r="Y100" s="165">
        <f t="shared" si="77"/>
        <v>109.62159420289855</v>
      </c>
      <c r="Z100" s="165">
        <f t="shared" si="77"/>
        <v>117.77240506329115</v>
      </c>
      <c r="AA100" s="165">
        <f t="shared" si="77"/>
        <v>114.93536231884057</v>
      </c>
      <c r="AB100" s="165">
        <f t="shared" si="77"/>
        <v>120.07087719298245</v>
      </c>
      <c r="AC100" s="165">
        <f t="shared" si="77"/>
        <v>124.11843137254903</v>
      </c>
      <c r="AD100" s="165">
        <f t="shared" si="77"/>
        <v>149.69786516853932</v>
      </c>
      <c r="AE100" s="165">
        <f t="shared" si="77"/>
        <v>155.05077669902911</v>
      </c>
      <c r="AF100" s="165">
        <f t="shared" si="77"/>
        <v>122.11878787878788</v>
      </c>
      <c r="AG100" s="165">
        <f t="shared" si="77"/>
        <v>114.20543478260869</v>
      </c>
      <c r="AH100" s="165">
        <f t="shared" si="77"/>
        <v>110.77253968253969</v>
      </c>
      <c r="AI100" s="292">
        <f>+AI102/AI98</f>
        <v>126.41780550774529</v>
      </c>
      <c r="AJ100" s="293">
        <f>+AJ102/AJ98</f>
        <v>126.41780550774529</v>
      </c>
    </row>
    <row r="101" spans="1:36" x14ac:dyDescent="0.3">
      <c r="A101" s="203"/>
      <c r="B101" s="162"/>
      <c r="C101" s="163" t="s">
        <v>18</v>
      </c>
      <c r="D101" s="165">
        <f>+D99*D100</f>
        <v>53.9388785046729</v>
      </c>
      <c r="E101" s="165">
        <f t="shared" ref="E101:AH101" si="78">+E99*E100</f>
        <v>77.393084112149523</v>
      </c>
      <c r="F101" s="165">
        <f t="shared" si="78"/>
        <v>72.785327102803734</v>
      </c>
      <c r="G101" s="165">
        <f t="shared" si="78"/>
        <v>82.474485981308405</v>
      </c>
      <c r="H101" s="165">
        <f t="shared" si="78"/>
        <v>83.371495327102807</v>
      </c>
      <c r="I101" s="165">
        <f t="shared" si="78"/>
        <v>110.45009345794392</v>
      </c>
      <c r="J101" s="165">
        <f t="shared" si="78"/>
        <v>110.37401869158879</v>
      </c>
      <c r="K101" s="165">
        <f t="shared" si="78"/>
        <v>55.244205607476637</v>
      </c>
      <c r="L101" s="165">
        <f t="shared" si="78"/>
        <v>79.594953271028032</v>
      </c>
      <c r="M101" s="165">
        <f t="shared" si="78"/>
        <v>88.429906542056074</v>
      </c>
      <c r="N101" s="165">
        <f t="shared" si="78"/>
        <v>82.922523364485983</v>
      </c>
      <c r="O101" s="165">
        <f t="shared" si="78"/>
        <v>97.066635514018685</v>
      </c>
      <c r="P101" s="165">
        <f t="shared" si="78"/>
        <v>115.4092523364486</v>
      </c>
      <c r="Q101" s="165">
        <f t="shared" si="78"/>
        <v>142.13672897196261</v>
      </c>
      <c r="R101" s="165">
        <f t="shared" si="78"/>
        <v>71.82084112149532</v>
      </c>
      <c r="S101" s="165">
        <f t="shared" si="78"/>
        <v>72.994112149532711</v>
      </c>
      <c r="T101" s="165">
        <f t="shared" si="78"/>
        <v>72.598411214953259</v>
      </c>
      <c r="U101" s="165">
        <f t="shared" si="78"/>
        <v>69.264392523364478</v>
      </c>
      <c r="V101" s="165">
        <f t="shared" si="78"/>
        <v>83.637663551401857</v>
      </c>
      <c r="W101" s="165">
        <f t="shared" si="78"/>
        <v>153.81551401869157</v>
      </c>
      <c r="X101" s="165">
        <f t="shared" si="78"/>
        <v>151.7229906542056</v>
      </c>
      <c r="Y101" s="165">
        <f t="shared" si="78"/>
        <v>70.69056074766354</v>
      </c>
      <c r="Z101" s="165">
        <f t="shared" si="78"/>
        <v>86.95345794392523</v>
      </c>
      <c r="AA101" s="165">
        <f t="shared" si="78"/>
        <v>74.117196261682238</v>
      </c>
      <c r="AB101" s="165">
        <f t="shared" si="78"/>
        <v>63.962990654205598</v>
      </c>
      <c r="AC101" s="165">
        <f t="shared" si="78"/>
        <v>59.159252336448603</v>
      </c>
      <c r="AD101" s="165">
        <f t="shared" si="78"/>
        <v>124.51504672897195</v>
      </c>
      <c r="AE101" s="165">
        <f t="shared" si="78"/>
        <v>149.25448598130839</v>
      </c>
      <c r="AF101" s="165">
        <f t="shared" si="78"/>
        <v>75.325607476635511</v>
      </c>
      <c r="AG101" s="165">
        <f t="shared" si="78"/>
        <v>49.097663551401865</v>
      </c>
      <c r="AH101" s="165">
        <f t="shared" si="78"/>
        <v>65.22121495327103</v>
      </c>
      <c r="AI101" s="292">
        <f>+AI100*AI99</f>
        <v>88.572499246306904</v>
      </c>
      <c r="AJ101" s="293">
        <f>+AJ99*AJ100</f>
        <v>88.572499246306904</v>
      </c>
    </row>
    <row r="102" spans="1:36" ht="15" thickBot="1" x14ac:dyDescent="0.35">
      <c r="A102" s="203"/>
      <c r="B102" s="162"/>
      <c r="C102" s="163" t="s">
        <v>19</v>
      </c>
      <c r="D102" s="166">
        <v>5771.46</v>
      </c>
      <c r="E102" s="166">
        <v>8281.06</v>
      </c>
      <c r="F102" s="166">
        <v>7788.03</v>
      </c>
      <c r="G102" s="166">
        <v>8824.77</v>
      </c>
      <c r="H102" s="166">
        <v>8920.75</v>
      </c>
      <c r="I102" s="166">
        <v>11818.16</v>
      </c>
      <c r="J102" s="166">
        <v>11810.02</v>
      </c>
      <c r="K102" s="166">
        <v>5911.13</v>
      </c>
      <c r="L102" s="166">
        <v>8516.66</v>
      </c>
      <c r="M102" s="166">
        <v>9461.9599999999991</v>
      </c>
      <c r="N102" s="166">
        <v>8873.0499999999993</v>
      </c>
      <c r="O102" s="166">
        <v>10386.31</v>
      </c>
      <c r="P102" s="166">
        <v>12348.79</v>
      </c>
      <c r="Q102" s="166">
        <v>15208.63</v>
      </c>
      <c r="R102" s="166">
        <v>7684.83</v>
      </c>
      <c r="S102" s="166">
        <v>7810.37</v>
      </c>
      <c r="T102" s="166">
        <v>7768.03</v>
      </c>
      <c r="U102" s="166">
        <v>7411.29</v>
      </c>
      <c r="V102" s="166">
        <v>8949.23</v>
      </c>
      <c r="W102" s="166">
        <v>16458.259999999998</v>
      </c>
      <c r="X102" s="166">
        <v>16234.36</v>
      </c>
      <c r="Y102" s="166">
        <v>7563.89</v>
      </c>
      <c r="Z102" s="166">
        <v>9304.02</v>
      </c>
      <c r="AA102" s="166">
        <v>7930.54</v>
      </c>
      <c r="AB102" s="166">
        <v>6844.04</v>
      </c>
      <c r="AC102" s="166">
        <v>6330.04</v>
      </c>
      <c r="AD102" s="166">
        <v>13323.11</v>
      </c>
      <c r="AE102" s="166">
        <v>15970.23</v>
      </c>
      <c r="AF102" s="166">
        <v>8059.84</v>
      </c>
      <c r="AG102" s="166">
        <v>5253.45</v>
      </c>
      <c r="AH102" s="166">
        <v>6978.67</v>
      </c>
      <c r="AI102" s="294">
        <f>SUM(D102:AH102)</f>
        <v>293794.98000000004</v>
      </c>
      <c r="AJ102" s="295">
        <f>+AI102/$A$1*$AK$1</f>
        <v>293794.98000000004</v>
      </c>
    </row>
    <row r="103" spans="1:36" x14ac:dyDescent="0.3">
      <c r="A103" s="203">
        <v>125</v>
      </c>
      <c r="B103" s="201" t="s">
        <v>44</v>
      </c>
      <c r="C103" s="104" t="s">
        <v>15</v>
      </c>
      <c r="D103" s="59">
        <v>56</v>
      </c>
      <c r="E103" s="59">
        <v>63</v>
      </c>
      <c r="F103" s="59">
        <v>67</v>
      </c>
      <c r="G103" s="59">
        <v>63</v>
      </c>
      <c r="H103" s="59">
        <v>54</v>
      </c>
      <c r="I103" s="59">
        <v>71</v>
      </c>
      <c r="J103" s="59">
        <v>84</v>
      </c>
      <c r="K103" s="59">
        <v>52</v>
      </c>
      <c r="L103" s="59">
        <v>93</v>
      </c>
      <c r="M103" s="59">
        <v>95</v>
      </c>
      <c r="N103" s="59">
        <v>89</v>
      </c>
      <c r="O103" s="59">
        <v>99</v>
      </c>
      <c r="P103" s="59">
        <v>103</v>
      </c>
      <c r="Q103" s="59">
        <v>122</v>
      </c>
      <c r="R103" s="59">
        <v>56</v>
      </c>
      <c r="S103" s="59">
        <v>70</v>
      </c>
      <c r="T103" s="59">
        <v>58</v>
      </c>
      <c r="U103" s="59">
        <v>76</v>
      </c>
      <c r="V103" s="59">
        <v>65</v>
      </c>
      <c r="W103" s="59">
        <v>122</v>
      </c>
      <c r="X103" s="59">
        <v>125</v>
      </c>
      <c r="Y103" s="59">
        <v>67</v>
      </c>
      <c r="Z103" s="59">
        <v>65</v>
      </c>
      <c r="AA103" s="59">
        <v>75</v>
      </c>
      <c r="AB103" s="59">
        <v>69</v>
      </c>
      <c r="AC103" s="59">
        <v>64</v>
      </c>
      <c r="AD103" s="59">
        <v>90</v>
      </c>
      <c r="AE103" s="59">
        <v>120</v>
      </c>
      <c r="AF103" s="59">
        <v>61</v>
      </c>
      <c r="AG103" s="59">
        <v>32</v>
      </c>
      <c r="AH103" s="59">
        <v>41</v>
      </c>
      <c r="AI103" s="315">
        <f>SUM(D103:AH103)</f>
        <v>2367</v>
      </c>
      <c r="AJ103" s="280">
        <f>+$AI103/$A$1*$AK$1</f>
        <v>2367</v>
      </c>
    </row>
    <row r="104" spans="1:36" x14ac:dyDescent="0.3">
      <c r="A104" s="203"/>
      <c r="B104" s="33"/>
      <c r="C104" s="34" t="s">
        <v>16</v>
      </c>
      <c r="D104" s="35">
        <f t="shared" ref="D104:AH104" si="79">+D103/$A103</f>
        <v>0.44800000000000001</v>
      </c>
      <c r="E104" s="35">
        <f t="shared" si="79"/>
        <v>0.504</v>
      </c>
      <c r="F104" s="35">
        <f t="shared" si="79"/>
        <v>0.53600000000000003</v>
      </c>
      <c r="G104" s="35">
        <f t="shared" si="79"/>
        <v>0.504</v>
      </c>
      <c r="H104" s="35">
        <f t="shared" si="79"/>
        <v>0.432</v>
      </c>
      <c r="I104" s="35">
        <f t="shared" si="79"/>
        <v>0.56799999999999995</v>
      </c>
      <c r="J104" s="35">
        <f t="shared" si="79"/>
        <v>0.67200000000000004</v>
      </c>
      <c r="K104" s="35">
        <f t="shared" si="79"/>
        <v>0.41599999999999998</v>
      </c>
      <c r="L104" s="35">
        <f t="shared" si="79"/>
        <v>0.74399999999999999</v>
      </c>
      <c r="M104" s="35">
        <f t="shared" si="79"/>
        <v>0.76</v>
      </c>
      <c r="N104" s="35">
        <f t="shared" si="79"/>
        <v>0.71199999999999997</v>
      </c>
      <c r="O104" s="35">
        <f t="shared" si="79"/>
        <v>0.79200000000000004</v>
      </c>
      <c r="P104" s="35">
        <f t="shared" si="79"/>
        <v>0.82399999999999995</v>
      </c>
      <c r="Q104" s="35">
        <f t="shared" si="79"/>
        <v>0.97599999999999998</v>
      </c>
      <c r="R104" s="35">
        <f t="shared" si="79"/>
        <v>0.44800000000000001</v>
      </c>
      <c r="S104" s="35">
        <f t="shared" si="79"/>
        <v>0.56000000000000005</v>
      </c>
      <c r="T104" s="35">
        <f t="shared" si="79"/>
        <v>0.46400000000000002</v>
      </c>
      <c r="U104" s="35">
        <f t="shared" si="79"/>
        <v>0.60799999999999998</v>
      </c>
      <c r="V104" s="35">
        <f t="shared" si="79"/>
        <v>0.52</v>
      </c>
      <c r="W104" s="35">
        <f t="shared" si="79"/>
        <v>0.97599999999999998</v>
      </c>
      <c r="X104" s="35">
        <f t="shared" si="79"/>
        <v>1</v>
      </c>
      <c r="Y104" s="35">
        <f t="shared" si="79"/>
        <v>0.53600000000000003</v>
      </c>
      <c r="Z104" s="35">
        <f t="shared" si="79"/>
        <v>0.52</v>
      </c>
      <c r="AA104" s="35">
        <f t="shared" si="79"/>
        <v>0.6</v>
      </c>
      <c r="AB104" s="35">
        <f t="shared" si="79"/>
        <v>0.55200000000000005</v>
      </c>
      <c r="AC104" s="35">
        <f t="shared" si="79"/>
        <v>0.51200000000000001</v>
      </c>
      <c r="AD104" s="35">
        <f t="shared" si="79"/>
        <v>0.72</v>
      </c>
      <c r="AE104" s="35">
        <f t="shared" si="79"/>
        <v>0.96</v>
      </c>
      <c r="AF104" s="35">
        <f t="shared" si="79"/>
        <v>0.48799999999999999</v>
      </c>
      <c r="AG104" s="35">
        <f t="shared" si="79"/>
        <v>0.25600000000000001</v>
      </c>
      <c r="AH104" s="35">
        <f t="shared" si="79"/>
        <v>0.32800000000000001</v>
      </c>
      <c r="AI104" s="281">
        <f>+AI103/(A103*A$1)</f>
        <v>0.61083870967741938</v>
      </c>
      <c r="AJ104" s="282">
        <f>AJ103/($A103*AK1)</f>
        <v>0.61083870967741938</v>
      </c>
    </row>
    <row r="105" spans="1:36" x14ac:dyDescent="0.3">
      <c r="A105" s="203"/>
      <c r="B105" s="33"/>
      <c r="C105" s="34" t="s">
        <v>17</v>
      </c>
      <c r="D105" s="37">
        <f>+IFERROR(D107/D103,0)</f>
        <v>104.44517857142857</v>
      </c>
      <c r="E105" s="37">
        <f t="shared" ref="E105:AH105" si="80">+IFERROR(E107/E103,0)</f>
        <v>105.44825396825397</v>
      </c>
      <c r="F105" s="37">
        <f t="shared" si="80"/>
        <v>113.94686567164179</v>
      </c>
      <c r="G105" s="37">
        <f t="shared" si="80"/>
        <v>110.84603174603176</v>
      </c>
      <c r="H105" s="37">
        <f t="shared" si="80"/>
        <v>112.91185185185185</v>
      </c>
      <c r="I105" s="37">
        <f t="shared" si="80"/>
        <v>117.42056338028169</v>
      </c>
      <c r="J105" s="37">
        <f t="shared" si="80"/>
        <v>115.66333333333333</v>
      </c>
      <c r="K105" s="37">
        <f t="shared" si="80"/>
        <v>95.942115384615377</v>
      </c>
      <c r="L105" s="37">
        <v>112.22</v>
      </c>
      <c r="M105" s="37">
        <f t="shared" si="80"/>
        <v>125.54168421052631</v>
      </c>
      <c r="N105" s="37">
        <f t="shared" si="80"/>
        <v>126.12224719101123</v>
      </c>
      <c r="O105" s="37">
        <f t="shared" si="80"/>
        <v>125.10838383838383</v>
      </c>
      <c r="P105" s="37">
        <f t="shared" si="80"/>
        <v>126.59271844660194</v>
      </c>
      <c r="Q105" s="37">
        <f t="shared" si="80"/>
        <v>125.49426229508197</v>
      </c>
      <c r="R105" s="37">
        <f t="shared" si="80"/>
        <v>93.806428571428569</v>
      </c>
      <c r="S105" s="37">
        <f t="shared" si="80"/>
        <v>107.57928571428572</v>
      </c>
      <c r="T105" s="37">
        <f t="shared" si="80"/>
        <v>101.37068965517241</v>
      </c>
      <c r="U105" s="37">
        <f t="shared" si="80"/>
        <v>106.30473684210526</v>
      </c>
      <c r="V105" s="37">
        <f t="shared" si="80"/>
        <v>104.85646153846155</v>
      </c>
      <c r="W105" s="37">
        <f t="shared" si="80"/>
        <v>115.87090163934427</v>
      </c>
      <c r="X105" s="37">
        <f t="shared" si="80"/>
        <v>131.15679999999998</v>
      </c>
      <c r="Y105" s="37">
        <f t="shared" si="80"/>
        <v>100.41970149253731</v>
      </c>
      <c r="Z105" s="37">
        <f t="shared" si="80"/>
        <v>106.50923076923077</v>
      </c>
      <c r="AA105" s="37">
        <f t="shared" si="80"/>
        <v>112.85186666666665</v>
      </c>
      <c r="AB105" s="37">
        <f t="shared" si="80"/>
        <v>108.24956521739131</v>
      </c>
      <c r="AC105" s="37">
        <f t="shared" si="80"/>
        <v>108.333125</v>
      </c>
      <c r="AD105" s="37">
        <f t="shared" si="80"/>
        <v>136.29</v>
      </c>
      <c r="AE105" s="37">
        <f t="shared" si="80"/>
        <v>144.07274999999998</v>
      </c>
      <c r="AF105" s="37">
        <f t="shared" si="80"/>
        <v>104.83065573770492</v>
      </c>
      <c r="AG105" s="37">
        <f t="shared" si="80"/>
        <v>98.34375</v>
      </c>
      <c r="AH105" s="37">
        <f t="shared" si="80"/>
        <v>102.70439024390244</v>
      </c>
      <c r="AI105" s="283">
        <f>+AI107/AI103</f>
        <v>115.96359104351502</v>
      </c>
      <c r="AJ105" s="279">
        <f>+AJ107/AJ103</f>
        <v>115.96359104351502</v>
      </c>
    </row>
    <row r="106" spans="1:36" x14ac:dyDescent="0.3">
      <c r="A106" s="203"/>
      <c r="B106" s="33"/>
      <c r="C106" s="34" t="s">
        <v>18</v>
      </c>
      <c r="D106" s="37">
        <f t="shared" ref="D106:AH106" si="81">+D104*D105</f>
        <v>46.791440000000001</v>
      </c>
      <c r="E106" s="37">
        <f t="shared" si="81"/>
        <v>53.145919999999997</v>
      </c>
      <c r="F106" s="37">
        <f t="shared" si="81"/>
        <v>61.075520000000004</v>
      </c>
      <c r="G106" s="37">
        <f t="shared" si="81"/>
        <v>55.866400000000006</v>
      </c>
      <c r="H106" s="37">
        <f t="shared" si="81"/>
        <v>48.777920000000002</v>
      </c>
      <c r="I106" s="37">
        <f t="shared" si="81"/>
        <v>66.694879999999998</v>
      </c>
      <c r="J106" s="37">
        <f t="shared" si="81"/>
        <v>77.725759999999994</v>
      </c>
      <c r="K106" s="37">
        <f t="shared" si="81"/>
        <v>39.911919999999995</v>
      </c>
      <c r="L106" s="37">
        <f t="shared" si="81"/>
        <v>83.491680000000002</v>
      </c>
      <c r="M106" s="37">
        <f t="shared" si="81"/>
        <v>95.411680000000004</v>
      </c>
      <c r="N106" s="37">
        <f t="shared" si="81"/>
        <v>89.799039999999991</v>
      </c>
      <c r="O106" s="37">
        <f t="shared" si="81"/>
        <v>99.085840000000005</v>
      </c>
      <c r="P106" s="37">
        <f t="shared" si="81"/>
        <v>104.31239999999998</v>
      </c>
      <c r="Q106" s="37">
        <f t="shared" si="81"/>
        <v>122.4824</v>
      </c>
      <c r="R106" s="37">
        <f t="shared" si="81"/>
        <v>42.025280000000002</v>
      </c>
      <c r="S106" s="37">
        <f t="shared" si="81"/>
        <v>60.244400000000006</v>
      </c>
      <c r="T106" s="37">
        <f t="shared" si="81"/>
        <v>47.036000000000001</v>
      </c>
      <c r="U106" s="37">
        <f t="shared" si="81"/>
        <v>64.633279999999999</v>
      </c>
      <c r="V106" s="37">
        <f t="shared" si="81"/>
        <v>54.525360000000006</v>
      </c>
      <c r="W106" s="37">
        <f t="shared" si="81"/>
        <v>113.09</v>
      </c>
      <c r="X106" s="37">
        <f t="shared" si="81"/>
        <v>131.15679999999998</v>
      </c>
      <c r="Y106" s="37">
        <f t="shared" si="81"/>
        <v>53.824960000000004</v>
      </c>
      <c r="Z106" s="37">
        <f t="shared" si="81"/>
        <v>55.384799999999998</v>
      </c>
      <c r="AA106" s="37">
        <f t="shared" si="81"/>
        <v>67.711119999999994</v>
      </c>
      <c r="AB106" s="37">
        <f t="shared" si="81"/>
        <v>59.753760000000007</v>
      </c>
      <c r="AC106" s="37">
        <f t="shared" si="81"/>
        <v>55.466560000000001</v>
      </c>
      <c r="AD106" s="37">
        <f t="shared" si="81"/>
        <v>98.128799999999984</v>
      </c>
      <c r="AE106" s="37">
        <f t="shared" si="81"/>
        <v>138.30983999999998</v>
      </c>
      <c r="AF106" s="37">
        <f t="shared" si="81"/>
        <v>51.157359999999997</v>
      </c>
      <c r="AG106" s="37">
        <f t="shared" si="81"/>
        <v>25.176000000000002</v>
      </c>
      <c r="AH106" s="37">
        <f t="shared" si="81"/>
        <v>33.687040000000003</v>
      </c>
      <c r="AI106" s="283">
        <f>+AI105*AI104</f>
        <v>70.83505032258067</v>
      </c>
      <c r="AJ106" s="279">
        <f>+AJ104*AJ105</f>
        <v>70.83505032258067</v>
      </c>
    </row>
    <row r="107" spans="1:36" ht="15" thickBot="1" x14ac:dyDescent="0.35">
      <c r="A107" s="203"/>
      <c r="B107" s="33"/>
      <c r="C107" s="34" t="s">
        <v>19</v>
      </c>
      <c r="D107" s="158">
        <v>5848.93</v>
      </c>
      <c r="E107" s="158">
        <v>6643.24</v>
      </c>
      <c r="F107" s="158">
        <v>7634.44</v>
      </c>
      <c r="G107" s="158">
        <v>6983.3</v>
      </c>
      <c r="H107" s="158">
        <v>6097.24</v>
      </c>
      <c r="I107" s="158">
        <v>8336.86</v>
      </c>
      <c r="J107" s="158">
        <v>9715.7199999999993</v>
      </c>
      <c r="K107" s="158">
        <v>4988.99</v>
      </c>
      <c r="L107" s="158">
        <v>10436.76</v>
      </c>
      <c r="M107" s="158">
        <v>11926.46</v>
      </c>
      <c r="N107" s="158">
        <v>11224.88</v>
      </c>
      <c r="O107" s="158">
        <v>12385.73</v>
      </c>
      <c r="P107" s="158">
        <v>13039.05</v>
      </c>
      <c r="Q107" s="158">
        <v>15310.3</v>
      </c>
      <c r="R107" s="158">
        <v>5253.16</v>
      </c>
      <c r="S107" s="158">
        <v>7530.55</v>
      </c>
      <c r="T107" s="158">
        <v>5879.5</v>
      </c>
      <c r="U107" s="158">
        <v>8079.16</v>
      </c>
      <c r="V107" s="158">
        <v>6815.67</v>
      </c>
      <c r="W107" s="158">
        <v>14136.25</v>
      </c>
      <c r="X107" s="158">
        <v>16394.599999999999</v>
      </c>
      <c r="Y107" s="158">
        <v>6728.12</v>
      </c>
      <c r="Z107" s="158">
        <v>6923.1</v>
      </c>
      <c r="AA107" s="158">
        <v>8463.89</v>
      </c>
      <c r="AB107" s="158">
        <v>7469.22</v>
      </c>
      <c r="AC107" s="158">
        <v>6933.32</v>
      </c>
      <c r="AD107" s="158">
        <v>12266.1</v>
      </c>
      <c r="AE107" s="158">
        <v>17288.73</v>
      </c>
      <c r="AF107" s="158">
        <v>6394.67</v>
      </c>
      <c r="AG107" s="158">
        <v>3147</v>
      </c>
      <c r="AH107" s="158">
        <v>4210.88</v>
      </c>
      <c r="AI107" s="284">
        <f>SUM(D107:AH107)</f>
        <v>274485.82000000007</v>
      </c>
      <c r="AJ107" s="285">
        <f>+AI107/$A$1*$AK$1</f>
        <v>274485.82000000007</v>
      </c>
    </row>
    <row r="108" spans="1:36" x14ac:dyDescent="0.3">
      <c r="A108" s="203">
        <v>141</v>
      </c>
      <c r="B108" s="233" t="s">
        <v>45</v>
      </c>
      <c r="C108" s="160" t="s">
        <v>15</v>
      </c>
      <c r="D108" s="228">
        <v>53</v>
      </c>
      <c r="E108" s="228">
        <v>78</v>
      </c>
      <c r="F108" s="228">
        <v>82</v>
      </c>
      <c r="G108" s="228">
        <v>97</v>
      </c>
      <c r="H108" s="228">
        <v>90</v>
      </c>
      <c r="I108" s="228">
        <v>85</v>
      </c>
      <c r="J108" s="228">
        <v>86</v>
      </c>
      <c r="K108" s="228">
        <v>54</v>
      </c>
      <c r="L108" s="228">
        <v>118</v>
      </c>
      <c r="M108" s="228">
        <v>135</v>
      </c>
      <c r="N108" s="228">
        <v>136</v>
      </c>
      <c r="O108" s="228">
        <v>91</v>
      </c>
      <c r="P108" s="228">
        <v>108</v>
      </c>
      <c r="Q108" s="228">
        <v>130</v>
      </c>
      <c r="R108" s="228">
        <v>63</v>
      </c>
      <c r="S108" s="228">
        <v>88</v>
      </c>
      <c r="T108" s="228">
        <v>105</v>
      </c>
      <c r="U108" s="228">
        <v>102</v>
      </c>
      <c r="V108" s="228">
        <v>83</v>
      </c>
      <c r="W108" s="228">
        <v>129</v>
      </c>
      <c r="X108" s="228">
        <v>139</v>
      </c>
      <c r="Y108" s="228">
        <v>80</v>
      </c>
      <c r="Z108" s="228">
        <v>114</v>
      </c>
      <c r="AA108" s="228">
        <v>134</v>
      </c>
      <c r="AB108" s="228">
        <v>131</v>
      </c>
      <c r="AC108" s="228">
        <v>111</v>
      </c>
      <c r="AD108" s="228">
        <v>122</v>
      </c>
      <c r="AE108" s="228">
        <v>140</v>
      </c>
      <c r="AF108" s="228">
        <v>118</v>
      </c>
      <c r="AG108" s="228">
        <v>77</v>
      </c>
      <c r="AH108" s="228">
        <v>73</v>
      </c>
      <c r="AI108" s="288">
        <f>SUM(D108:AH108)</f>
        <v>3152</v>
      </c>
      <c r="AJ108" s="289">
        <f>+$AI108/$A$1*$AK$1</f>
        <v>3152</v>
      </c>
    </row>
    <row r="109" spans="1:36" x14ac:dyDescent="0.3">
      <c r="A109" s="237"/>
      <c r="B109" s="167"/>
      <c r="C109" s="163" t="s">
        <v>16</v>
      </c>
      <c r="D109" s="164">
        <f>D108/$A$108</f>
        <v>0.37588652482269502</v>
      </c>
      <c r="E109" s="164">
        <f t="shared" ref="E109:AH109" si="82">E108/$A$108</f>
        <v>0.55319148936170215</v>
      </c>
      <c r="F109" s="164">
        <f t="shared" si="82"/>
        <v>0.58156028368794321</v>
      </c>
      <c r="G109" s="164">
        <f t="shared" si="82"/>
        <v>0.68794326241134751</v>
      </c>
      <c r="H109" s="164">
        <f t="shared" si="82"/>
        <v>0.63829787234042556</v>
      </c>
      <c r="I109" s="164">
        <f t="shared" si="82"/>
        <v>0.6028368794326241</v>
      </c>
      <c r="J109" s="164">
        <f t="shared" si="82"/>
        <v>0.60992907801418439</v>
      </c>
      <c r="K109" s="164">
        <f t="shared" si="82"/>
        <v>0.38297872340425532</v>
      </c>
      <c r="L109" s="164">
        <f t="shared" si="82"/>
        <v>0.83687943262411346</v>
      </c>
      <c r="M109" s="164">
        <f t="shared" si="82"/>
        <v>0.95744680851063835</v>
      </c>
      <c r="N109" s="164">
        <f t="shared" si="82"/>
        <v>0.96453900709219853</v>
      </c>
      <c r="O109" s="164">
        <f t="shared" si="82"/>
        <v>0.64539007092198586</v>
      </c>
      <c r="P109" s="164">
        <f t="shared" si="82"/>
        <v>0.76595744680851063</v>
      </c>
      <c r="Q109" s="164">
        <f t="shared" si="82"/>
        <v>0.92198581560283688</v>
      </c>
      <c r="R109" s="164">
        <f t="shared" si="82"/>
        <v>0.44680851063829785</v>
      </c>
      <c r="S109" s="164">
        <f t="shared" si="82"/>
        <v>0.62411347517730498</v>
      </c>
      <c r="T109" s="164">
        <f t="shared" si="82"/>
        <v>0.74468085106382975</v>
      </c>
      <c r="U109" s="164">
        <f t="shared" si="82"/>
        <v>0.72340425531914898</v>
      </c>
      <c r="V109" s="164">
        <f t="shared" si="82"/>
        <v>0.58865248226950351</v>
      </c>
      <c r="W109" s="164">
        <f t="shared" si="82"/>
        <v>0.91489361702127658</v>
      </c>
      <c r="X109" s="164">
        <f t="shared" si="82"/>
        <v>0.98581560283687941</v>
      </c>
      <c r="Y109" s="164">
        <f t="shared" si="82"/>
        <v>0.56737588652482274</v>
      </c>
      <c r="Z109" s="164">
        <f t="shared" si="82"/>
        <v>0.80851063829787229</v>
      </c>
      <c r="AA109" s="164">
        <f t="shared" si="82"/>
        <v>0.95035460992907805</v>
      </c>
      <c r="AB109" s="164">
        <f t="shared" si="82"/>
        <v>0.92907801418439717</v>
      </c>
      <c r="AC109" s="164">
        <f t="shared" si="82"/>
        <v>0.78723404255319152</v>
      </c>
      <c r="AD109" s="164">
        <f t="shared" si="82"/>
        <v>0.86524822695035464</v>
      </c>
      <c r="AE109" s="164">
        <f t="shared" si="82"/>
        <v>0.99290780141843971</v>
      </c>
      <c r="AF109" s="164">
        <f t="shared" si="82"/>
        <v>0.83687943262411346</v>
      </c>
      <c r="AG109" s="164">
        <f t="shared" si="82"/>
        <v>0.54609929078014185</v>
      </c>
      <c r="AH109" s="164">
        <f t="shared" si="82"/>
        <v>0.51773049645390068</v>
      </c>
      <c r="AI109" s="290">
        <f>+AI108/(A108*A$1)</f>
        <v>0.72111644932509722</v>
      </c>
      <c r="AJ109" s="291">
        <f>AJ108/($A108*AK1)</f>
        <v>0.72111644932509722</v>
      </c>
    </row>
    <row r="110" spans="1:36" x14ac:dyDescent="0.3">
      <c r="A110" s="237"/>
      <c r="B110" s="167"/>
      <c r="C110" s="163" t="s">
        <v>17</v>
      </c>
      <c r="D110" s="165">
        <f>+IFERROR(D112/D108,0)</f>
        <v>130.43075471698114</v>
      </c>
      <c r="E110" s="165">
        <f t="shared" ref="E110:AH110" si="83">+IFERROR(E112/E108,0)</f>
        <v>130.34076923076924</v>
      </c>
      <c r="F110" s="165">
        <f t="shared" si="83"/>
        <v>126.87036585365854</v>
      </c>
      <c r="G110" s="165">
        <f t="shared" si="83"/>
        <v>128.18845360824744</v>
      </c>
      <c r="H110" s="165">
        <f t="shared" si="83"/>
        <v>124.37622222222222</v>
      </c>
      <c r="I110" s="165">
        <f t="shared" si="83"/>
        <v>121.66376470588236</v>
      </c>
      <c r="J110" s="165">
        <f t="shared" si="83"/>
        <v>127.28941860465116</v>
      </c>
      <c r="K110" s="165">
        <f t="shared" si="83"/>
        <v>117.92351851851852</v>
      </c>
      <c r="L110" s="165">
        <f t="shared" si="83"/>
        <v>124.70957627118644</v>
      </c>
      <c r="M110" s="165">
        <f t="shared" si="83"/>
        <v>132.63725925925925</v>
      </c>
      <c r="N110" s="165">
        <f t="shared" si="83"/>
        <v>134.82750000000001</v>
      </c>
      <c r="O110" s="165">
        <f t="shared" si="83"/>
        <v>123.74703296703296</v>
      </c>
      <c r="P110" s="165">
        <f t="shared" si="83"/>
        <v>118.42444444444445</v>
      </c>
      <c r="Q110" s="165">
        <f t="shared" si="83"/>
        <v>126.28669230769231</v>
      </c>
      <c r="R110" s="165">
        <f t="shared" si="83"/>
        <v>123.96825396825396</v>
      </c>
      <c r="S110" s="165">
        <f t="shared" si="83"/>
        <v>132.26477272727271</v>
      </c>
      <c r="T110" s="165">
        <f t="shared" si="83"/>
        <v>132.07066666666665</v>
      </c>
      <c r="U110" s="165">
        <f t="shared" si="83"/>
        <v>134.76039215686274</v>
      </c>
      <c r="V110" s="165">
        <f t="shared" si="83"/>
        <v>132.09662650602411</v>
      </c>
      <c r="W110" s="165">
        <f t="shared" si="83"/>
        <v>134.95868217054263</v>
      </c>
      <c r="X110" s="165">
        <f t="shared" si="83"/>
        <v>141.18309352517986</v>
      </c>
      <c r="Y110" s="165">
        <f>+IFERROR(Y112/Y108,0)</f>
        <v>125.95362500000002</v>
      </c>
      <c r="Z110" s="165">
        <f t="shared" si="83"/>
        <v>131.37912280701755</v>
      </c>
      <c r="AA110" s="165">
        <f t="shared" si="83"/>
        <v>136.71940298507465</v>
      </c>
      <c r="AB110" s="165">
        <f t="shared" si="83"/>
        <v>136.95664122137404</v>
      </c>
      <c r="AC110" s="165">
        <f t="shared" si="83"/>
        <v>125.1773873873874</v>
      </c>
      <c r="AD110" s="165">
        <f t="shared" si="83"/>
        <v>122.76762295081967</v>
      </c>
      <c r="AE110" s="165">
        <f t="shared" si="83"/>
        <v>145.80249999999998</v>
      </c>
      <c r="AF110" s="165">
        <f t="shared" si="83"/>
        <v>119.61033898305085</v>
      </c>
      <c r="AG110" s="165">
        <f t="shared" si="83"/>
        <v>109.94012987012987</v>
      </c>
      <c r="AH110" s="165">
        <f t="shared" si="83"/>
        <v>138.97082191780822</v>
      </c>
      <c r="AI110" s="292">
        <f>+AI112/AI108</f>
        <v>129.62503489847714</v>
      </c>
      <c r="AJ110" s="293">
        <f>+AJ112/AJ108</f>
        <v>129.62503489847714</v>
      </c>
    </row>
    <row r="111" spans="1:36" x14ac:dyDescent="0.3">
      <c r="A111" s="237"/>
      <c r="B111" s="167"/>
      <c r="C111" s="163" t="s">
        <v>18</v>
      </c>
      <c r="D111" s="165">
        <f>+D109*D110</f>
        <v>49.02716312056738</v>
      </c>
      <c r="E111" s="165">
        <f t="shared" ref="E111:AH111" si="84">+E109*E110</f>
        <v>72.103404255319163</v>
      </c>
      <c r="F111" s="165">
        <f t="shared" si="84"/>
        <v>73.782765957446799</v>
      </c>
      <c r="G111" s="165">
        <f t="shared" si="84"/>
        <v>88.186382978723415</v>
      </c>
      <c r="H111" s="165">
        <f t="shared" si="84"/>
        <v>79.389078014184406</v>
      </c>
      <c r="I111" s="165">
        <f t="shared" si="84"/>
        <v>73.343404255319143</v>
      </c>
      <c r="J111" s="165">
        <f t="shared" si="84"/>
        <v>77.637517730496455</v>
      </c>
      <c r="K111" s="165">
        <f t="shared" si="84"/>
        <v>45.162198581560283</v>
      </c>
      <c r="L111" s="165">
        <f t="shared" si="84"/>
        <v>104.3668794326241</v>
      </c>
      <c r="M111" s="165">
        <f t="shared" si="84"/>
        <v>126.99312056737588</v>
      </c>
      <c r="N111" s="165">
        <f t="shared" si="84"/>
        <v>130.04638297872341</v>
      </c>
      <c r="O111" s="165">
        <f t="shared" si="84"/>
        <v>79.865106382978723</v>
      </c>
      <c r="P111" s="165">
        <f t="shared" si="84"/>
        <v>90.708085106382981</v>
      </c>
      <c r="Q111" s="165">
        <f t="shared" si="84"/>
        <v>116.4345390070922</v>
      </c>
      <c r="R111" s="165">
        <f t="shared" si="84"/>
        <v>55.39007092198581</v>
      </c>
      <c r="S111" s="165">
        <f t="shared" si="84"/>
        <v>82.548226950354604</v>
      </c>
      <c r="T111" s="165">
        <f t="shared" si="84"/>
        <v>98.350496453900689</v>
      </c>
      <c r="U111" s="165">
        <f t="shared" si="84"/>
        <v>97.486241134751779</v>
      </c>
      <c r="V111" s="165">
        <f t="shared" si="84"/>
        <v>77.759007092198587</v>
      </c>
      <c r="W111" s="165">
        <f t="shared" si="84"/>
        <v>123.47283687943262</v>
      </c>
      <c r="X111" s="165">
        <f t="shared" si="84"/>
        <v>139.1804964539007</v>
      </c>
      <c r="Y111" s="165">
        <f t="shared" si="84"/>
        <v>71.463049645390086</v>
      </c>
      <c r="Z111" s="165">
        <f t="shared" si="84"/>
        <v>106.22141843971632</v>
      </c>
      <c r="AA111" s="165">
        <f t="shared" si="84"/>
        <v>129.93191489361706</v>
      </c>
      <c r="AB111" s="165">
        <f t="shared" si="84"/>
        <v>127.24340425531915</v>
      </c>
      <c r="AC111" s="165">
        <f t="shared" si="84"/>
        <v>98.543900709219869</v>
      </c>
      <c r="AD111" s="165">
        <f t="shared" si="84"/>
        <v>106.22446808510638</v>
      </c>
      <c r="AE111" s="165">
        <f t="shared" si="84"/>
        <v>144.76843971631203</v>
      </c>
      <c r="AF111" s="165">
        <f t="shared" si="84"/>
        <v>100.09943262411348</v>
      </c>
      <c r="AG111" s="165">
        <f t="shared" si="84"/>
        <v>60.038226950354606</v>
      </c>
      <c r="AH111" s="165">
        <f t="shared" si="84"/>
        <v>71.94943262411347</v>
      </c>
      <c r="AI111" s="292">
        <f>+AI110*AI109</f>
        <v>93.474744909631653</v>
      </c>
      <c r="AJ111" s="293">
        <f>+AJ109*AJ110</f>
        <v>93.474744909631653</v>
      </c>
    </row>
    <row r="112" spans="1:36" ht="15" thickBot="1" x14ac:dyDescent="0.35">
      <c r="A112" s="203"/>
      <c r="B112" s="162"/>
      <c r="C112" s="163" t="s">
        <v>19</v>
      </c>
      <c r="D112" s="166">
        <v>6912.83</v>
      </c>
      <c r="E112" s="166">
        <v>10166.58</v>
      </c>
      <c r="F112" s="166">
        <v>10403.370000000001</v>
      </c>
      <c r="G112" s="166">
        <f>12434.28</f>
        <v>12434.28</v>
      </c>
      <c r="H112" s="166">
        <v>11193.86</v>
      </c>
      <c r="I112" s="166">
        <v>10341.42</v>
      </c>
      <c r="J112" s="166">
        <v>10946.89</v>
      </c>
      <c r="K112" s="166">
        <v>6367.87</v>
      </c>
      <c r="L112" s="166">
        <v>14715.73</v>
      </c>
      <c r="M112" s="254">
        <v>17906.03</v>
      </c>
      <c r="N112" s="166">
        <v>18336.54</v>
      </c>
      <c r="O112" s="166">
        <v>11260.98</v>
      </c>
      <c r="P112" s="166">
        <v>12789.84</v>
      </c>
      <c r="Q112" s="166">
        <v>16417.27</v>
      </c>
      <c r="R112" s="166">
        <v>7810</v>
      </c>
      <c r="S112" s="166">
        <v>11639.3</v>
      </c>
      <c r="T112" s="166">
        <v>13867.42</v>
      </c>
      <c r="U112" s="166">
        <v>13745.56</v>
      </c>
      <c r="V112" s="166">
        <v>10964.02</v>
      </c>
      <c r="W112" s="166">
        <v>17409.669999999998</v>
      </c>
      <c r="X112" s="166">
        <v>19624.45</v>
      </c>
      <c r="Y112" s="166">
        <v>10076.290000000001</v>
      </c>
      <c r="Z112" s="166">
        <v>14977.22</v>
      </c>
      <c r="AA112" s="166">
        <v>18320.400000000001</v>
      </c>
      <c r="AB112" s="166">
        <v>17941.32</v>
      </c>
      <c r="AC112" s="166">
        <v>13894.69</v>
      </c>
      <c r="AD112" s="166">
        <v>14977.65</v>
      </c>
      <c r="AE112" s="166">
        <v>20412.349999999999</v>
      </c>
      <c r="AF112" s="166">
        <v>14114.02</v>
      </c>
      <c r="AG112" s="166">
        <v>8465.39</v>
      </c>
      <c r="AH112" s="166">
        <v>10144.870000000001</v>
      </c>
      <c r="AI112" s="294">
        <f>SUM(D112:AH112)</f>
        <v>408578.11</v>
      </c>
      <c r="AJ112" s="295">
        <f>+AI112/$A$1*$AK$1</f>
        <v>408578.11</v>
      </c>
    </row>
    <row r="113" spans="1:36" x14ac:dyDescent="0.3">
      <c r="A113" s="203">
        <v>98</v>
      </c>
      <c r="B113" s="201" t="s">
        <v>46</v>
      </c>
      <c r="C113" s="104" t="s">
        <v>15</v>
      </c>
      <c r="D113" s="59">
        <v>44</v>
      </c>
      <c r="E113" s="59">
        <v>48</v>
      </c>
      <c r="F113" s="59">
        <v>46</v>
      </c>
      <c r="G113" s="59">
        <v>46</v>
      </c>
      <c r="H113" s="59">
        <v>41</v>
      </c>
      <c r="I113" s="59">
        <v>44</v>
      </c>
      <c r="J113" s="59">
        <v>43</v>
      </c>
      <c r="K113" s="59">
        <v>55</v>
      </c>
      <c r="L113" s="59">
        <v>64</v>
      </c>
      <c r="M113" s="59">
        <v>69</v>
      </c>
      <c r="N113" s="59">
        <v>69</v>
      </c>
      <c r="O113" s="59">
        <v>58</v>
      </c>
      <c r="P113" s="59">
        <v>66</v>
      </c>
      <c r="Q113" s="59">
        <v>79</v>
      </c>
      <c r="R113" s="59">
        <v>42</v>
      </c>
      <c r="S113" s="59">
        <v>75</v>
      </c>
      <c r="T113" s="59">
        <v>70</v>
      </c>
      <c r="U113" s="59">
        <v>63</v>
      </c>
      <c r="V113" s="59">
        <v>85</v>
      </c>
      <c r="W113" s="59">
        <v>89</v>
      </c>
      <c r="X113" s="59">
        <v>93</v>
      </c>
      <c r="Y113" s="59">
        <v>66</v>
      </c>
      <c r="Z113" s="59">
        <v>79</v>
      </c>
      <c r="AA113" s="59">
        <v>81</v>
      </c>
      <c r="AB113" s="59">
        <v>53</v>
      </c>
      <c r="AC113" s="59">
        <v>56</v>
      </c>
      <c r="AD113" s="59">
        <v>74</v>
      </c>
      <c r="AE113" s="59">
        <v>88</v>
      </c>
      <c r="AF113" s="59">
        <v>85</v>
      </c>
      <c r="AG113" s="59">
        <v>37</v>
      </c>
      <c r="AH113" s="59">
        <v>50</v>
      </c>
      <c r="AI113" s="276">
        <f>SUM(D113:AH113)</f>
        <v>1958</v>
      </c>
      <c r="AJ113" s="285">
        <f>+$AI113/$A$1*$AK$1</f>
        <v>1958</v>
      </c>
    </row>
    <row r="114" spans="1:36" x14ac:dyDescent="0.3">
      <c r="A114" s="203"/>
      <c r="B114" s="33"/>
      <c r="C114" s="34" t="s">
        <v>16</v>
      </c>
      <c r="D114" s="35">
        <f t="shared" ref="D114:AH114" si="85">+D113/$A113</f>
        <v>0.44897959183673469</v>
      </c>
      <c r="E114" s="35">
        <f t="shared" si="85"/>
        <v>0.48979591836734693</v>
      </c>
      <c r="F114" s="35">
        <f t="shared" si="85"/>
        <v>0.46938775510204084</v>
      </c>
      <c r="G114" s="35">
        <f t="shared" si="85"/>
        <v>0.46938775510204084</v>
      </c>
      <c r="H114" s="35">
        <f t="shared" si="85"/>
        <v>0.41836734693877553</v>
      </c>
      <c r="I114" s="35">
        <f t="shared" si="85"/>
        <v>0.44897959183673469</v>
      </c>
      <c r="J114" s="35">
        <f t="shared" si="85"/>
        <v>0.43877551020408162</v>
      </c>
      <c r="K114" s="35">
        <f t="shared" si="85"/>
        <v>0.56122448979591832</v>
      </c>
      <c r="L114" s="35">
        <f t="shared" si="85"/>
        <v>0.65306122448979587</v>
      </c>
      <c r="M114" s="35">
        <f t="shared" si="85"/>
        <v>0.70408163265306123</v>
      </c>
      <c r="N114" s="35">
        <f t="shared" si="85"/>
        <v>0.70408163265306123</v>
      </c>
      <c r="O114" s="35">
        <f t="shared" si="85"/>
        <v>0.59183673469387754</v>
      </c>
      <c r="P114" s="35">
        <f t="shared" si="85"/>
        <v>0.67346938775510201</v>
      </c>
      <c r="Q114" s="35">
        <f t="shared" si="85"/>
        <v>0.80612244897959184</v>
      </c>
      <c r="R114" s="35">
        <f t="shared" si="85"/>
        <v>0.42857142857142855</v>
      </c>
      <c r="S114" s="35">
        <f t="shared" si="85"/>
        <v>0.76530612244897955</v>
      </c>
      <c r="T114" s="35">
        <f t="shared" si="85"/>
        <v>0.7142857142857143</v>
      </c>
      <c r="U114" s="35">
        <f t="shared" si="85"/>
        <v>0.6428571428571429</v>
      </c>
      <c r="V114" s="35">
        <f t="shared" si="85"/>
        <v>0.86734693877551017</v>
      </c>
      <c r="W114" s="35">
        <f t="shared" si="85"/>
        <v>0.90816326530612246</v>
      </c>
      <c r="X114" s="35">
        <f t="shared" si="85"/>
        <v>0.94897959183673475</v>
      </c>
      <c r="Y114" s="35">
        <f>+Y113/$A113</f>
        <v>0.67346938775510201</v>
      </c>
      <c r="Z114" s="35">
        <f t="shared" si="85"/>
        <v>0.80612244897959184</v>
      </c>
      <c r="AA114" s="35">
        <f t="shared" si="85"/>
        <v>0.82653061224489799</v>
      </c>
      <c r="AB114" s="35">
        <f t="shared" si="85"/>
        <v>0.54081632653061229</v>
      </c>
      <c r="AC114" s="35">
        <f t="shared" si="85"/>
        <v>0.5714285714285714</v>
      </c>
      <c r="AD114" s="35">
        <f t="shared" si="85"/>
        <v>0.75510204081632648</v>
      </c>
      <c r="AE114" s="35">
        <f t="shared" si="85"/>
        <v>0.89795918367346939</v>
      </c>
      <c r="AF114" s="35">
        <f t="shared" si="85"/>
        <v>0.86734693877551017</v>
      </c>
      <c r="AG114" s="35">
        <f t="shared" si="85"/>
        <v>0.37755102040816324</v>
      </c>
      <c r="AH114" s="35">
        <f t="shared" si="85"/>
        <v>0.51020408163265307</v>
      </c>
      <c r="AI114" s="281">
        <f>+AI113/(A113*A$1)</f>
        <v>0.64450296247531269</v>
      </c>
      <c r="AJ114" s="282">
        <f>AJ113/($A113*AK1)</f>
        <v>0.64450296247531269</v>
      </c>
    </row>
    <row r="115" spans="1:36" x14ac:dyDescent="0.3">
      <c r="A115" s="203"/>
      <c r="B115" s="33"/>
      <c r="C115" s="34" t="s">
        <v>17</v>
      </c>
      <c r="D115" s="37">
        <f t="shared" ref="D115:AH115" si="86">+IFERROR(D117/D113,0)</f>
        <v>67.319090909090903</v>
      </c>
      <c r="E115" s="37">
        <f t="shared" si="86"/>
        <v>76.506666666666675</v>
      </c>
      <c r="F115" s="37">
        <f t="shared" si="86"/>
        <v>85.606086956521736</v>
      </c>
      <c r="G115" s="37">
        <f t="shared" si="86"/>
        <v>80.416086956521738</v>
      </c>
      <c r="H115" s="37">
        <f t="shared" si="86"/>
        <v>85.662195121951228</v>
      </c>
      <c r="I115" s="37">
        <f t="shared" si="86"/>
        <v>90.77</v>
      </c>
      <c r="J115" s="37">
        <f t="shared" si="86"/>
        <v>105.24860465116278</v>
      </c>
      <c r="K115" s="37">
        <f t="shared" si="86"/>
        <v>87.103999999999999</v>
      </c>
      <c r="L115" s="37">
        <v>97</v>
      </c>
      <c r="M115" s="37">
        <v>86.2</v>
      </c>
      <c r="N115" s="37">
        <v>85.41</v>
      </c>
      <c r="O115" s="37">
        <v>90.85</v>
      </c>
      <c r="P115" s="37">
        <f t="shared" si="86"/>
        <v>127.92075757575758</v>
      </c>
      <c r="Q115" s="37">
        <f t="shared" si="86"/>
        <v>127.83050632911393</v>
      </c>
      <c r="R115" s="37">
        <f t="shared" si="86"/>
        <v>90.857142857142861</v>
      </c>
      <c r="S115" s="37">
        <f t="shared" si="86"/>
        <v>94.715066666666672</v>
      </c>
      <c r="T115" s="37">
        <f t="shared" si="86"/>
        <v>93.853999999999999</v>
      </c>
      <c r="U115" s="37">
        <f t="shared" si="86"/>
        <v>96.948571428571427</v>
      </c>
      <c r="V115" s="37">
        <f t="shared" si="86"/>
        <v>93.172941176470587</v>
      </c>
      <c r="W115" s="37">
        <f t="shared" si="86"/>
        <v>124.39808988764045</v>
      </c>
      <c r="X115" s="37">
        <f t="shared" si="86"/>
        <v>126.42559139784946</v>
      </c>
      <c r="Y115" s="37">
        <f>+IFERROR(Y117/Y113,0)</f>
        <v>91.024545454545446</v>
      </c>
      <c r="Z115" s="37">
        <f t="shared" si="86"/>
        <v>91.668607594936702</v>
      </c>
      <c r="AA115" s="37">
        <f t="shared" si="86"/>
        <v>101.82777777777777</v>
      </c>
      <c r="AB115" s="37">
        <f t="shared" si="86"/>
        <v>95.433773584905651</v>
      </c>
      <c r="AC115" s="37">
        <f t="shared" si="86"/>
        <v>88.303035714285713</v>
      </c>
      <c r="AD115" s="37">
        <f t="shared" si="86"/>
        <v>133.51594594594596</v>
      </c>
      <c r="AE115" s="37">
        <f t="shared" si="86"/>
        <v>141.52704545454546</v>
      </c>
      <c r="AF115" s="37">
        <f t="shared" si="86"/>
        <v>113.51435294117647</v>
      </c>
      <c r="AG115" s="37">
        <f t="shared" si="86"/>
        <v>93.877567567567567</v>
      </c>
      <c r="AH115" s="37">
        <f t="shared" si="86"/>
        <v>97.513999999999996</v>
      </c>
      <c r="AI115" s="283">
        <f>+AI117/AI113</f>
        <v>101.70188457609807</v>
      </c>
      <c r="AJ115" s="279">
        <f>+AJ117/AJ113</f>
        <v>101.70188457609807</v>
      </c>
    </row>
    <row r="116" spans="1:36" x14ac:dyDescent="0.3">
      <c r="A116" s="203"/>
      <c r="B116" s="33"/>
      <c r="C116" s="34" t="s">
        <v>18</v>
      </c>
      <c r="D116" s="37">
        <f t="shared" ref="D116:AH116" si="87">+D114*D115</f>
        <v>30.224897959183672</v>
      </c>
      <c r="E116" s="37">
        <f t="shared" si="87"/>
        <v>37.472653061224491</v>
      </c>
      <c r="F116" s="37">
        <f t="shared" si="87"/>
        <v>40.18244897959184</v>
      </c>
      <c r="G116" s="37">
        <f t="shared" si="87"/>
        <v>37.746326530612244</v>
      </c>
      <c r="H116" s="37">
        <f t="shared" si="87"/>
        <v>35.838265306122452</v>
      </c>
      <c r="I116" s="37">
        <f t="shared" si="87"/>
        <v>40.753877551020409</v>
      </c>
      <c r="J116" s="37">
        <f t="shared" si="87"/>
        <v>46.180510204081628</v>
      </c>
      <c r="K116" s="37">
        <f t="shared" si="87"/>
        <v>48.884897959183668</v>
      </c>
      <c r="L116" s="37">
        <f t="shared" si="87"/>
        <v>63.346938775510196</v>
      </c>
      <c r="M116" s="37">
        <f t="shared" si="87"/>
        <v>60.691836734693879</v>
      </c>
      <c r="N116" s="37">
        <f t="shared" si="87"/>
        <v>60.135612244897956</v>
      </c>
      <c r="O116" s="37">
        <f t="shared" si="87"/>
        <v>53.768367346938774</v>
      </c>
      <c r="P116" s="37">
        <f t="shared" si="87"/>
        <v>86.150714285714287</v>
      </c>
      <c r="Q116" s="37">
        <f t="shared" si="87"/>
        <v>103.04704081632654</v>
      </c>
      <c r="R116" s="37">
        <f t="shared" si="87"/>
        <v>38.938775510204081</v>
      </c>
      <c r="S116" s="37">
        <f t="shared" si="87"/>
        <v>72.48602040816327</v>
      </c>
      <c r="T116" s="37">
        <f t="shared" si="87"/>
        <v>67.03857142857143</v>
      </c>
      <c r="U116" s="37">
        <f t="shared" si="87"/>
        <v>62.324081632653062</v>
      </c>
      <c r="V116" s="37">
        <f t="shared" si="87"/>
        <v>80.813265306122446</v>
      </c>
      <c r="W116" s="37">
        <f t="shared" si="87"/>
        <v>112.97377551020409</v>
      </c>
      <c r="X116" s="37">
        <f t="shared" si="87"/>
        <v>119.97530612244898</v>
      </c>
      <c r="Y116" s="37">
        <f t="shared" si="87"/>
        <v>61.302244897959177</v>
      </c>
      <c r="Z116" s="37">
        <f t="shared" si="87"/>
        <v>73.896122448979582</v>
      </c>
      <c r="AA116" s="37">
        <f t="shared" si="87"/>
        <v>84.163775510204076</v>
      </c>
      <c r="AB116" s="37">
        <f t="shared" si="87"/>
        <v>51.612142857142857</v>
      </c>
      <c r="AC116" s="37">
        <f t="shared" si="87"/>
        <v>50.458877551020407</v>
      </c>
      <c r="AD116" s="37">
        <f t="shared" si="87"/>
        <v>100.81816326530613</v>
      </c>
      <c r="AE116" s="37">
        <f t="shared" si="87"/>
        <v>127.08551020408163</v>
      </c>
      <c r="AF116" s="37">
        <f t="shared" si="87"/>
        <v>98.456326530612245</v>
      </c>
      <c r="AG116" s="37">
        <f t="shared" si="87"/>
        <v>35.443571428571424</v>
      </c>
      <c r="AH116" s="37">
        <f t="shared" si="87"/>
        <v>49.752040816326527</v>
      </c>
      <c r="AI116" s="283">
        <f>+AI115*AI114</f>
        <v>65.547165898617521</v>
      </c>
      <c r="AJ116" s="279">
        <f>+AJ114*AJ115</f>
        <v>65.547165898617521</v>
      </c>
    </row>
    <row r="117" spans="1:36" ht="15" thickBot="1" x14ac:dyDescent="0.35">
      <c r="A117" s="203"/>
      <c r="B117" s="141"/>
      <c r="C117" s="65" t="s">
        <v>19</v>
      </c>
      <c r="D117" s="222">
        <v>2962.04</v>
      </c>
      <c r="E117" s="222">
        <v>3672.32</v>
      </c>
      <c r="F117" s="222">
        <v>3937.88</v>
      </c>
      <c r="G117" s="222">
        <v>3699.14</v>
      </c>
      <c r="H117" s="222">
        <v>3512.15</v>
      </c>
      <c r="I117" s="222">
        <v>3993.88</v>
      </c>
      <c r="J117" s="222">
        <v>4525.6899999999996</v>
      </c>
      <c r="K117" s="222">
        <v>4790.72</v>
      </c>
      <c r="L117" s="222">
        <v>6208</v>
      </c>
      <c r="M117" s="222">
        <v>5947.97</v>
      </c>
      <c r="N117" s="222">
        <v>5893.13</v>
      </c>
      <c r="O117" s="222">
        <v>5269.21</v>
      </c>
      <c r="P117" s="222">
        <v>8442.77</v>
      </c>
      <c r="Q117" s="222">
        <v>10098.61</v>
      </c>
      <c r="R117" s="222">
        <v>3816</v>
      </c>
      <c r="S117" s="222">
        <v>7103.63</v>
      </c>
      <c r="T117" s="222">
        <v>6569.78</v>
      </c>
      <c r="U117" s="222">
        <v>6107.76</v>
      </c>
      <c r="V117" s="222">
        <v>7919.7</v>
      </c>
      <c r="W117" s="222">
        <v>11071.43</v>
      </c>
      <c r="X117" s="222">
        <v>11757.58</v>
      </c>
      <c r="Y117" s="222">
        <v>6007.62</v>
      </c>
      <c r="Z117" s="222">
        <v>7241.82</v>
      </c>
      <c r="AA117" s="222">
        <v>8248.0499999999993</v>
      </c>
      <c r="AB117" s="222">
        <v>5057.99</v>
      </c>
      <c r="AC117" s="222">
        <v>4944.97</v>
      </c>
      <c r="AD117" s="222">
        <v>9880.18</v>
      </c>
      <c r="AE117" s="222">
        <v>12454.38</v>
      </c>
      <c r="AF117" s="222">
        <v>9648.7199999999993</v>
      </c>
      <c r="AG117" s="222">
        <v>3473.47</v>
      </c>
      <c r="AH117" s="222">
        <v>4875.7</v>
      </c>
      <c r="AI117" s="311">
        <f>SUM(D117:AH117)</f>
        <v>199132.29</v>
      </c>
      <c r="AJ117" s="285">
        <f>+AI117/$A$1*$AK$1</f>
        <v>199132.29</v>
      </c>
    </row>
    <row r="118" spans="1:36" ht="15.6" thickTop="1" thickBot="1" x14ac:dyDescent="0.35">
      <c r="A118" s="203"/>
      <c r="B118" s="203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316"/>
      <c r="AJ118" s="317">
        <f>+AI117+AI107+AI102+AI97+AI92+AI87+AI82+AI74+AI69+AI64+AI57+AI45+AI40+AI35+AI30+AI22+AI14+AI112</f>
        <v>5123946.0009999992</v>
      </c>
    </row>
    <row r="119" spans="1:36" ht="28.8" x14ac:dyDescent="0.3">
      <c r="A119" s="203"/>
      <c r="B119" s="203"/>
      <c r="C119" s="240"/>
      <c r="D119" s="240">
        <v>1</v>
      </c>
      <c r="E119" s="240">
        <v>2</v>
      </c>
      <c r="F119" s="240">
        <v>3</v>
      </c>
      <c r="G119" s="240">
        <v>4</v>
      </c>
      <c r="H119" s="240">
        <v>5</v>
      </c>
      <c r="I119" s="240">
        <v>6</v>
      </c>
      <c r="J119" s="240">
        <v>7</v>
      </c>
      <c r="K119" s="240">
        <v>8</v>
      </c>
      <c r="L119" s="240">
        <v>9</v>
      </c>
      <c r="M119" s="240">
        <v>10</v>
      </c>
      <c r="N119" s="240">
        <v>11</v>
      </c>
      <c r="O119" s="240">
        <v>12</v>
      </c>
      <c r="P119" s="240">
        <v>13</v>
      </c>
      <c r="Q119" s="240">
        <v>14</v>
      </c>
      <c r="R119" s="240">
        <v>15</v>
      </c>
      <c r="S119" s="240">
        <v>16</v>
      </c>
      <c r="T119" s="240">
        <v>17</v>
      </c>
      <c r="U119" s="240">
        <v>18</v>
      </c>
      <c r="V119" s="240">
        <v>19</v>
      </c>
      <c r="W119" s="240">
        <v>20</v>
      </c>
      <c r="X119" s="240">
        <v>21</v>
      </c>
      <c r="Y119" s="240">
        <v>22</v>
      </c>
      <c r="Z119" s="240">
        <v>23</v>
      </c>
      <c r="AA119" s="240">
        <v>24</v>
      </c>
      <c r="AB119" s="240">
        <v>25</v>
      </c>
      <c r="AC119" s="240">
        <v>26</v>
      </c>
      <c r="AD119" s="240">
        <v>27</v>
      </c>
      <c r="AE119" s="240">
        <v>28</v>
      </c>
      <c r="AF119" s="240">
        <v>29</v>
      </c>
      <c r="AG119" s="240">
        <v>30</v>
      </c>
      <c r="AH119" s="240">
        <v>31</v>
      </c>
      <c r="AI119" s="318" t="s">
        <v>47</v>
      </c>
      <c r="AJ119" s="318" t="s">
        <v>48</v>
      </c>
    </row>
    <row r="120" spans="1:36" x14ac:dyDescent="0.3">
      <c r="A120" s="203"/>
      <c r="B120" s="203" t="s">
        <v>49</v>
      </c>
      <c r="C120" s="240"/>
      <c r="D120" s="158">
        <f t="shared" ref="D120:AH120" si="88">+D117+D112+D107+D102+D97+D92+D87+D82+D74+D69+D59+D45+D40+D35+D30+D22+D14</f>
        <v>108967.27000000002</v>
      </c>
      <c r="E120" s="158">
        <f t="shared" si="88"/>
        <v>147836.46</v>
      </c>
      <c r="F120" s="158">
        <f t="shared" si="88"/>
        <v>158968.61999999997</v>
      </c>
      <c r="G120" s="158">
        <f t="shared" si="88"/>
        <v>163514.79099999997</v>
      </c>
      <c r="H120" s="158">
        <f t="shared" si="88"/>
        <v>172974.04999999996</v>
      </c>
      <c r="I120" s="158">
        <f t="shared" si="88"/>
        <v>168839.37000000002</v>
      </c>
      <c r="J120" s="158">
        <f t="shared" si="88"/>
        <v>156890.75999999998</v>
      </c>
      <c r="K120" s="158">
        <f t="shared" si="88"/>
        <v>127466.08999999997</v>
      </c>
      <c r="L120" s="158">
        <f t="shared" si="88"/>
        <v>179859.94999999998</v>
      </c>
      <c r="M120" s="158">
        <f t="shared" si="88"/>
        <v>197325.85000000003</v>
      </c>
      <c r="N120" s="158">
        <f t="shared" si="88"/>
        <v>192981.05000000002</v>
      </c>
      <c r="O120" s="158">
        <f t="shared" si="88"/>
        <v>218390.98999999996</v>
      </c>
      <c r="P120" s="158">
        <f t="shared" si="88"/>
        <v>223246.62</v>
      </c>
      <c r="Q120" s="158">
        <f t="shared" si="88"/>
        <v>205428.65</v>
      </c>
      <c r="R120" s="158">
        <f t="shared" si="88"/>
        <v>111456.17</v>
      </c>
      <c r="S120" s="158">
        <f t="shared" si="88"/>
        <v>142758.69</v>
      </c>
      <c r="T120" s="158">
        <f t="shared" si="88"/>
        <v>168727.56000000003</v>
      </c>
      <c r="U120" s="158">
        <f t="shared" si="88"/>
        <v>158949.52000000002</v>
      </c>
      <c r="V120" s="158">
        <f t="shared" si="88"/>
        <v>153462.42999999996</v>
      </c>
      <c r="W120" s="158">
        <f t="shared" si="88"/>
        <v>198069.11</v>
      </c>
      <c r="X120" s="158">
        <f t="shared" si="88"/>
        <v>206703.33999999994</v>
      </c>
      <c r="Y120" s="158">
        <f t="shared" si="88"/>
        <v>152549.52000000002</v>
      </c>
      <c r="Z120" s="158">
        <f t="shared" si="88"/>
        <v>197319.29</v>
      </c>
      <c r="AA120" s="158">
        <f t="shared" si="88"/>
        <v>213744.25999999998</v>
      </c>
      <c r="AB120" s="158">
        <f t="shared" si="88"/>
        <v>172556.69999999998</v>
      </c>
      <c r="AC120" s="158">
        <f t="shared" si="88"/>
        <v>155253.21</v>
      </c>
      <c r="AD120" s="158">
        <f t="shared" si="88"/>
        <v>168296.33000000002</v>
      </c>
      <c r="AE120" s="158">
        <f t="shared" si="88"/>
        <v>208899.81</v>
      </c>
      <c r="AF120" s="158">
        <f t="shared" si="88"/>
        <v>126420.59000000001</v>
      </c>
      <c r="AG120" s="158">
        <f t="shared" si="88"/>
        <v>92423.460000000021</v>
      </c>
      <c r="AH120" s="158">
        <f t="shared" si="88"/>
        <v>161029.85</v>
      </c>
      <c r="AI120" s="319">
        <f>AVERAGE(D120:AH120)</f>
        <v>168106.78583870962</v>
      </c>
      <c r="AJ120" s="320">
        <f>+AI120/AI122-1</f>
        <v>0.38028887225349672</v>
      </c>
    </row>
    <row r="121" spans="1:36" x14ac:dyDescent="0.3">
      <c r="A121" s="203"/>
      <c r="B121" s="203" t="s">
        <v>50</v>
      </c>
      <c r="C121" s="240"/>
      <c r="D121" s="158">
        <v>119447</v>
      </c>
      <c r="E121" s="158">
        <v>87090</v>
      </c>
      <c r="F121" s="158">
        <v>101356</v>
      </c>
      <c r="G121" s="158">
        <v>113572</v>
      </c>
      <c r="H121" s="158">
        <v>127837</v>
      </c>
      <c r="I121" s="158">
        <v>134927</v>
      </c>
      <c r="J121" s="158">
        <v>154766</v>
      </c>
      <c r="K121" s="158">
        <v>150751</v>
      </c>
      <c r="L121" s="158">
        <v>108587</v>
      </c>
      <c r="M121" s="158">
        <v>133543</v>
      </c>
      <c r="N121" s="158">
        <v>110892</v>
      </c>
      <c r="O121" s="158">
        <v>130055</v>
      </c>
      <c r="P121" s="158">
        <v>116397</v>
      </c>
      <c r="Q121" s="158">
        <v>132276</v>
      </c>
      <c r="R121" s="158">
        <v>140500</v>
      </c>
      <c r="S121" s="158">
        <v>122559</v>
      </c>
      <c r="T121" s="158">
        <v>84020</v>
      </c>
      <c r="U121" s="158">
        <v>125866</v>
      </c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319">
        <f>AVERAGE(D121:AH121)</f>
        <v>121913.38888888889</v>
      </c>
      <c r="AJ121" s="320">
        <f t="shared" ref="AJ121" si="89">+AI121/AI122-1</f>
        <v>1.0047674309761057E-3</v>
      </c>
    </row>
    <row r="122" spans="1:36" x14ac:dyDescent="0.3">
      <c r="A122" s="203"/>
      <c r="B122" s="203" t="s">
        <v>51</v>
      </c>
      <c r="C122" s="240"/>
      <c r="D122" s="158">
        <v>141124</v>
      </c>
      <c r="E122" s="158">
        <v>148318</v>
      </c>
      <c r="F122" s="158">
        <v>180210</v>
      </c>
      <c r="G122" s="158">
        <v>182187</v>
      </c>
      <c r="H122" s="158">
        <v>90926</v>
      </c>
      <c r="I122" s="158">
        <v>142191</v>
      </c>
      <c r="J122" s="158">
        <v>154670</v>
      </c>
      <c r="K122" s="158">
        <v>124979</v>
      </c>
      <c r="L122" s="158">
        <v>143617</v>
      </c>
      <c r="M122" s="158">
        <v>154379</v>
      </c>
      <c r="N122" s="158">
        <v>161804</v>
      </c>
      <c r="O122" s="158">
        <v>94785</v>
      </c>
      <c r="P122" s="158">
        <v>127796</v>
      </c>
      <c r="Q122" s="158">
        <v>124395</v>
      </c>
      <c r="R122" s="158">
        <v>127245</v>
      </c>
      <c r="S122" s="158">
        <v>124955</v>
      </c>
      <c r="T122" s="158">
        <v>150751.5</v>
      </c>
      <c r="U122" s="158">
        <v>158865</v>
      </c>
      <c r="V122" s="158">
        <v>86339</v>
      </c>
      <c r="W122" s="158">
        <v>90237</v>
      </c>
      <c r="X122" s="158">
        <v>83794</v>
      </c>
      <c r="Y122" s="158">
        <v>84908</v>
      </c>
      <c r="Z122" s="158">
        <v>84753</v>
      </c>
      <c r="AA122" s="158">
        <v>85520</v>
      </c>
      <c r="AB122" s="158">
        <v>91568</v>
      </c>
      <c r="AC122" s="158">
        <v>96637</v>
      </c>
      <c r="AD122" s="158">
        <v>96617</v>
      </c>
      <c r="AE122" s="158">
        <v>90977</v>
      </c>
      <c r="AF122" s="158">
        <v>107392</v>
      </c>
      <c r="AG122" s="240"/>
      <c r="AH122" s="240"/>
      <c r="AI122" s="319">
        <f>AVERAGE(D122:AH122)</f>
        <v>121791.0172413793</v>
      </c>
      <c r="AJ122" s="320">
        <f t="shared" ref="AJ122" si="90">+AI122/AI123-1</f>
        <v>-0.20363410320327613</v>
      </c>
    </row>
    <row r="123" spans="1:36" x14ac:dyDescent="0.3">
      <c r="A123" s="203"/>
      <c r="B123" s="203" t="s">
        <v>52</v>
      </c>
      <c r="C123" s="240"/>
      <c r="D123" s="158">
        <v>124580</v>
      </c>
      <c r="E123" s="158">
        <v>154296.66</v>
      </c>
      <c r="F123" s="158">
        <v>147753</v>
      </c>
      <c r="G123" s="158">
        <v>158873</v>
      </c>
      <c r="H123" s="158">
        <v>199471</v>
      </c>
      <c r="I123" s="158">
        <v>215054</v>
      </c>
      <c r="J123" s="158">
        <v>125430</v>
      </c>
      <c r="K123" s="158">
        <v>152548</v>
      </c>
      <c r="L123" s="158">
        <v>165244</v>
      </c>
      <c r="M123" s="158">
        <v>171115</v>
      </c>
      <c r="N123" s="158">
        <v>173427</v>
      </c>
      <c r="O123" s="158">
        <v>212169</v>
      </c>
      <c r="P123" s="158">
        <v>214125</v>
      </c>
      <c r="Q123" s="158">
        <v>122065</v>
      </c>
      <c r="R123" s="158">
        <v>148524</v>
      </c>
      <c r="S123" s="158">
        <v>163208.09</v>
      </c>
      <c r="T123" s="158">
        <v>160525</v>
      </c>
      <c r="U123" s="158">
        <v>169998</v>
      </c>
      <c r="V123" s="158">
        <v>183815</v>
      </c>
      <c r="W123" s="158">
        <v>179974</v>
      </c>
      <c r="X123" s="158">
        <v>103759</v>
      </c>
      <c r="Y123" s="158">
        <v>99566</v>
      </c>
      <c r="Z123" s="158">
        <v>106365</v>
      </c>
      <c r="AA123" s="158">
        <v>117504</v>
      </c>
      <c r="AB123" s="158">
        <v>144736</v>
      </c>
      <c r="AC123" s="158">
        <v>172844</v>
      </c>
      <c r="AD123" s="158">
        <v>141290</v>
      </c>
      <c r="AE123" s="158">
        <v>90862</v>
      </c>
      <c r="AF123" s="158">
        <v>131911</v>
      </c>
      <c r="AG123" s="158">
        <v>136973</v>
      </c>
      <c r="AH123" s="240"/>
      <c r="AI123" s="319">
        <f>AVERAGE(D123:AH123)</f>
        <v>152933.49166666667</v>
      </c>
      <c r="AJ123" s="320">
        <f t="shared" ref="AJ123:AJ124" si="91">+AI123/AI124-1</f>
        <v>-0.13430132907555237</v>
      </c>
    </row>
    <row r="124" spans="1:36" x14ac:dyDescent="0.3">
      <c r="A124" s="203"/>
      <c r="B124" s="203" t="s">
        <v>53</v>
      </c>
      <c r="C124" s="240"/>
      <c r="D124" s="158">
        <v>184355</v>
      </c>
      <c r="E124" s="158">
        <v>203785</v>
      </c>
      <c r="F124" s="158">
        <v>126974</v>
      </c>
      <c r="G124" s="158">
        <v>151832</v>
      </c>
      <c r="H124" s="158">
        <v>157157.78</v>
      </c>
      <c r="I124" s="158">
        <v>159133</v>
      </c>
      <c r="J124" s="158">
        <v>166580.95000000001</v>
      </c>
      <c r="K124" s="158">
        <v>262111</v>
      </c>
      <c r="L124" s="158">
        <v>260375</v>
      </c>
      <c r="M124" s="158">
        <v>158326</v>
      </c>
      <c r="N124" s="158">
        <v>156220.25</v>
      </c>
      <c r="O124" s="158">
        <v>164611</v>
      </c>
      <c r="P124" s="158">
        <v>178027</v>
      </c>
      <c r="Q124" s="158">
        <v>186451</v>
      </c>
      <c r="R124" s="158">
        <v>242164</v>
      </c>
      <c r="S124" s="158">
        <v>250953</v>
      </c>
      <c r="T124" s="158">
        <v>128371</v>
      </c>
      <c r="U124" s="158">
        <v>150396</v>
      </c>
      <c r="V124" s="158">
        <v>150531</v>
      </c>
      <c r="W124" s="158">
        <v>167115</v>
      </c>
      <c r="X124" s="158">
        <v>161143</v>
      </c>
      <c r="Y124" s="158">
        <v>207530</v>
      </c>
      <c r="Z124" s="158">
        <v>211524</v>
      </c>
      <c r="AA124" s="158">
        <v>133795</v>
      </c>
      <c r="AB124" s="158">
        <v>135271</v>
      </c>
      <c r="AC124" s="158">
        <v>197736.5</v>
      </c>
      <c r="AD124" s="158">
        <v>173262</v>
      </c>
      <c r="AE124" s="158">
        <v>149680</v>
      </c>
      <c r="AF124" s="158">
        <v>184454</v>
      </c>
      <c r="AG124" s="158">
        <v>186589</v>
      </c>
      <c r="AH124" s="158">
        <v>129976.6</v>
      </c>
      <c r="AI124" s="319">
        <f>AVERAGE(D124:AH124)</f>
        <v>176659.03483870969</v>
      </c>
      <c r="AJ124" s="320">
        <f t="shared" si="91"/>
        <v>0.16399498112028188</v>
      </c>
    </row>
    <row r="125" spans="1:36" x14ac:dyDescent="0.3">
      <c r="A125" s="203"/>
      <c r="B125" s="203" t="s">
        <v>54</v>
      </c>
      <c r="C125" s="240"/>
      <c r="D125" s="158">
        <v>135081</v>
      </c>
      <c r="E125" s="158">
        <v>119804</v>
      </c>
      <c r="F125" s="158">
        <v>159717</v>
      </c>
      <c r="G125" s="158">
        <v>200553</v>
      </c>
      <c r="H125" s="158">
        <v>146119</v>
      </c>
      <c r="I125" s="158">
        <v>95658</v>
      </c>
      <c r="J125" s="158">
        <v>120350</v>
      </c>
      <c r="K125" s="158">
        <v>127624</v>
      </c>
      <c r="L125" s="158">
        <v>131409</v>
      </c>
      <c r="M125" s="158">
        <v>127567</v>
      </c>
      <c r="N125" s="158">
        <v>162403</v>
      </c>
      <c r="O125" s="158">
        <v>107348</v>
      </c>
      <c r="P125" s="158">
        <v>143879</v>
      </c>
      <c r="Q125" s="158">
        <v>149942</v>
      </c>
      <c r="R125" s="158">
        <v>151846</v>
      </c>
      <c r="S125" s="158">
        <v>140278</v>
      </c>
      <c r="T125" s="158">
        <v>167616</v>
      </c>
      <c r="U125" s="158">
        <v>177629</v>
      </c>
      <c r="V125" s="158">
        <v>116126</v>
      </c>
      <c r="W125" s="158">
        <v>140286</v>
      </c>
      <c r="X125" s="158">
        <v>153982</v>
      </c>
      <c r="Y125" s="158">
        <v>155274.99</v>
      </c>
      <c r="Z125" s="158">
        <v>172567</v>
      </c>
      <c r="AA125" s="158">
        <v>223177</v>
      </c>
      <c r="AB125" s="158">
        <v>231694.25</v>
      </c>
      <c r="AC125" s="158">
        <v>135454</v>
      </c>
      <c r="AD125" s="158">
        <v>158735</v>
      </c>
      <c r="AE125" s="158">
        <v>167464</v>
      </c>
      <c r="AF125" s="158">
        <v>168759</v>
      </c>
      <c r="AG125" s="158">
        <v>164745.29999999999</v>
      </c>
      <c r="AH125" s="240"/>
      <c r="AI125" s="319">
        <v>151769.58466666666</v>
      </c>
      <c r="AJ125" s="320">
        <v>6.4058604479718673E-2</v>
      </c>
    </row>
    <row r="126" spans="1:36" x14ac:dyDescent="0.3">
      <c r="A126" s="203"/>
      <c r="B126" s="203" t="s">
        <v>55</v>
      </c>
      <c r="C126" s="240"/>
      <c r="D126" s="158">
        <v>132277</v>
      </c>
      <c r="E126" s="158">
        <v>134811</v>
      </c>
      <c r="F126" s="158">
        <v>147393.02000000002</v>
      </c>
      <c r="G126" s="158">
        <v>147065</v>
      </c>
      <c r="H126" s="158">
        <v>146611</v>
      </c>
      <c r="I126" s="158">
        <v>164787</v>
      </c>
      <c r="J126" s="158">
        <v>165674.4</v>
      </c>
      <c r="K126" s="158">
        <v>115147</v>
      </c>
      <c r="L126" s="158">
        <v>130761</v>
      </c>
      <c r="M126" s="158">
        <v>135033.10999999999</v>
      </c>
      <c r="N126" s="158">
        <v>130790</v>
      </c>
      <c r="O126" s="158">
        <v>136739.94</v>
      </c>
      <c r="P126" s="158">
        <v>157693</v>
      </c>
      <c r="Q126" s="158">
        <v>170022</v>
      </c>
      <c r="R126" s="158">
        <v>118001</v>
      </c>
      <c r="S126" s="158">
        <v>147490</v>
      </c>
      <c r="T126" s="158">
        <v>179783</v>
      </c>
      <c r="U126" s="158">
        <v>170075</v>
      </c>
      <c r="V126" s="158">
        <v>144571.1</v>
      </c>
      <c r="W126" s="158">
        <v>147776</v>
      </c>
      <c r="X126" s="158">
        <v>149771</v>
      </c>
      <c r="Y126" s="158">
        <v>102778.09</v>
      </c>
      <c r="Z126" s="158">
        <v>130224</v>
      </c>
      <c r="AA126" s="158">
        <v>143382</v>
      </c>
      <c r="AB126" s="158">
        <v>143656</v>
      </c>
      <c r="AC126" s="158">
        <v>136449</v>
      </c>
      <c r="AD126" s="158">
        <v>145516</v>
      </c>
      <c r="AE126" s="158">
        <v>165913</v>
      </c>
      <c r="AF126" s="158">
        <v>114664</v>
      </c>
      <c r="AG126" s="158">
        <v>123536</v>
      </c>
      <c r="AH126" s="158">
        <v>143225</v>
      </c>
      <c r="AI126" s="319">
        <v>142632.73096774195</v>
      </c>
      <c r="AJ126" s="320">
        <v>-0.10798314790952912</v>
      </c>
    </row>
    <row r="127" spans="1:36" x14ac:dyDescent="0.3">
      <c r="A127" s="203"/>
      <c r="B127" s="203" t="s">
        <v>56</v>
      </c>
      <c r="C127" s="240"/>
      <c r="D127" s="158">
        <v>149150.16</v>
      </c>
      <c r="E127" s="158">
        <v>164371</v>
      </c>
      <c r="F127" s="158">
        <v>165843</v>
      </c>
      <c r="G127" s="158">
        <v>113115</v>
      </c>
      <c r="H127" s="158">
        <v>107949</v>
      </c>
      <c r="I127" s="158">
        <v>140558</v>
      </c>
      <c r="J127" s="158">
        <v>152447</v>
      </c>
      <c r="K127" s="158">
        <v>162650</v>
      </c>
      <c r="L127" s="158">
        <v>176842</v>
      </c>
      <c r="M127" s="158">
        <v>178270</v>
      </c>
      <c r="N127" s="158">
        <v>123610</v>
      </c>
      <c r="O127" s="158">
        <v>152776</v>
      </c>
      <c r="P127" s="158">
        <v>162394</v>
      </c>
      <c r="Q127" s="158">
        <v>163241</v>
      </c>
      <c r="R127" s="158">
        <v>166097</v>
      </c>
      <c r="S127" s="158">
        <v>188036</v>
      </c>
      <c r="T127" s="158">
        <v>205640</v>
      </c>
      <c r="U127" s="158">
        <v>123889</v>
      </c>
      <c r="V127" s="158">
        <v>197425</v>
      </c>
      <c r="W127" s="158">
        <v>153932</v>
      </c>
      <c r="X127" s="158">
        <v>156600</v>
      </c>
      <c r="Y127" s="158">
        <v>161583</v>
      </c>
      <c r="Z127" s="158">
        <v>183945</v>
      </c>
      <c r="AA127" s="158">
        <v>192396</v>
      </c>
      <c r="AB127" s="158">
        <v>121789</v>
      </c>
      <c r="AC127" s="158">
        <v>142467.29999999999</v>
      </c>
      <c r="AD127" s="158">
        <v>163203</v>
      </c>
      <c r="AE127" s="158">
        <v>164257</v>
      </c>
      <c r="AF127" s="158">
        <v>161177</v>
      </c>
      <c r="AG127" s="158">
        <v>175590</v>
      </c>
      <c r="AH127" s="158">
        <v>185631</v>
      </c>
      <c r="AI127" s="319">
        <v>159899.14387096773</v>
      </c>
      <c r="AJ127" s="320">
        <v>-2.1289128722978723E-2</v>
      </c>
    </row>
    <row r="128" spans="1:36" x14ac:dyDescent="0.3">
      <c r="A128" s="203"/>
      <c r="B128" s="203" t="s">
        <v>57</v>
      </c>
      <c r="C128" s="240"/>
      <c r="D128" s="158">
        <v>123011</v>
      </c>
      <c r="E128" s="158">
        <v>135214</v>
      </c>
      <c r="F128" s="158">
        <v>146360</v>
      </c>
      <c r="G128" s="158">
        <v>175853</v>
      </c>
      <c r="H128" s="158">
        <v>181902</v>
      </c>
      <c r="I128" s="158">
        <v>117874</v>
      </c>
      <c r="J128" s="158">
        <v>138979</v>
      </c>
      <c r="K128" s="158">
        <v>161866.45000000001</v>
      </c>
      <c r="L128" s="158">
        <v>163308</v>
      </c>
      <c r="M128" s="158">
        <v>161436</v>
      </c>
      <c r="N128" s="158">
        <v>197316</v>
      </c>
      <c r="O128" s="158">
        <v>189393</v>
      </c>
      <c r="P128" s="158">
        <v>134039</v>
      </c>
      <c r="Q128" s="158">
        <v>160552</v>
      </c>
      <c r="R128" s="158">
        <v>175496</v>
      </c>
      <c r="S128" s="158">
        <v>167668</v>
      </c>
      <c r="T128" s="158">
        <v>163426</v>
      </c>
      <c r="U128" s="158">
        <v>183993</v>
      </c>
      <c r="V128" s="158">
        <v>203363</v>
      </c>
      <c r="W128" s="158">
        <v>123082</v>
      </c>
      <c r="X128" s="158">
        <v>156633</v>
      </c>
      <c r="Y128" s="158">
        <v>180785</v>
      </c>
      <c r="Z128" s="158">
        <v>177471</v>
      </c>
      <c r="AA128" s="158">
        <v>172849</v>
      </c>
      <c r="AB128" s="158">
        <v>213754</v>
      </c>
      <c r="AC128" s="158">
        <v>218472</v>
      </c>
      <c r="AD128" s="158">
        <v>124046</v>
      </c>
      <c r="AE128" s="158">
        <v>153813.54999999999</v>
      </c>
      <c r="AF128" s="158">
        <v>161157</v>
      </c>
      <c r="AG128" s="158">
        <v>138207.13</v>
      </c>
      <c r="AH128" s="240"/>
      <c r="AI128" s="319">
        <v>163377.30433333333</v>
      </c>
      <c r="AJ128" s="320">
        <v>6.7979277812139749E-2</v>
      </c>
    </row>
    <row r="129" spans="1:36" x14ac:dyDescent="0.3">
      <c r="A129" s="203"/>
      <c r="B129" s="203" t="s">
        <v>49</v>
      </c>
      <c r="C129" s="240"/>
      <c r="D129" s="158">
        <v>168260</v>
      </c>
      <c r="E129" s="158">
        <v>107593</v>
      </c>
      <c r="F129" s="158">
        <v>127682.29999999999</v>
      </c>
      <c r="G129" s="158">
        <v>124802.91</v>
      </c>
      <c r="H129" s="158">
        <v>145188</v>
      </c>
      <c r="I129" s="158">
        <v>173439</v>
      </c>
      <c r="J129" s="158">
        <v>206235</v>
      </c>
      <c r="K129" s="158">
        <v>209927</v>
      </c>
      <c r="L129" s="158">
        <v>113105</v>
      </c>
      <c r="M129" s="158">
        <v>138335</v>
      </c>
      <c r="N129" s="158">
        <v>156348.91999999998</v>
      </c>
      <c r="O129" s="158">
        <v>151755</v>
      </c>
      <c r="P129" s="158">
        <v>154837</v>
      </c>
      <c r="Q129" s="158">
        <v>184436</v>
      </c>
      <c r="R129" s="158">
        <v>196057</v>
      </c>
      <c r="S129" s="158">
        <v>115848</v>
      </c>
      <c r="T129" s="158">
        <v>126725.95000000001</v>
      </c>
      <c r="U129" s="158">
        <v>137670.54999999999</v>
      </c>
      <c r="V129" s="158">
        <v>135426.66</v>
      </c>
      <c r="W129" s="158">
        <v>154916</v>
      </c>
      <c r="X129" s="158">
        <v>181312.86</v>
      </c>
      <c r="Y129" s="158">
        <v>197889</v>
      </c>
      <c r="Z129" s="158">
        <v>111347.43</v>
      </c>
      <c r="AA129" s="158">
        <v>132518.97</v>
      </c>
      <c r="AB129" s="158">
        <v>133267.59</v>
      </c>
      <c r="AC129" s="158">
        <v>136538</v>
      </c>
      <c r="AD129" s="158">
        <v>137806</v>
      </c>
      <c r="AE129" s="158">
        <v>191926</v>
      </c>
      <c r="AF129" s="158">
        <v>222963</v>
      </c>
      <c r="AG129" s="158">
        <v>156817</v>
      </c>
      <c r="AH129" s="158">
        <v>111343</v>
      </c>
      <c r="AI129" s="319">
        <v>152977.97225806455</v>
      </c>
      <c r="AJ129" s="320">
        <v>7.3685232614691065E-2</v>
      </c>
    </row>
    <row r="130" spans="1:36" x14ac:dyDescent="0.3">
      <c r="A130" s="203"/>
      <c r="B130" s="203" t="s">
        <v>58</v>
      </c>
      <c r="C130" s="240"/>
      <c r="D130" s="158">
        <v>125816</v>
      </c>
      <c r="E130" s="158">
        <v>151249</v>
      </c>
      <c r="F130" s="158">
        <v>141145</v>
      </c>
      <c r="G130" s="158">
        <v>93520.08</v>
      </c>
      <c r="H130" s="158">
        <v>116368</v>
      </c>
      <c r="I130" s="158">
        <v>136980.30000000002</v>
      </c>
      <c r="J130" s="158">
        <v>143928</v>
      </c>
      <c r="K130" s="158">
        <v>128919</v>
      </c>
      <c r="L130" s="158">
        <v>170958</v>
      </c>
      <c r="M130" s="158">
        <v>197432</v>
      </c>
      <c r="N130" s="158">
        <v>112043.97</v>
      </c>
      <c r="O130" s="158">
        <v>127835.8</v>
      </c>
      <c r="P130" s="158">
        <v>134140.18</v>
      </c>
      <c r="Q130" s="158">
        <v>130958.37999999999</v>
      </c>
      <c r="R130" s="158">
        <v>147825</v>
      </c>
      <c r="S130" s="158">
        <v>189635</v>
      </c>
      <c r="T130" s="158">
        <v>188260</v>
      </c>
      <c r="U130" s="158">
        <v>98840</v>
      </c>
      <c r="V130" s="158">
        <v>121850.33</v>
      </c>
      <c r="W130" s="158">
        <v>134832.26</v>
      </c>
      <c r="X130" s="158">
        <v>133406</v>
      </c>
      <c r="Y130" s="158">
        <v>147170</v>
      </c>
      <c r="Z130" s="158">
        <v>185144</v>
      </c>
      <c r="AA130" s="158">
        <v>182561</v>
      </c>
      <c r="AB130" s="158">
        <v>103377</v>
      </c>
      <c r="AC130" s="158">
        <v>141346.15</v>
      </c>
      <c r="AD130" s="158">
        <v>129926</v>
      </c>
      <c r="AE130" s="158">
        <v>133654</v>
      </c>
      <c r="AF130" s="158">
        <v>140970</v>
      </c>
      <c r="AG130" s="158">
        <v>184290</v>
      </c>
      <c r="AH130" s="158"/>
      <c r="AI130" s="319">
        <v>142479.3483333333</v>
      </c>
      <c r="AJ130" s="320">
        <v>5.5268287586315301E-2</v>
      </c>
    </row>
    <row r="131" spans="1:36" x14ac:dyDescent="0.3">
      <c r="A131" s="203"/>
      <c r="B131" s="203" t="s">
        <v>59</v>
      </c>
      <c r="C131" s="240"/>
      <c r="D131" s="158">
        <v>114623.50999999998</v>
      </c>
      <c r="E131" s="158">
        <v>117829.61</v>
      </c>
      <c r="F131" s="158">
        <v>122917.56999999999</v>
      </c>
      <c r="G131" s="158">
        <v>130495.9</v>
      </c>
      <c r="H131" s="158">
        <v>137863.53999999998</v>
      </c>
      <c r="I131" s="158">
        <v>147506.49000000002</v>
      </c>
      <c r="J131" s="158">
        <v>112811.34</v>
      </c>
      <c r="K131" s="158">
        <v>116217.00000000001</v>
      </c>
      <c r="L131" s="158">
        <v>126765.45</v>
      </c>
      <c r="M131" s="158">
        <v>128354.98999999999</v>
      </c>
      <c r="N131" s="158">
        <v>132118</v>
      </c>
      <c r="O131" s="158">
        <v>158761.15</v>
      </c>
      <c r="P131" s="158">
        <v>166812.37000000002</v>
      </c>
      <c r="Q131" s="158">
        <v>119556.14</v>
      </c>
      <c r="R131" s="158">
        <v>129791.56999999998</v>
      </c>
      <c r="S131" s="158">
        <v>134517.78</v>
      </c>
      <c r="T131" s="158">
        <v>142856.24</v>
      </c>
      <c r="U131" s="158">
        <v>143916.46999999997</v>
      </c>
      <c r="V131" s="158">
        <v>174275.35</v>
      </c>
      <c r="W131" s="158">
        <v>178301.25</v>
      </c>
      <c r="X131" s="158">
        <v>113992.63</v>
      </c>
      <c r="Y131" s="158">
        <v>127051.5</v>
      </c>
      <c r="Z131" s="158">
        <v>138426.22</v>
      </c>
      <c r="AA131" s="158">
        <v>145337.99</v>
      </c>
      <c r="AB131" s="158">
        <v>141152</v>
      </c>
      <c r="AC131" s="158">
        <v>163152</v>
      </c>
      <c r="AD131" s="158">
        <v>184053</v>
      </c>
      <c r="AE131" s="158">
        <v>105809.09</v>
      </c>
      <c r="AF131" s="158">
        <v>116549.62000000001</v>
      </c>
      <c r="AG131" s="158">
        <v>126650</v>
      </c>
      <c r="AH131" s="158">
        <v>135017.18</v>
      </c>
      <c r="AI131" s="319">
        <v>135017.18</v>
      </c>
      <c r="AJ131" s="320">
        <v>0.34345155973884345</v>
      </c>
    </row>
    <row r="132" spans="1:36" x14ac:dyDescent="0.3">
      <c r="A132" s="203"/>
      <c r="B132" s="203" t="s">
        <v>60</v>
      </c>
      <c r="C132" s="240"/>
      <c r="D132" s="158">
        <v>73863.600000000006</v>
      </c>
      <c r="E132" s="158">
        <v>79060.419999999984</v>
      </c>
      <c r="F132" s="158">
        <v>81003.360000000001</v>
      </c>
      <c r="G132" s="158">
        <v>76954.900000000009</v>
      </c>
      <c r="H132" s="158">
        <v>91299.05799999999</v>
      </c>
      <c r="I132" s="158">
        <v>88235.790000000008</v>
      </c>
      <c r="J132" s="158">
        <v>58618.97</v>
      </c>
      <c r="K132" s="158">
        <v>71658.139999999985</v>
      </c>
      <c r="L132" s="158">
        <v>78494.25</v>
      </c>
      <c r="M132" s="158">
        <v>86823.1</v>
      </c>
      <c r="N132" s="158">
        <v>84585.727999999988</v>
      </c>
      <c r="O132" s="158">
        <v>79436.500000000015</v>
      </c>
      <c r="P132" s="158">
        <v>107050.59999999999</v>
      </c>
      <c r="Q132" s="158">
        <v>110143.86999999998</v>
      </c>
      <c r="R132" s="158">
        <v>122240.58</v>
      </c>
      <c r="S132" s="158">
        <v>121024.60999999999</v>
      </c>
      <c r="T132" s="158">
        <v>116009.29</v>
      </c>
      <c r="U132" s="158">
        <v>109786.48000000001</v>
      </c>
      <c r="V132" s="158">
        <v>112968.72</v>
      </c>
      <c r="W132" s="158">
        <v>112812.02</v>
      </c>
      <c r="X132" s="158">
        <v>88597.29</v>
      </c>
      <c r="Y132" s="158">
        <v>111025.8</v>
      </c>
      <c r="Z132" s="158">
        <v>132492.99</v>
      </c>
      <c r="AA132" s="158">
        <v>121294.78</v>
      </c>
      <c r="AB132" s="158">
        <v>144013.08000000002</v>
      </c>
      <c r="AC132" s="158">
        <v>131690.88999999998</v>
      </c>
      <c r="AD132" s="158">
        <v>122800.08999999998</v>
      </c>
      <c r="AE132" s="158">
        <v>100021.31000000001</v>
      </c>
      <c r="AF132" s="158"/>
      <c r="AG132" s="158"/>
      <c r="AH132" s="158"/>
      <c r="AI132" s="319">
        <v>100500.22199999998</v>
      </c>
      <c r="AJ132" s="320">
        <v>0.27548293357685361</v>
      </c>
    </row>
    <row r="133" spans="1:36" x14ac:dyDescent="0.3">
      <c r="B133" s="203" t="s">
        <v>61</v>
      </c>
      <c r="C133" s="240"/>
      <c r="D133" s="158">
        <v>82854.86</v>
      </c>
      <c r="E133" s="158">
        <v>80638.539999999994</v>
      </c>
      <c r="F133" s="158">
        <v>60554.259999999995</v>
      </c>
      <c r="G133" s="158">
        <v>64807.009999999995</v>
      </c>
      <c r="H133" s="158">
        <v>76514.759999999995</v>
      </c>
      <c r="I133" s="158">
        <v>83320.000000000015</v>
      </c>
      <c r="J133" s="158">
        <v>71398.990000000005</v>
      </c>
      <c r="K133" s="158">
        <v>79576.290000000008</v>
      </c>
      <c r="L133" s="158">
        <v>79602.19</v>
      </c>
      <c r="M133" s="158">
        <v>62180.97</v>
      </c>
      <c r="N133" s="158">
        <v>72936.51999999999</v>
      </c>
      <c r="O133" s="158">
        <v>77463.539999999994</v>
      </c>
      <c r="P133" s="158">
        <v>82155.279999999984</v>
      </c>
      <c r="Q133" s="158">
        <v>87161.51999999999</v>
      </c>
      <c r="R133" s="158">
        <v>100886.34999999999</v>
      </c>
      <c r="S133" s="158">
        <v>107066.53999999998</v>
      </c>
      <c r="T133" s="158">
        <v>74252.77</v>
      </c>
      <c r="U133" s="158">
        <v>74107.56</v>
      </c>
      <c r="V133" s="158">
        <v>83657.62</v>
      </c>
      <c r="W133" s="158">
        <v>75423.94</v>
      </c>
      <c r="X133" s="158">
        <v>70802.810000000012</v>
      </c>
      <c r="Y133" s="158">
        <v>77494.189999999988</v>
      </c>
      <c r="Z133" s="158">
        <v>84626.680000000008</v>
      </c>
      <c r="AA133" s="158">
        <v>65300.72</v>
      </c>
      <c r="AB133" s="158">
        <v>77262.150000000009</v>
      </c>
      <c r="AC133" s="158">
        <v>78740.91</v>
      </c>
      <c r="AD133" s="158">
        <v>81055.740000000005</v>
      </c>
      <c r="AE133" s="158">
        <v>80039.549999999988</v>
      </c>
      <c r="AF133" s="158">
        <v>84612.52</v>
      </c>
      <c r="AG133" s="158">
        <v>87320.98</v>
      </c>
      <c r="AH133" s="158">
        <v>65515.239999999991</v>
      </c>
      <c r="AI133" s="319">
        <v>78793.858666666652</v>
      </c>
      <c r="AJ133" s="320">
        <v>0.16481058729716236</v>
      </c>
    </row>
    <row r="134" spans="1:36" x14ac:dyDescent="0.3">
      <c r="B134" s="203" t="s">
        <v>51</v>
      </c>
      <c r="C134" s="240"/>
      <c r="D134" s="158">
        <v>67602.77</v>
      </c>
      <c r="E134" s="158">
        <v>66458.939999999988</v>
      </c>
      <c r="F134" s="158">
        <v>83823.130000000019</v>
      </c>
      <c r="G134" s="158">
        <v>97534.23000000001</v>
      </c>
      <c r="H134" s="158">
        <v>93973.470000000016</v>
      </c>
      <c r="I134" s="158">
        <v>60633.320000000007</v>
      </c>
      <c r="J134" s="158">
        <v>71392.59</v>
      </c>
      <c r="K134" s="158">
        <v>74964.61</v>
      </c>
      <c r="L134" s="158">
        <v>77754.549999999988</v>
      </c>
      <c r="M134" s="158">
        <v>72153.59</v>
      </c>
      <c r="N134" s="158">
        <v>97852.160000000003</v>
      </c>
      <c r="O134" s="158">
        <v>96924.62</v>
      </c>
      <c r="P134" s="158">
        <v>57639.839999999997</v>
      </c>
      <c r="Q134" s="158">
        <v>66461.450000000012</v>
      </c>
      <c r="R134" s="158">
        <v>63997.119999999995</v>
      </c>
      <c r="S134" s="158">
        <v>66648.78</v>
      </c>
      <c r="T134" s="158">
        <v>67478.63</v>
      </c>
      <c r="U134" s="158">
        <v>74443.569999999992</v>
      </c>
      <c r="V134" s="158">
        <v>78196.569999999992</v>
      </c>
      <c r="W134" s="158">
        <v>55414.229999999996</v>
      </c>
      <c r="X134" s="158">
        <v>55682.65</v>
      </c>
      <c r="Y134" s="158">
        <v>49132.170000000006</v>
      </c>
      <c r="Z134" s="158">
        <v>45279.17</v>
      </c>
      <c r="AA134" s="158">
        <v>43029.96</v>
      </c>
      <c r="AB134" s="158">
        <v>52906.930000000008</v>
      </c>
      <c r="AC134" s="158">
        <v>59619.35</v>
      </c>
      <c r="AD134" s="158">
        <v>49546.95</v>
      </c>
      <c r="AE134" s="158">
        <v>55525.320000000007</v>
      </c>
      <c r="AF134" s="158">
        <v>56721.73</v>
      </c>
      <c r="AG134" s="158">
        <v>60370.54</v>
      </c>
      <c r="AH134" s="158">
        <v>77838.62000000001</v>
      </c>
      <c r="AI134" s="319">
        <v>67645.211612903237</v>
      </c>
      <c r="AJ134" s="320">
        <v>-0.12070281664214377</v>
      </c>
    </row>
    <row r="135" spans="1:36" x14ac:dyDescent="0.3">
      <c r="B135" s="203" t="s">
        <v>52</v>
      </c>
      <c r="C135" s="240"/>
      <c r="D135" s="158">
        <v>70065</v>
      </c>
      <c r="E135" s="158">
        <v>66144.81</v>
      </c>
      <c r="F135" s="158">
        <v>75735.520000000019</v>
      </c>
      <c r="G135" s="158">
        <v>86485.090000000011</v>
      </c>
      <c r="H135" s="158">
        <v>83527.02</v>
      </c>
      <c r="I135" s="158">
        <v>96226.680000000008</v>
      </c>
      <c r="J135" s="158">
        <v>112884.18999999997</v>
      </c>
      <c r="K135" s="158">
        <v>66614.469999999987</v>
      </c>
      <c r="L135" s="158">
        <v>79859.41</v>
      </c>
      <c r="M135" s="158">
        <v>85053.95</v>
      </c>
      <c r="N135" s="158">
        <v>89977.71</v>
      </c>
      <c r="O135" s="158">
        <v>86370.739999999991</v>
      </c>
      <c r="P135" s="158">
        <v>109352.45999999999</v>
      </c>
      <c r="Q135" s="158">
        <v>106708.48999999999</v>
      </c>
      <c r="R135" s="158">
        <v>61864.179999999993</v>
      </c>
      <c r="S135" s="158">
        <v>72865.290000000008</v>
      </c>
      <c r="T135" s="158">
        <v>74909.69</v>
      </c>
      <c r="U135" s="158">
        <v>77430.179999999993</v>
      </c>
      <c r="V135" s="158">
        <v>78790.110000000015</v>
      </c>
      <c r="W135" s="158">
        <v>96551.599999999991</v>
      </c>
      <c r="X135" s="158">
        <v>90910.9</v>
      </c>
      <c r="Y135" s="158">
        <v>53908.470000000008</v>
      </c>
      <c r="Z135" s="158">
        <v>55233.39</v>
      </c>
      <c r="AA135" s="158">
        <v>56637.599999999999</v>
      </c>
      <c r="AB135" s="158">
        <v>54914.99</v>
      </c>
      <c r="AC135" s="158">
        <v>61969.72</v>
      </c>
      <c r="AD135" s="158">
        <v>74137.399999999994</v>
      </c>
      <c r="AE135" s="158">
        <v>72565.25</v>
      </c>
      <c r="AF135" s="158">
        <v>48777.47</v>
      </c>
      <c r="AG135" s="158">
        <v>61456.729999999996</v>
      </c>
      <c r="AH135" s="158"/>
      <c r="AI135" s="319">
        <v>76931</v>
      </c>
      <c r="AJ135" s="320">
        <v>-0.15140564912971455</v>
      </c>
    </row>
    <row r="136" spans="1:36" x14ac:dyDescent="0.3">
      <c r="B136" s="203" t="s">
        <v>62</v>
      </c>
      <c r="C136" s="240"/>
      <c r="D136" s="158">
        <v>90900.959999999977</v>
      </c>
      <c r="E136" s="158">
        <v>110402.01</v>
      </c>
      <c r="F136" s="158">
        <v>105326.36999999998</v>
      </c>
      <c r="G136" s="158">
        <v>66581.670000000013</v>
      </c>
      <c r="H136" s="158">
        <v>74482.51999999999</v>
      </c>
      <c r="I136" s="158">
        <v>77418.439999999988</v>
      </c>
      <c r="J136" s="158">
        <v>79867.890000000014</v>
      </c>
      <c r="K136" s="158">
        <v>93534.050000000017</v>
      </c>
      <c r="L136" s="158">
        <v>130042.68000000001</v>
      </c>
      <c r="M136" s="158">
        <v>140749.15999999997</v>
      </c>
      <c r="N136" s="158">
        <v>73838.139999999985</v>
      </c>
      <c r="O136" s="158">
        <v>74852.73</v>
      </c>
      <c r="P136" s="158">
        <v>77689.62999999999</v>
      </c>
      <c r="Q136" s="158">
        <v>82940.800000000003</v>
      </c>
      <c r="R136" s="158">
        <v>91217.34</v>
      </c>
      <c r="S136" s="158">
        <v>120190.80000000002</v>
      </c>
      <c r="T136" s="158">
        <v>120174.86</v>
      </c>
      <c r="U136" s="158">
        <v>68984.239999999991</v>
      </c>
      <c r="V136" s="158">
        <v>78411.680000000008</v>
      </c>
      <c r="W136" s="158">
        <v>83139.08</v>
      </c>
      <c r="X136" s="158">
        <v>81866.12000000001</v>
      </c>
      <c r="Y136" s="158">
        <v>85785.35</v>
      </c>
      <c r="Z136" s="158">
        <v>117856.4</v>
      </c>
      <c r="AA136" s="158">
        <v>127161.93999999999</v>
      </c>
      <c r="AB136" s="158">
        <v>68498.410000000018</v>
      </c>
      <c r="AC136" s="158">
        <v>76958.27</v>
      </c>
      <c r="AD136" s="158">
        <v>80332.850000000006</v>
      </c>
      <c r="AE136" s="158">
        <v>80516.19</v>
      </c>
      <c r="AF136" s="158">
        <v>70980.319999999992</v>
      </c>
      <c r="AG136" s="158">
        <v>83606.89</v>
      </c>
      <c r="AH136" s="158">
        <v>96058.549999999988</v>
      </c>
      <c r="AI136" s="319">
        <v>90656.978709677423</v>
      </c>
      <c r="AJ136" s="320">
        <v>4.1842966451314689E-2</v>
      </c>
    </row>
    <row r="137" spans="1:36" x14ac:dyDescent="0.3">
      <c r="B137" s="203" t="s">
        <v>54</v>
      </c>
      <c r="C137" s="240"/>
      <c r="D137" s="158">
        <v>84754.189999999988</v>
      </c>
      <c r="E137" s="158">
        <v>77509.83</v>
      </c>
      <c r="F137" s="158">
        <v>86097.87000000001</v>
      </c>
      <c r="G137" s="158">
        <v>114711.41999999998</v>
      </c>
      <c r="H137" s="158">
        <v>144350.47</v>
      </c>
      <c r="I137" s="158">
        <v>103110.33000000002</v>
      </c>
      <c r="J137" s="158">
        <v>63647.21</v>
      </c>
      <c r="K137" s="158">
        <v>76126.25</v>
      </c>
      <c r="L137" s="158">
        <v>82670.789999999979</v>
      </c>
      <c r="M137" s="158">
        <v>80723.710000000006</v>
      </c>
      <c r="N137" s="158">
        <v>91710.989999999991</v>
      </c>
      <c r="O137" s="158">
        <v>97999.8</v>
      </c>
      <c r="P137" s="158">
        <v>73673.760000000009</v>
      </c>
      <c r="Q137" s="158">
        <v>81090.11</v>
      </c>
      <c r="R137" s="158">
        <v>95424.680000000008</v>
      </c>
      <c r="S137" s="158">
        <v>88123.109999999986</v>
      </c>
      <c r="T137" s="158">
        <v>86107.98000000001</v>
      </c>
      <c r="U137" s="158">
        <v>94430.400000000009</v>
      </c>
      <c r="V137" s="158">
        <v>108674.07999999999</v>
      </c>
      <c r="W137" s="158">
        <v>63410.119999999995</v>
      </c>
      <c r="X137" s="158">
        <v>71808.240000000005</v>
      </c>
      <c r="Y137" s="158">
        <v>72142.2</v>
      </c>
      <c r="Z137" s="158">
        <v>82430.219999999987</v>
      </c>
      <c r="AA137" s="158">
        <v>78378.259999999995</v>
      </c>
      <c r="AB137" s="158">
        <v>98445.599999999977</v>
      </c>
      <c r="AC137" s="158">
        <v>111067.27900000001</v>
      </c>
      <c r="AD137" s="158">
        <v>65574.12000000001</v>
      </c>
      <c r="AE137" s="158">
        <v>68571.259999999995</v>
      </c>
      <c r="AF137" s="158">
        <v>77694.38</v>
      </c>
      <c r="AG137" s="158">
        <v>90020.51</v>
      </c>
      <c r="AH137" s="158"/>
      <c r="AI137" s="319">
        <v>87015.972299999994</v>
      </c>
      <c r="AJ137" s="320">
        <v>-5.286343324641285E-3</v>
      </c>
    </row>
    <row r="138" spans="1:36" x14ac:dyDescent="0.3">
      <c r="B138" s="203" t="s">
        <v>55</v>
      </c>
      <c r="C138" s="240"/>
      <c r="D138" s="158">
        <v>100183.41</v>
      </c>
      <c r="E138" s="158">
        <v>64601.049999999996</v>
      </c>
      <c r="F138" s="158">
        <v>68269.820000000007</v>
      </c>
      <c r="G138" s="158">
        <v>72258.659999999989</v>
      </c>
      <c r="H138" s="158">
        <v>72333.430000000008</v>
      </c>
      <c r="I138" s="158">
        <v>87807.180000000008</v>
      </c>
      <c r="J138" s="158">
        <v>108556.6</v>
      </c>
      <c r="K138" s="158">
        <v>115466.53999999998</v>
      </c>
      <c r="L138" s="158">
        <v>66024.539999999994</v>
      </c>
      <c r="M138" s="158">
        <v>67539.360000000001</v>
      </c>
      <c r="N138" s="158">
        <v>74683.11</v>
      </c>
      <c r="O138" s="158">
        <v>70834.399999999994</v>
      </c>
      <c r="P138" s="158">
        <v>77578</v>
      </c>
      <c r="Q138" s="158">
        <v>95943.329999999987</v>
      </c>
      <c r="R138" s="158">
        <v>104559.17000000001</v>
      </c>
      <c r="S138" s="158">
        <v>77145.600000000006</v>
      </c>
      <c r="T138" s="158">
        <v>83957.91</v>
      </c>
      <c r="U138" s="158">
        <v>88179.42</v>
      </c>
      <c r="V138" s="158">
        <v>90305.080000000016</v>
      </c>
      <c r="W138" s="158">
        <v>90852.430000000022</v>
      </c>
      <c r="X138" s="158">
        <v>94160.400000000009</v>
      </c>
      <c r="Y138" s="158">
        <v>100448.5</v>
      </c>
      <c r="Z138" s="158">
        <v>58556.94</v>
      </c>
      <c r="AA138" s="158">
        <v>74305.420000000013</v>
      </c>
      <c r="AB138" s="158">
        <v>110828.91999999998</v>
      </c>
      <c r="AC138" s="158">
        <v>131833.35</v>
      </c>
      <c r="AD138" s="158">
        <v>108369.62000000001</v>
      </c>
      <c r="AE138" s="158">
        <v>100972.90000000002</v>
      </c>
      <c r="AF138" s="158">
        <v>102375.05999999997</v>
      </c>
      <c r="AG138" s="158">
        <v>73325.179999999993</v>
      </c>
      <c r="AH138" s="158">
        <v>79575.48000000001</v>
      </c>
      <c r="AI138" s="319">
        <v>87478.413225806449</v>
      </c>
      <c r="AJ138" s="320">
        <v>0.15589313615477463</v>
      </c>
    </row>
    <row r="139" spans="1:36" x14ac:dyDescent="0.3">
      <c r="B139" s="203" t="s">
        <v>56</v>
      </c>
      <c r="C139" s="240"/>
      <c r="D139" s="158">
        <v>73444.495945945935</v>
      </c>
      <c r="E139" s="158">
        <v>70000.913513513515</v>
      </c>
      <c r="F139" s="158">
        <v>82405.333783783775</v>
      </c>
      <c r="G139" s="158">
        <v>81409.199189189181</v>
      </c>
      <c r="H139" s="158">
        <v>56865.548378378378</v>
      </c>
      <c r="I139" s="158">
        <v>62159.099054054052</v>
      </c>
      <c r="J139" s="158">
        <v>68168.310270270274</v>
      </c>
      <c r="K139" s="158">
        <v>72491.048378378386</v>
      </c>
      <c r="L139" s="158">
        <v>79462.536621621635</v>
      </c>
      <c r="M139" s="158">
        <v>82286.569999999992</v>
      </c>
      <c r="N139" s="158">
        <v>87756.881891891884</v>
      </c>
      <c r="O139" s="158">
        <v>60813.235405405416</v>
      </c>
      <c r="P139" s="158">
        <v>67185.838918918933</v>
      </c>
      <c r="Q139" s="158">
        <v>71968.58</v>
      </c>
      <c r="R139" s="158">
        <v>77449.497972972982</v>
      </c>
      <c r="S139" s="158">
        <v>77877.45608108108</v>
      </c>
      <c r="T139" s="158">
        <v>92299.417837837827</v>
      </c>
      <c r="U139" s="158">
        <v>95235.570540540561</v>
      </c>
      <c r="V139" s="158">
        <v>66435.505135135143</v>
      </c>
      <c r="W139" s="158">
        <v>71817.671216216215</v>
      </c>
      <c r="X139" s="158">
        <v>77909.038648648653</v>
      </c>
      <c r="Y139" s="158">
        <v>76039.610000000015</v>
      </c>
      <c r="Z139" s="158">
        <v>83017.246891891889</v>
      </c>
      <c r="AA139" s="158">
        <v>97788.939054054033</v>
      </c>
      <c r="AB139" s="158">
        <v>100716.69608108109</v>
      </c>
      <c r="AC139" s="158">
        <v>60620.706621621626</v>
      </c>
      <c r="AD139" s="158">
        <v>65791.327972972969</v>
      </c>
      <c r="AE139" s="158">
        <v>67384.328513513508</v>
      </c>
      <c r="AF139" s="158">
        <v>68441.759459459456</v>
      </c>
      <c r="AG139" s="158">
        <v>70813.988918918913</v>
      </c>
      <c r="AH139" s="158">
        <v>80034.929999999993</v>
      </c>
      <c r="AI139" s="319">
        <v>75680.363945074118</v>
      </c>
      <c r="AJ139" s="320">
        <v>0.17129975883137716</v>
      </c>
    </row>
    <row r="140" spans="1:36" x14ac:dyDescent="0.3">
      <c r="B140" s="203" t="s">
        <v>57</v>
      </c>
      <c r="C140" s="240"/>
      <c r="D140" s="158">
        <v>33656.116941360997</v>
      </c>
      <c r="E140" s="158">
        <v>59686.468693291514</v>
      </c>
      <c r="F140" s="158">
        <v>58711.559712837836</v>
      </c>
      <c r="G140" s="158">
        <v>58839.028445945951</v>
      </c>
      <c r="H140" s="158">
        <v>60982.806381515446</v>
      </c>
      <c r="I140" s="158">
        <v>61858.128717422784</v>
      </c>
      <c r="J140" s="158">
        <v>51575.66097852317</v>
      </c>
      <c r="K140" s="158">
        <v>56701.234278474905</v>
      </c>
      <c r="L140" s="158">
        <v>57605.917512065636</v>
      </c>
      <c r="M140" s="158">
        <v>61577.438005550182</v>
      </c>
      <c r="N140" s="158">
        <v>58640.260154440148</v>
      </c>
      <c r="O140" s="158">
        <v>68436.549682673736</v>
      </c>
      <c r="P140" s="158">
        <v>73227.321708494215</v>
      </c>
      <c r="Q140" s="158">
        <v>51023.233935810807</v>
      </c>
      <c r="R140" s="158">
        <v>64623.597294884159</v>
      </c>
      <c r="S140" s="158">
        <v>67981.496738658287</v>
      </c>
      <c r="T140" s="158">
        <v>67756.304453426652</v>
      </c>
      <c r="U140" s="158">
        <v>68129.117726833982</v>
      </c>
      <c r="V140" s="158">
        <v>82579.69435328187</v>
      </c>
      <c r="W140" s="158">
        <v>86104.767290057935</v>
      </c>
      <c r="X140" s="158">
        <v>54908.009784025096</v>
      </c>
      <c r="Y140" s="158">
        <v>64694.263143098447</v>
      </c>
      <c r="Z140" s="158">
        <v>68642.409522200775</v>
      </c>
      <c r="AA140" s="158">
        <v>76101.53125241313</v>
      </c>
      <c r="AB140" s="158">
        <v>72255.067227316613</v>
      </c>
      <c r="AC140" s="158">
        <v>87091.800108590745</v>
      </c>
      <c r="AD140" s="158">
        <v>88778.279335183397</v>
      </c>
      <c r="AE140" s="158">
        <v>58176.199035955593</v>
      </c>
      <c r="AF140" s="158">
        <v>63073.101497345568</v>
      </c>
      <c r="AG140" s="158">
        <v>54951.444955357139</v>
      </c>
      <c r="AH140" s="158"/>
      <c r="AI140" s="319">
        <v>64612.293628901214</v>
      </c>
      <c r="AJ140" s="320">
        <v>0.39263580344961979</v>
      </c>
    </row>
    <row r="141" spans="1:36" x14ac:dyDescent="0.3">
      <c r="B141" s="203" t="s">
        <v>49</v>
      </c>
      <c r="C141" s="240"/>
      <c r="D141" s="158">
        <v>38972.550000000003</v>
      </c>
      <c r="E141" s="158">
        <v>39174.61</v>
      </c>
      <c r="F141" s="158">
        <v>34707.620000000003</v>
      </c>
      <c r="G141" s="158">
        <v>40887.170000000006</v>
      </c>
      <c r="H141" s="158">
        <v>44251.140000000007</v>
      </c>
      <c r="I141" s="158">
        <v>46034.819999999992</v>
      </c>
      <c r="J141" s="158">
        <v>39862.78</v>
      </c>
      <c r="K141" s="158">
        <v>41413.649999999994</v>
      </c>
      <c r="L141" s="158">
        <v>42345.120000000003</v>
      </c>
      <c r="M141" s="158">
        <v>33456.019999999997</v>
      </c>
      <c r="N141" s="158">
        <v>43313.859999999993</v>
      </c>
      <c r="O141" s="158">
        <v>43531.740000000005</v>
      </c>
      <c r="P141" s="158">
        <v>51145.510000000009</v>
      </c>
      <c r="Q141" s="158">
        <v>50218.990000000005</v>
      </c>
      <c r="R141" s="158">
        <v>46705.89</v>
      </c>
      <c r="S141" s="158">
        <v>47389.38</v>
      </c>
      <c r="T141" s="158">
        <v>38041.599999999999</v>
      </c>
      <c r="U141" s="158">
        <v>45036.49</v>
      </c>
      <c r="V141" s="158">
        <v>57478.16</v>
      </c>
      <c r="W141" s="158">
        <v>49952.299999999996</v>
      </c>
      <c r="X141" s="158">
        <v>46827.219999999994</v>
      </c>
      <c r="Y141" s="158">
        <v>53260.289999999994</v>
      </c>
      <c r="Z141" s="158">
        <v>59358.32</v>
      </c>
      <c r="AA141" s="158">
        <v>48776.539999999994</v>
      </c>
      <c r="AB141" s="158">
        <v>36573.770000000004</v>
      </c>
      <c r="AC141" s="158">
        <v>44737.770000000004</v>
      </c>
      <c r="AD141" s="158">
        <v>47850.439999999995</v>
      </c>
      <c r="AE141" s="158">
        <v>53364.35</v>
      </c>
      <c r="AF141" s="158">
        <v>57628.400000000009</v>
      </c>
      <c r="AG141" s="158">
        <v>63124.35</v>
      </c>
      <c r="AH141" s="158">
        <v>52845.420000000006</v>
      </c>
      <c r="AI141" s="319">
        <v>46395.686129032256</v>
      </c>
      <c r="AJ141" s="321"/>
    </row>
    <row r="143" spans="1:36" x14ac:dyDescent="0.3">
      <c r="D143" s="255"/>
    </row>
  </sheetData>
  <phoneticPr fontId="8" type="noConversion"/>
  <conditionalFormatting sqref="D13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4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4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29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29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9:AH139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9:AH13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:AH13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:AH135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:AH135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AH135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AH14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AH14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:AH132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2:AH132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2:AH13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AH13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8:AH13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:AH14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1:AH14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AH136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6:AH13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H13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H13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H13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0:AH141 D13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2:AH102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2:AH10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N102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N10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AH102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7:AH107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7:AH10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N107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N10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AH10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7:AH117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7:AH11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N117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:N117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AH11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:AH9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:AH9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N97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N9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H97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:Q87 S87:AH87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:Q87 S87:AH8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N8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:N8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Q87 S87:AH87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2:AH8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2:AH8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H82 M82:N8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2:H82 M82:N8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H82 M82:AH8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4:AH74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4:AH7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J74 L74:N74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4:J74 L74:N7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J74 L74:AH74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:AH6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:AH6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H69 M69:N6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9:H69 M69:N6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H69 M69:AH6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AH6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AH6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N6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4:N6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AH6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5:AH4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5:AH4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N4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N4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H4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0:AH4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0:AH4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N4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:N4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AH4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AH3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AH3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I35 M35:N3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I35 M35:N3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I35 M35:AH35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AH3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AH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N3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N3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H3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AH22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AH2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N2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AH22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H14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H1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4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N1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H1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41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2:AH11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2:AH1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L112 N11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L112 N11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L112 N112:AH11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G12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G12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G12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G12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G12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G12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4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N9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:N9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AH9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:AH5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:AH5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N5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N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AH5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4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AH12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AH12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41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H141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AG12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AG1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4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AH1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AH1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2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H14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:AG12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:AG12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G12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:AH8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2:AH14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:AH1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2:AH141 D120:AH1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U1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AH1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:L3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:L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L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L6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L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L6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2:L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2:L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L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'May-2022'!D123:AG123</xm:f>
              <xm:sqref>C123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'May-2022'!D124:AG124</xm:f>
              <xm:sqref>C124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'May-2022'!D127:AG127</xm:f>
              <xm:sqref>C127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'May-2022'!D130:AG130</xm:f>
              <xm:sqref>C130</xm:sqref>
            </x14:sparkline>
            <x14:sparkline>
              <xm:f>'May-2022'!D129:AG129</xm:f>
              <xm:sqref>C129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'May-2022'!D134:AG134</xm:f>
              <xm:sqref>C134</xm:sqref>
            </x14:sparkline>
            <x14:sparkline>
              <xm:f>'May-2022'!D133:AG133</xm:f>
              <xm:sqref>C133</xm:sqref>
            </x14:sparkline>
            <x14:sparkline>
              <xm:f>'May-2022'!D132:AG132</xm:f>
              <xm:sqref>C132</xm:sqref>
            </x14:sparkline>
            <x14:sparkline>
              <xm:f>'May-2022'!D131:AG131</xm:f>
              <xm:sqref>C131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'May-2022'!D92:AG92</xm:f>
              <xm:sqref>B92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'May-2022'!D59:AG59</xm:f>
              <xm:sqref>B59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'May-2022'!D64:AG64</xm:f>
              <xm:sqref>B64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'May-2022'!D69:AG69</xm:f>
              <xm:sqref>B69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'May-2022'!D121:AG121</xm:f>
              <xm:sqref>C121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'May-2022'!D82:AG82</xm:f>
              <xm:sqref>B82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'May-2022'!D87:AG87</xm:f>
              <xm:sqref>B87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'May-2022'!D120:AG120</xm:f>
              <xm:sqref>C120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'May-2022'!D135:AG135</xm:f>
              <xm:sqref>C135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'May-2022'!D138:AG138</xm:f>
              <xm:sqref>C138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'May-2022'!D139:AG139</xm:f>
              <xm:sqref>C139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'May-2022'!D140:AG140</xm:f>
              <xm:sqref>C140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'May-2022'!D141:AG141</xm:f>
              <xm:sqref>C141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'May-2022'!D137:AG137</xm:f>
              <xm:sqref>C137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'May-2022'!D136:AG136</xm:f>
              <xm:sqref>C136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'May-2022'!D117:AG117</xm:f>
              <xm:sqref>B117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'May-2022'!D107:AG107</xm:f>
              <xm:sqref>B107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'May-2022'!D102:AG102</xm:f>
              <xm:sqref>B102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'May-2022'!D45:AG45</xm:f>
              <xm:sqref>B45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'May-2022'!D40:AG40</xm:f>
              <xm:sqref>B40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'May-2022'!D35:AG35</xm:f>
              <xm:sqref>B35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'May-2022'!D30:AG30</xm:f>
              <xm:sqref>B30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'May-2022'!D22:AG22</xm:f>
              <xm:sqref>B22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'May-2022'!D14:AG14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'May-2022'!D97:AG97</xm:f>
              <xm:sqref>B97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'May-2022'!D112:AG112</xm:f>
              <xm:sqref>B112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'May-2022'!D128:AG128</xm:f>
              <xm:sqref>C128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'May-2022'!D126:AG126</xm:f>
              <xm:sqref>C126</xm:sqref>
            </x14:sparkline>
            <x14:sparkline>
              <xm:f>'May-2022'!D125:AG125</xm:f>
              <xm:sqref>C125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'May-2022'!D122:AG122</xm:f>
              <xm:sqref>C122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topLeftCell="A103" zoomScale="85" zoomScaleNormal="85" workbookViewId="0">
      <selection activeCell="B116" sqref="B116"/>
    </sheetView>
  </sheetViews>
  <sheetFormatPr defaultColWidth="8.88671875" defaultRowHeight="14.4" x14ac:dyDescent="0.3"/>
  <cols>
    <col min="35" max="35" width="10" bestFit="1" customWidth="1"/>
    <col min="36" max="36" width="13.33203125" bestFit="1" customWidth="1"/>
  </cols>
  <sheetData>
    <row r="1" spans="1:36" x14ac:dyDescent="0.3">
      <c r="A1" s="1">
        <v>31</v>
      </c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>
        <f>+AI14+AI20+AI27+AI33+AI39+AI45+AI53+AI62+AI67+AI73+AI79+AI85+AI91+AI97+AI103+AI109+AI115</f>
        <v>2371202.1000000006</v>
      </c>
      <c r="AJ1" s="6">
        <f>+AI1/$A$1</f>
        <v>76490.390322580657</v>
      </c>
    </row>
    <row r="2" spans="1:36" x14ac:dyDescent="0.3">
      <c r="A2" s="2"/>
      <c r="B2" s="2"/>
      <c r="C2" s="3"/>
      <c r="D2" s="4" t="s">
        <v>7</v>
      </c>
      <c r="E2" s="4" t="s">
        <v>8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</v>
      </c>
      <c r="U2" s="4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2</v>
      </c>
      <c r="AB2" s="4" t="s">
        <v>3</v>
      </c>
      <c r="AC2" s="4" t="s">
        <v>4</v>
      </c>
      <c r="AD2" s="4" t="s">
        <v>5</v>
      </c>
      <c r="AE2" s="4" t="s">
        <v>6</v>
      </c>
      <c r="AF2" s="4" t="s">
        <v>7</v>
      </c>
      <c r="AG2" s="4" t="s">
        <v>8</v>
      </c>
      <c r="AH2" s="4" t="s">
        <v>2</v>
      </c>
      <c r="AI2" s="4" t="s">
        <v>9</v>
      </c>
      <c r="AJ2" s="6">
        <f>+AJ1*31</f>
        <v>2371202.1000000006</v>
      </c>
    </row>
    <row r="3" spans="1:36" ht="15" thickBot="1" x14ac:dyDescent="0.35">
      <c r="A3" s="2"/>
      <c r="B3" s="2" t="s">
        <v>10</v>
      </c>
      <c r="C3" s="3" t="s">
        <v>11</v>
      </c>
      <c r="D3" s="7">
        <v>1</v>
      </c>
      <c r="E3" s="8">
        <f>+D3+1</f>
        <v>2</v>
      </c>
      <c r="F3" s="8">
        <f t="shared" ref="F3:AG3" si="0">+E3+1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8">
        <f t="shared" si="0"/>
        <v>8</v>
      </c>
      <c r="L3" s="8">
        <f t="shared" si="0"/>
        <v>9</v>
      </c>
      <c r="M3" s="8">
        <f t="shared" si="0"/>
        <v>10</v>
      </c>
      <c r="N3" s="8">
        <f t="shared" si="0"/>
        <v>11</v>
      </c>
      <c r="O3" s="8">
        <f t="shared" si="0"/>
        <v>12</v>
      </c>
      <c r="P3" s="8">
        <f t="shared" si="0"/>
        <v>13</v>
      </c>
      <c r="Q3" s="8">
        <f t="shared" si="0"/>
        <v>14</v>
      </c>
      <c r="R3" s="8">
        <f t="shared" si="0"/>
        <v>15</v>
      </c>
      <c r="S3" s="8">
        <f t="shared" si="0"/>
        <v>16</v>
      </c>
      <c r="T3" s="8">
        <f t="shared" si="0"/>
        <v>17</v>
      </c>
      <c r="U3" s="8">
        <f t="shared" si="0"/>
        <v>18</v>
      </c>
      <c r="V3" s="8">
        <f t="shared" si="0"/>
        <v>19</v>
      </c>
      <c r="W3" s="8">
        <f t="shared" si="0"/>
        <v>20</v>
      </c>
      <c r="X3" s="8">
        <f t="shared" si="0"/>
        <v>21</v>
      </c>
      <c r="Y3" s="8">
        <f t="shared" si="0"/>
        <v>22</v>
      </c>
      <c r="Z3" s="8">
        <f t="shared" si="0"/>
        <v>23</v>
      </c>
      <c r="AA3" s="8">
        <f t="shared" si="0"/>
        <v>24</v>
      </c>
      <c r="AB3" s="8">
        <f t="shared" si="0"/>
        <v>25</v>
      </c>
      <c r="AC3" s="8">
        <f t="shared" si="0"/>
        <v>26</v>
      </c>
      <c r="AD3" s="8">
        <f t="shared" si="0"/>
        <v>27</v>
      </c>
      <c r="AE3" s="8">
        <f t="shared" si="0"/>
        <v>28</v>
      </c>
      <c r="AF3" s="8">
        <f t="shared" si="0"/>
        <v>29</v>
      </c>
      <c r="AG3" s="8">
        <f t="shared" si="0"/>
        <v>30</v>
      </c>
      <c r="AH3" s="8">
        <v>31</v>
      </c>
      <c r="AI3" s="4" t="s">
        <v>12</v>
      </c>
      <c r="AJ3" s="6"/>
    </row>
    <row r="4" spans="1:36" ht="15" thickTop="1" x14ac:dyDescent="0.3">
      <c r="A4" s="2">
        <f>+A10+A16+A23+A29+A35+A41+A49+A58+A63+A69+A75+A81+A87+A93+A99+A105+A111</f>
        <v>1938</v>
      </c>
      <c r="B4" s="28" t="s">
        <v>14</v>
      </c>
      <c r="C4" s="29" t="s">
        <v>15</v>
      </c>
      <c r="D4" s="30">
        <f>+D10+D16+D23+D29+D35+D41+D49+D58+D63+D69+D75+D81+D87+D93+D99+D105+D111</f>
        <v>957</v>
      </c>
      <c r="E4" s="31">
        <f t="shared" ref="E4:AH4" si="1">+E10+E16+E23+E29+E35+E41+E49+E58+E63+E69+E75+E81+E87+E93+E99+E105+E111</f>
        <v>1017</v>
      </c>
      <c r="F4" s="31">
        <f t="shared" si="1"/>
        <v>661</v>
      </c>
      <c r="G4" s="31">
        <f t="shared" si="1"/>
        <v>807</v>
      </c>
      <c r="H4" s="31">
        <f t="shared" si="1"/>
        <v>903</v>
      </c>
      <c r="I4" s="31">
        <f t="shared" si="1"/>
        <v>949</v>
      </c>
      <c r="J4" s="31">
        <f t="shared" si="1"/>
        <v>898</v>
      </c>
      <c r="K4" s="31">
        <f t="shared" si="1"/>
        <v>996</v>
      </c>
      <c r="L4" s="31">
        <f t="shared" si="1"/>
        <v>985</v>
      </c>
      <c r="M4" s="31">
        <f t="shared" si="1"/>
        <v>756</v>
      </c>
      <c r="N4" s="31">
        <f t="shared" si="1"/>
        <v>861</v>
      </c>
      <c r="O4" s="31">
        <f t="shared" si="1"/>
        <v>933</v>
      </c>
      <c r="P4" s="31">
        <f t="shared" si="1"/>
        <v>1003</v>
      </c>
      <c r="Q4" s="31">
        <f t="shared" si="1"/>
        <v>1063</v>
      </c>
      <c r="R4" s="31">
        <f t="shared" si="1"/>
        <v>1204</v>
      </c>
      <c r="S4" s="31">
        <f t="shared" si="1"/>
        <v>1325</v>
      </c>
      <c r="T4" s="31">
        <f t="shared" si="1"/>
        <v>944</v>
      </c>
      <c r="U4" s="31">
        <f t="shared" si="1"/>
        <v>917</v>
      </c>
      <c r="V4" s="31">
        <f t="shared" si="1"/>
        <v>950</v>
      </c>
      <c r="W4" s="31">
        <f t="shared" si="1"/>
        <v>924</v>
      </c>
      <c r="X4" s="31">
        <f t="shared" si="1"/>
        <v>894</v>
      </c>
      <c r="Y4" s="31">
        <f t="shared" si="1"/>
        <v>969</v>
      </c>
      <c r="Z4" s="31">
        <f t="shared" si="1"/>
        <v>1076</v>
      </c>
      <c r="AA4" s="31">
        <f t="shared" si="1"/>
        <v>830</v>
      </c>
      <c r="AB4" s="31">
        <f t="shared" si="1"/>
        <v>945</v>
      </c>
      <c r="AC4" s="47">
        <f t="shared" si="1"/>
        <v>963.31999999999994</v>
      </c>
      <c r="AD4" s="31">
        <f t="shared" si="1"/>
        <v>1008</v>
      </c>
      <c r="AE4" s="31">
        <f t="shared" si="1"/>
        <v>1022</v>
      </c>
      <c r="AF4" s="31">
        <f t="shared" si="1"/>
        <v>1095</v>
      </c>
      <c r="AG4" s="31">
        <f t="shared" si="1"/>
        <v>1144</v>
      </c>
      <c r="AH4" s="31">
        <f t="shared" si="1"/>
        <v>834</v>
      </c>
      <c r="AI4" s="89">
        <f>SUM(D4:AG4)</f>
        <v>28999.32</v>
      </c>
      <c r="AJ4" s="6"/>
    </row>
    <row r="5" spans="1:36" x14ac:dyDescent="0.3">
      <c r="A5" s="2"/>
      <c r="B5" s="33"/>
      <c r="C5" s="34" t="s">
        <v>16</v>
      </c>
      <c r="D5" s="35">
        <f>+D4/$A$4</f>
        <v>0.4938080495356037</v>
      </c>
      <c r="E5" s="35">
        <f t="shared" ref="E5:AH5" si="2">+E4/$A$4</f>
        <v>0.52476780185758509</v>
      </c>
      <c r="F5" s="35">
        <f t="shared" si="2"/>
        <v>0.3410732714138287</v>
      </c>
      <c r="G5" s="35">
        <f t="shared" si="2"/>
        <v>0.41640866873065013</v>
      </c>
      <c r="H5" s="35">
        <f t="shared" si="2"/>
        <v>0.46594427244582043</v>
      </c>
      <c r="I5" s="35">
        <f t="shared" si="2"/>
        <v>0.48968008255933954</v>
      </c>
      <c r="J5" s="35">
        <f t="shared" si="2"/>
        <v>0.4633642930856553</v>
      </c>
      <c r="K5" s="35">
        <f t="shared" si="2"/>
        <v>0.51393188854489169</v>
      </c>
      <c r="L5" s="35">
        <f t="shared" si="2"/>
        <v>0.50825593395252833</v>
      </c>
      <c r="M5" s="35">
        <f t="shared" si="2"/>
        <v>0.39009287925696595</v>
      </c>
      <c r="N5" s="35">
        <f t="shared" si="2"/>
        <v>0.44427244582043346</v>
      </c>
      <c r="O5" s="35">
        <f t="shared" si="2"/>
        <v>0.48142414860681115</v>
      </c>
      <c r="P5" s="35">
        <f t="shared" si="2"/>
        <v>0.51754385964912286</v>
      </c>
      <c r="Q5" s="35">
        <f t="shared" si="2"/>
        <v>0.5485036119711042</v>
      </c>
      <c r="R5" s="35">
        <f t="shared" si="2"/>
        <v>0.62125902992776061</v>
      </c>
      <c r="S5" s="35">
        <f t="shared" si="2"/>
        <v>0.6836945304437565</v>
      </c>
      <c r="T5" s="35">
        <f t="shared" si="2"/>
        <v>0.48710010319917441</v>
      </c>
      <c r="U5" s="35">
        <f t="shared" si="2"/>
        <v>0.47316821465428277</v>
      </c>
      <c r="V5" s="35">
        <f t="shared" si="2"/>
        <v>0.49019607843137253</v>
      </c>
      <c r="W5" s="35">
        <f t="shared" si="2"/>
        <v>0.47678018575851394</v>
      </c>
      <c r="X5" s="35">
        <f t="shared" si="2"/>
        <v>0.46130030959752322</v>
      </c>
      <c r="Y5" s="35">
        <f t="shared" si="2"/>
        <v>0.5</v>
      </c>
      <c r="Z5" s="35">
        <f t="shared" si="2"/>
        <v>0.55521155830753355</v>
      </c>
      <c r="AA5" s="35">
        <f t="shared" si="2"/>
        <v>0.42827657378740969</v>
      </c>
      <c r="AB5" s="35">
        <f t="shared" si="2"/>
        <v>0.48761609907120745</v>
      </c>
      <c r="AC5" s="35">
        <f t="shared" si="2"/>
        <v>0.49706914344685238</v>
      </c>
      <c r="AD5" s="35">
        <f t="shared" si="2"/>
        <v>0.52012383900928794</v>
      </c>
      <c r="AE5" s="35">
        <f t="shared" si="2"/>
        <v>0.52734778121775028</v>
      </c>
      <c r="AF5" s="35">
        <f t="shared" si="2"/>
        <v>0.56501547987616096</v>
      </c>
      <c r="AG5" s="35">
        <f t="shared" si="2"/>
        <v>0.59029927760577916</v>
      </c>
      <c r="AH5" s="35">
        <f t="shared" si="2"/>
        <v>0.43034055727554177</v>
      </c>
      <c r="AI5" s="36">
        <f>AI4/(A4*A$1)</f>
        <v>0.48269449715370016</v>
      </c>
      <c r="AJ5" s="6"/>
    </row>
    <row r="6" spans="1:36" x14ac:dyDescent="0.3">
      <c r="A6" s="2"/>
      <c r="B6" s="33"/>
      <c r="C6" s="34" t="s">
        <v>17</v>
      </c>
      <c r="D6" s="37">
        <f>+IFERROR(D8/D4,0)</f>
        <v>82.347617554858942</v>
      </c>
      <c r="E6" s="37">
        <f t="shared" ref="E6:AH6" si="3">+IFERROR(E8/E4,0)</f>
        <v>78.948652900688302</v>
      </c>
      <c r="F6" s="37">
        <f t="shared" si="3"/>
        <v>79.573978819969739</v>
      </c>
      <c r="G6" s="37">
        <f t="shared" si="3"/>
        <v>79.701102850061943</v>
      </c>
      <c r="H6" s="37">
        <f t="shared" si="3"/>
        <v>80.918062015503864</v>
      </c>
      <c r="I6" s="37">
        <f t="shared" si="3"/>
        <v>81.021949420442581</v>
      </c>
      <c r="J6" s="37">
        <f t="shared" si="3"/>
        <v>78.6425723830735</v>
      </c>
      <c r="K6" s="37">
        <f t="shared" si="3"/>
        <v>78.902098393574292</v>
      </c>
      <c r="L6" s="37">
        <f t="shared" si="3"/>
        <v>80.223563451776641</v>
      </c>
      <c r="M6" s="37">
        <f t="shared" si="3"/>
        <v>81.258518518518528</v>
      </c>
      <c r="N6" s="37">
        <f t="shared" si="3"/>
        <v>83.996387921022063</v>
      </c>
      <c r="O6" s="37">
        <f t="shared" si="3"/>
        <v>81.768542336548748</v>
      </c>
      <c r="P6" s="37">
        <f t="shared" si="3"/>
        <v>81.384845463609167</v>
      </c>
      <c r="Q6" s="37">
        <f t="shared" si="3"/>
        <v>81.316707431796786</v>
      </c>
      <c r="R6" s="37">
        <f t="shared" si="3"/>
        <v>83.381611295681054</v>
      </c>
      <c r="S6" s="37">
        <f t="shared" si="3"/>
        <v>79.753516981132051</v>
      </c>
      <c r="T6" s="37">
        <f t="shared" si="3"/>
        <v>78.396207627118642</v>
      </c>
      <c r="U6" s="37">
        <f t="shared" si="3"/>
        <v>80.094263904034904</v>
      </c>
      <c r="V6" s="37">
        <f t="shared" si="3"/>
        <v>80.746336842105251</v>
      </c>
      <c r="W6" s="37">
        <f t="shared" si="3"/>
        <v>77.234393939393925</v>
      </c>
      <c r="X6" s="37">
        <f t="shared" si="3"/>
        <v>78.438489932885915</v>
      </c>
      <c r="Y6" s="37">
        <f t="shared" si="3"/>
        <v>79.591104231166156</v>
      </c>
      <c r="Z6" s="37">
        <f t="shared" si="3"/>
        <v>77.795762081784389</v>
      </c>
      <c r="AA6" s="37">
        <f t="shared" si="3"/>
        <v>77.635228915662651</v>
      </c>
      <c r="AB6" s="37">
        <f t="shared" si="3"/>
        <v>79.821132275132271</v>
      </c>
      <c r="AC6" s="37">
        <f t="shared" si="3"/>
        <v>81.595087821284721</v>
      </c>
      <c r="AD6" s="37">
        <f t="shared" si="3"/>
        <v>79.722212301587291</v>
      </c>
      <c r="AE6" s="37">
        <f t="shared" si="3"/>
        <v>77.801575342465753</v>
      </c>
      <c r="AF6" s="37">
        <f t="shared" si="3"/>
        <v>76.738812785388134</v>
      </c>
      <c r="AG6" s="37">
        <f t="shared" si="3"/>
        <v>75.864737762237752</v>
      </c>
      <c r="AH6" s="37">
        <f t="shared" si="3"/>
        <v>76.596558752997595</v>
      </c>
      <c r="AI6" s="38">
        <f>AI8/AI4</f>
        <v>81.998563759426062</v>
      </c>
      <c r="AJ6" s="6"/>
    </row>
    <row r="7" spans="1:36" x14ac:dyDescent="0.3">
      <c r="A7" s="2"/>
      <c r="B7" s="33"/>
      <c r="C7" s="34" t="s">
        <v>18</v>
      </c>
      <c r="D7" s="37">
        <f>+IFERROR(D6*D5,0)</f>
        <v>40.663916408668733</v>
      </c>
      <c r="E7" s="37">
        <f t="shared" ref="E7:AH7" si="4">+IFERROR(E6*E5,0)</f>
        <v>41.429711042311659</v>
      </c>
      <c r="F7" s="37">
        <f t="shared" si="4"/>
        <v>27.140557275541795</v>
      </c>
      <c r="G7" s="37">
        <f t="shared" si="4"/>
        <v>33.188230134158921</v>
      </c>
      <c r="H7" s="37">
        <f t="shared" si="4"/>
        <v>37.703307533539729</v>
      </c>
      <c r="I7" s="37">
        <f t="shared" si="4"/>
        <v>39.674834881320955</v>
      </c>
      <c r="J7" s="37">
        <f t="shared" si="4"/>
        <v>36.440159958720329</v>
      </c>
      <c r="K7" s="37">
        <f t="shared" si="4"/>
        <v>40.550304437564499</v>
      </c>
      <c r="L7" s="37">
        <f t="shared" si="4"/>
        <v>40.774102167182654</v>
      </c>
      <c r="M7" s="37">
        <f t="shared" si="4"/>
        <v>31.698369453044378</v>
      </c>
      <c r="N7" s="37">
        <f t="shared" si="4"/>
        <v>37.317280701754385</v>
      </c>
      <c r="O7" s="37">
        <f t="shared" si="4"/>
        <v>39.365350877192974</v>
      </c>
      <c r="P7" s="37">
        <f t="shared" si="4"/>
        <v>42.1202270381837</v>
      </c>
      <c r="Q7" s="37">
        <f t="shared" si="4"/>
        <v>44.602507739938069</v>
      </c>
      <c r="R7" s="37">
        <f t="shared" si="4"/>
        <v>51.801578947368419</v>
      </c>
      <c r="S7" s="37">
        <f t="shared" si="4"/>
        <v>54.52704334365324</v>
      </c>
      <c r="T7" s="37">
        <f t="shared" si="4"/>
        <v>38.186800825593394</v>
      </c>
      <c r="U7" s="37">
        <f t="shared" si="4"/>
        <v>37.898059855521161</v>
      </c>
      <c r="V7" s="37">
        <f t="shared" si="4"/>
        <v>39.581537667698647</v>
      </c>
      <c r="W7" s="37">
        <f t="shared" si="4"/>
        <v>36.82382868937048</v>
      </c>
      <c r="X7" s="37">
        <f t="shared" si="4"/>
        <v>36.183699690402477</v>
      </c>
      <c r="Y7" s="37">
        <f t="shared" si="4"/>
        <v>39.795552115583078</v>
      </c>
      <c r="Z7" s="37">
        <f t="shared" si="4"/>
        <v>43.19310629514964</v>
      </c>
      <c r="AA7" s="37">
        <f t="shared" si="4"/>
        <v>33.249349845201237</v>
      </c>
      <c r="AB7" s="37">
        <f t="shared" si="4"/>
        <v>38.922069143446855</v>
      </c>
      <c r="AC7" s="37">
        <f t="shared" si="4"/>
        <v>40.558400412796694</v>
      </c>
      <c r="AD7" s="37">
        <f t="shared" si="4"/>
        <v>41.465423116615064</v>
      </c>
      <c r="AE7" s="37">
        <f t="shared" si="4"/>
        <v>41.028488132094942</v>
      </c>
      <c r="AF7" s="37">
        <f t="shared" si="4"/>
        <v>43.358617131062957</v>
      </c>
      <c r="AG7" s="37">
        <f t="shared" si="4"/>
        <v>44.782899896800821</v>
      </c>
      <c r="AH7" s="37">
        <f t="shared" si="4"/>
        <v>32.962605779153762</v>
      </c>
      <c r="AI7" s="38">
        <f>AI6*AI5</f>
        <v>39.580255501181782</v>
      </c>
      <c r="AJ7" s="6"/>
    </row>
    <row r="8" spans="1:36" x14ac:dyDescent="0.3">
      <c r="A8" s="2"/>
      <c r="B8" s="33"/>
      <c r="C8" s="34" t="s">
        <v>19</v>
      </c>
      <c r="D8" s="20">
        <f>+IFERROR(D14+D20+D27+D33+D39+D45+D53+D62+D67+D73+D79+D85+D91+D97+D103+D109+D115,0)</f>
        <v>78806.670000000013</v>
      </c>
      <c r="E8" s="21">
        <f t="shared" ref="E8:AH8" si="5">+IFERROR(E14+E20+E27+E33+E39+E45+E53+E62+E67+E73+E79+E85+E91+E97+E103+E109+E115,0)</f>
        <v>80290.78</v>
      </c>
      <c r="F8" s="21">
        <f t="shared" si="5"/>
        <v>52598.400000000001</v>
      </c>
      <c r="G8" s="21">
        <f t="shared" si="5"/>
        <v>64318.789999999994</v>
      </c>
      <c r="H8" s="21">
        <f t="shared" si="5"/>
        <v>73069.009999999995</v>
      </c>
      <c r="I8" s="21">
        <f t="shared" si="5"/>
        <v>76889.830000000016</v>
      </c>
      <c r="J8" s="21">
        <f t="shared" si="5"/>
        <v>70621.03</v>
      </c>
      <c r="K8" s="21">
        <f t="shared" si="5"/>
        <v>78586.489999999991</v>
      </c>
      <c r="L8" s="21">
        <f t="shared" si="5"/>
        <v>79020.209999999992</v>
      </c>
      <c r="M8" s="21">
        <f t="shared" si="5"/>
        <v>61431.44</v>
      </c>
      <c r="N8" s="21">
        <f t="shared" si="5"/>
        <v>72320.89</v>
      </c>
      <c r="O8" s="21">
        <f t="shared" si="5"/>
        <v>76290.049999999988</v>
      </c>
      <c r="P8" s="21">
        <f t="shared" si="5"/>
        <v>81629</v>
      </c>
      <c r="Q8" s="21">
        <f t="shared" si="5"/>
        <v>86439.659999999989</v>
      </c>
      <c r="R8" s="21">
        <f t="shared" si="5"/>
        <v>100391.45999999999</v>
      </c>
      <c r="S8" s="21">
        <f t="shared" si="5"/>
        <v>105673.40999999997</v>
      </c>
      <c r="T8" s="21">
        <f t="shared" si="5"/>
        <v>74006.02</v>
      </c>
      <c r="U8" s="21">
        <f t="shared" si="5"/>
        <v>73446.44</v>
      </c>
      <c r="V8" s="21">
        <f t="shared" si="5"/>
        <v>76709.01999999999</v>
      </c>
      <c r="W8" s="21">
        <f t="shared" si="5"/>
        <v>71364.579999999987</v>
      </c>
      <c r="X8" s="21">
        <f t="shared" si="5"/>
        <v>70124.010000000009</v>
      </c>
      <c r="Y8" s="21">
        <f t="shared" si="5"/>
        <v>77123.78</v>
      </c>
      <c r="Z8" s="21">
        <f t="shared" si="5"/>
        <v>83708.240000000005</v>
      </c>
      <c r="AA8" s="21">
        <f t="shared" si="5"/>
        <v>64437.24</v>
      </c>
      <c r="AB8" s="21">
        <f t="shared" si="5"/>
        <v>75430.97</v>
      </c>
      <c r="AC8" s="21">
        <f t="shared" si="5"/>
        <v>78602.179999999993</v>
      </c>
      <c r="AD8" s="21">
        <f t="shared" si="5"/>
        <v>80359.989999999991</v>
      </c>
      <c r="AE8" s="21">
        <f t="shared" si="5"/>
        <v>79513.210000000006</v>
      </c>
      <c r="AF8" s="21">
        <f t="shared" si="5"/>
        <v>84029</v>
      </c>
      <c r="AG8" s="21">
        <f t="shared" si="5"/>
        <v>86789.26</v>
      </c>
      <c r="AH8" s="21">
        <f t="shared" si="5"/>
        <v>63881.529999999992</v>
      </c>
      <c r="AI8" s="39">
        <f>SUM(D8:AH8)</f>
        <v>2377902.5899999994</v>
      </c>
      <c r="AJ8" s="6"/>
    </row>
    <row r="9" spans="1:36" ht="15" thickBot="1" x14ac:dyDescent="0.35">
      <c r="A9" s="23"/>
      <c r="B9" s="48"/>
      <c r="C9" s="41" t="s">
        <v>20</v>
      </c>
      <c r="D9" s="49">
        <f>IFERROR(AVERAGE(D15,D21,D28,D34,D40,D46,D56,D68,D74,D80,D86,D92,D98,D104,D110,D116),0)</f>
        <v>0.4967274471791791</v>
      </c>
      <c r="E9" s="50">
        <f t="shared" ref="E9:AH9" si="6">IFERROR(AVERAGE(E15,E21,E28,E34,E40,E46,E56,E68,E74,E80,E86,E92,E98,E104,E110,E116),0)</f>
        <v>0.17519438927242287</v>
      </c>
      <c r="F9" s="50">
        <f t="shared" si="6"/>
        <v>0.25016236972283112</v>
      </c>
      <c r="G9" s="50">
        <f t="shared" si="6"/>
        <v>0.3150620174268346</v>
      </c>
      <c r="H9" s="50">
        <f t="shared" si="6"/>
        <v>0.25684359515944771</v>
      </c>
      <c r="I9" s="50">
        <f t="shared" si="6"/>
        <v>0.271913620036004</v>
      </c>
      <c r="J9" s="50">
        <f t="shared" si="6"/>
        <v>0.29348079854169207</v>
      </c>
      <c r="K9" s="50">
        <f t="shared" si="6"/>
        <v>0.2625695009219437</v>
      </c>
      <c r="L9" s="50">
        <f t="shared" si="6"/>
        <v>0.17051556983201419</v>
      </c>
      <c r="M9" s="50">
        <f t="shared" si="6"/>
        <v>0.23025628881425569</v>
      </c>
      <c r="N9" s="50">
        <f t="shared" si="6"/>
        <v>0.36504135199192561</v>
      </c>
      <c r="O9" s="50">
        <f t="shared" si="6"/>
        <v>0.28569840015560399</v>
      </c>
      <c r="P9" s="50">
        <f t="shared" si="6"/>
        <v>0.29083831070736077</v>
      </c>
      <c r="Q9" s="50">
        <f t="shared" si="6"/>
        <v>0.26462438559042034</v>
      </c>
      <c r="R9" s="50">
        <f t="shared" si="6"/>
        <v>0.21386101299168159</v>
      </c>
      <c r="S9" s="50">
        <f t="shared" si="6"/>
        <v>0.13699089079835922</v>
      </c>
      <c r="T9" s="50">
        <f t="shared" si="6"/>
        <v>0.21584758027453904</v>
      </c>
      <c r="U9" s="50">
        <f t="shared" si="6"/>
        <v>0.30730717049447875</v>
      </c>
      <c r="V9" s="50">
        <f t="shared" si="6"/>
        <v>0.25071703802780454</v>
      </c>
      <c r="W9" s="50">
        <f t="shared" si="6"/>
        <v>0.28860436175389093</v>
      </c>
      <c r="X9" s="50">
        <f t="shared" si="6"/>
        <v>0.33351743088394775</v>
      </c>
      <c r="Y9" s="50">
        <f t="shared" si="6"/>
        <v>0.24895670581369594</v>
      </c>
      <c r="Z9" s="50">
        <f t="shared" si="6"/>
        <v>0.14307214120030734</v>
      </c>
      <c r="AA9" s="50">
        <f t="shared" si="6"/>
        <v>0.22535841164502007</v>
      </c>
      <c r="AB9" s="50">
        <f t="shared" si="6"/>
        <v>0.27158238595319917</v>
      </c>
      <c r="AC9" s="50">
        <f t="shared" si="6"/>
        <v>0.25868815441892817</v>
      </c>
      <c r="AD9" s="50">
        <f>IFERROR(AVERAGE(AD15,AD21,AD28,AD34,AD40,AD46,AD56,AD68,AD74,AD80,AD86,AD92,AD98,AD104,AD110,AD116),0)</f>
        <v>0.26825528048735936</v>
      </c>
      <c r="AE9" s="50">
        <f>IFERROR(AVERAGE(AE15,AE21,AE28,AE34,AE40,AE46,AE56,AE68,AE74,AE80,AE86,AE92,AE98,AE104,AE110,AE116),0)</f>
        <v>0.28493027544907518</v>
      </c>
      <c r="AF9" s="50">
        <f t="shared" si="6"/>
        <v>0.2176722498400491</v>
      </c>
      <c r="AG9" s="50">
        <f t="shared" si="6"/>
        <v>0.13845855734014417</v>
      </c>
      <c r="AH9" s="50">
        <f t="shared" si="6"/>
        <v>0.22752398588409678</v>
      </c>
      <c r="AI9" s="51">
        <f>AVERAGE(D9:AH9)</f>
        <v>0.25678295737446821</v>
      </c>
      <c r="AJ9" s="6"/>
    </row>
    <row r="10" spans="1:36" ht="15" thickTop="1" x14ac:dyDescent="0.3">
      <c r="A10" s="2">
        <v>103</v>
      </c>
      <c r="B10" s="9" t="s">
        <v>21</v>
      </c>
      <c r="C10" s="10" t="s">
        <v>15</v>
      </c>
      <c r="D10" s="11">
        <v>64</v>
      </c>
      <c r="E10" s="12">
        <v>57</v>
      </c>
      <c r="F10" s="12">
        <v>47</v>
      </c>
      <c r="G10" s="12">
        <v>69</v>
      </c>
      <c r="H10" s="12">
        <v>78</v>
      </c>
      <c r="I10" s="12">
        <v>81</v>
      </c>
      <c r="J10" s="12">
        <v>64</v>
      </c>
      <c r="K10" s="12">
        <v>62</v>
      </c>
      <c r="L10" s="12">
        <v>66</v>
      </c>
      <c r="M10" s="12">
        <v>58</v>
      </c>
      <c r="N10" s="12">
        <v>70</v>
      </c>
      <c r="O10" s="12">
        <v>75</v>
      </c>
      <c r="P10" s="12">
        <v>75</v>
      </c>
      <c r="Q10" s="12">
        <v>74</v>
      </c>
      <c r="R10" s="12">
        <v>71</v>
      </c>
      <c r="S10" s="12">
        <v>95</v>
      </c>
      <c r="T10" s="12">
        <v>87</v>
      </c>
      <c r="U10" s="12">
        <v>74</v>
      </c>
      <c r="V10" s="12">
        <v>84</v>
      </c>
      <c r="W10" s="12">
        <v>80</v>
      </c>
      <c r="X10" s="12">
        <v>84</v>
      </c>
      <c r="Y10" s="12">
        <v>84</v>
      </c>
      <c r="Z10" s="12">
        <v>100</v>
      </c>
      <c r="AA10" s="12">
        <v>86</v>
      </c>
      <c r="AB10" s="12">
        <v>103</v>
      </c>
      <c r="AC10" s="12">
        <v>103</v>
      </c>
      <c r="AD10" s="12">
        <v>102</v>
      </c>
      <c r="AE10" s="12">
        <v>90</v>
      </c>
      <c r="AF10" s="12">
        <v>96</v>
      </c>
      <c r="AG10" s="12">
        <v>62</v>
      </c>
      <c r="AH10" s="12">
        <v>66</v>
      </c>
      <c r="AI10" s="13">
        <f>SUM(D10:AH10)</f>
        <v>2407</v>
      </c>
      <c r="AJ10" s="6"/>
    </row>
    <row r="11" spans="1:36" x14ac:dyDescent="0.3">
      <c r="A11" s="2"/>
      <c r="B11" s="14"/>
      <c r="C11" s="15" t="s">
        <v>16</v>
      </c>
      <c r="D11" s="16">
        <f>+D10/$A10</f>
        <v>0.62135922330097082</v>
      </c>
      <c r="E11" s="16">
        <f t="shared" ref="E11:AH11" si="7">+E10/$A10</f>
        <v>0.55339805825242716</v>
      </c>
      <c r="F11" s="16">
        <f t="shared" si="7"/>
        <v>0.4563106796116505</v>
      </c>
      <c r="G11" s="16">
        <f t="shared" si="7"/>
        <v>0.66990291262135926</v>
      </c>
      <c r="H11" s="16">
        <f t="shared" si="7"/>
        <v>0.75728155339805825</v>
      </c>
      <c r="I11" s="16">
        <f t="shared" si="7"/>
        <v>0.78640776699029125</v>
      </c>
      <c r="J11" s="16">
        <f t="shared" si="7"/>
        <v>0.62135922330097082</v>
      </c>
      <c r="K11" s="16">
        <f t="shared" si="7"/>
        <v>0.60194174757281549</v>
      </c>
      <c r="L11" s="16">
        <f t="shared" si="7"/>
        <v>0.64077669902912626</v>
      </c>
      <c r="M11" s="16">
        <f t="shared" si="7"/>
        <v>0.56310679611650483</v>
      </c>
      <c r="N11" s="16">
        <f t="shared" si="7"/>
        <v>0.67961165048543692</v>
      </c>
      <c r="O11" s="16">
        <f t="shared" si="7"/>
        <v>0.72815533980582525</v>
      </c>
      <c r="P11" s="16">
        <f t="shared" si="7"/>
        <v>0.72815533980582525</v>
      </c>
      <c r="Q11" s="16">
        <f t="shared" si="7"/>
        <v>0.71844660194174759</v>
      </c>
      <c r="R11" s="16">
        <f t="shared" si="7"/>
        <v>0.68932038834951459</v>
      </c>
      <c r="S11" s="16">
        <f t="shared" si="7"/>
        <v>0.92233009708737868</v>
      </c>
      <c r="T11" s="16">
        <f t="shared" si="7"/>
        <v>0.84466019417475724</v>
      </c>
      <c r="U11" s="16">
        <f t="shared" si="7"/>
        <v>0.71844660194174759</v>
      </c>
      <c r="V11" s="16">
        <f t="shared" si="7"/>
        <v>0.81553398058252424</v>
      </c>
      <c r="W11" s="16">
        <f t="shared" si="7"/>
        <v>0.77669902912621358</v>
      </c>
      <c r="X11" s="16">
        <f t="shared" si="7"/>
        <v>0.81553398058252424</v>
      </c>
      <c r="Y11" s="16">
        <f t="shared" si="7"/>
        <v>0.81553398058252424</v>
      </c>
      <c r="Z11" s="16">
        <f t="shared" si="7"/>
        <v>0.970873786407767</v>
      </c>
      <c r="AA11" s="16">
        <f t="shared" si="7"/>
        <v>0.83495145631067957</v>
      </c>
      <c r="AB11" s="16">
        <f t="shared" si="7"/>
        <v>1</v>
      </c>
      <c r="AC11" s="16">
        <f t="shared" si="7"/>
        <v>1</v>
      </c>
      <c r="AD11" s="16">
        <f t="shared" si="7"/>
        <v>0.99029126213592233</v>
      </c>
      <c r="AE11" s="16">
        <f t="shared" si="7"/>
        <v>0.87378640776699024</v>
      </c>
      <c r="AF11" s="16">
        <f t="shared" si="7"/>
        <v>0.93203883495145634</v>
      </c>
      <c r="AG11" s="16">
        <f t="shared" si="7"/>
        <v>0.60194174757281549</v>
      </c>
      <c r="AH11" s="16">
        <f t="shared" si="7"/>
        <v>0.64077669902912626</v>
      </c>
      <c r="AI11" s="17">
        <f>+AI10/(A10*A$1)</f>
        <v>0.7538365173817726</v>
      </c>
      <c r="AJ11" s="6"/>
    </row>
    <row r="12" spans="1:36" x14ac:dyDescent="0.3">
      <c r="A12" s="2"/>
      <c r="B12" s="14"/>
      <c r="C12" s="15" t="s">
        <v>17</v>
      </c>
      <c r="D12" s="18">
        <f t="shared" ref="D12:AH12" si="8">+IFERROR(D14/D10,0)</f>
        <v>95.444218750000005</v>
      </c>
      <c r="E12" s="18">
        <f t="shared" si="8"/>
        <v>97.18929824561404</v>
      </c>
      <c r="F12" s="18">
        <f t="shared" si="8"/>
        <v>104.20340425531916</v>
      </c>
      <c r="G12" s="18">
        <f t="shared" si="8"/>
        <v>100.65782608695653</v>
      </c>
      <c r="H12" s="18">
        <f t="shared" si="8"/>
        <v>99.082564102564092</v>
      </c>
      <c r="I12" s="18">
        <f t="shared" si="8"/>
        <v>99.066296296296301</v>
      </c>
      <c r="J12" s="18">
        <f t="shared" si="8"/>
        <v>99.623593749999998</v>
      </c>
      <c r="K12" s="18">
        <f t="shared" si="8"/>
        <v>89.77306451612904</v>
      </c>
      <c r="L12" s="18">
        <f t="shared" si="8"/>
        <v>92.578030303030303</v>
      </c>
      <c r="M12" s="18">
        <f t="shared" si="8"/>
        <v>104.71448275862068</v>
      </c>
      <c r="N12" s="18">
        <f t="shared" si="8"/>
        <v>107.41399999999999</v>
      </c>
      <c r="O12" s="18">
        <f t="shared" si="8"/>
        <v>105.67013333333334</v>
      </c>
      <c r="P12" s="18">
        <f t="shared" si="8"/>
        <v>105.15613333333333</v>
      </c>
      <c r="Q12" s="18">
        <f t="shared" si="8"/>
        <v>100.43094594594595</v>
      </c>
      <c r="R12" s="18">
        <f t="shared" si="8"/>
        <v>91.010140845070424</v>
      </c>
      <c r="S12" s="18">
        <f t="shared" si="8"/>
        <v>89.42263157894736</v>
      </c>
      <c r="T12" s="18">
        <f t="shared" si="8"/>
        <v>95.154827586206892</v>
      </c>
      <c r="U12" s="18">
        <f t="shared" si="8"/>
        <v>95.238108108108108</v>
      </c>
      <c r="V12" s="18">
        <f t="shared" si="8"/>
        <v>95.776666666666671</v>
      </c>
      <c r="W12" s="18">
        <f t="shared" si="8"/>
        <v>95.165125000000003</v>
      </c>
      <c r="X12" s="18">
        <f t="shared" si="8"/>
        <v>97.149642857142851</v>
      </c>
      <c r="Y12" s="18">
        <f t="shared" si="8"/>
        <v>94.703095238095244</v>
      </c>
      <c r="Z12" s="18">
        <f t="shared" si="8"/>
        <v>96.2273</v>
      </c>
      <c r="AA12" s="18">
        <f t="shared" si="8"/>
        <v>99.345697674418602</v>
      </c>
      <c r="AB12" s="18">
        <f t="shared" si="8"/>
        <v>97.534466019417465</v>
      </c>
      <c r="AC12" s="18">
        <f t="shared" si="8"/>
        <v>100.67747572815534</v>
      </c>
      <c r="AD12" s="18">
        <f t="shared" si="8"/>
        <v>100.25186274509804</v>
      </c>
      <c r="AE12" s="18">
        <f t="shared" si="8"/>
        <v>97.066555555555553</v>
      </c>
      <c r="AF12" s="18">
        <f t="shared" si="8"/>
        <v>92.181458333333339</v>
      </c>
      <c r="AG12" s="18">
        <f t="shared" si="8"/>
        <v>93.584838709677427</v>
      </c>
      <c r="AH12" s="18">
        <f t="shared" si="8"/>
        <v>97.970303030303029</v>
      </c>
      <c r="AI12" s="19">
        <f>+AI14/AI10</f>
        <v>97.569995845450777</v>
      </c>
      <c r="AJ12" s="6"/>
    </row>
    <row r="13" spans="1:36" x14ac:dyDescent="0.3">
      <c r="A13" s="2"/>
      <c r="B13" s="14"/>
      <c r="C13" s="15" t="s">
        <v>18</v>
      </c>
      <c r="D13" s="18">
        <f>+D11*D12</f>
        <v>59.305145631067958</v>
      </c>
      <c r="E13" s="18">
        <f t="shared" ref="E13:AH13" si="9">+E11*E12</f>
        <v>53.784368932038838</v>
      </c>
      <c r="F13" s="18">
        <f t="shared" si="9"/>
        <v>47.549126213592238</v>
      </c>
      <c r="G13" s="18">
        <f t="shared" si="9"/>
        <v>67.430970873786421</v>
      </c>
      <c r="H13" s="18">
        <f t="shared" si="9"/>
        <v>75.033398058252416</v>
      </c>
      <c r="I13" s="18">
        <f t="shared" si="9"/>
        <v>77.906504854368933</v>
      </c>
      <c r="J13" s="18">
        <f t="shared" si="9"/>
        <v>61.902038834951448</v>
      </c>
      <c r="K13" s="18">
        <f t="shared" si="9"/>
        <v>54.038155339805826</v>
      </c>
      <c r="L13" s="18">
        <f t="shared" si="9"/>
        <v>59.321844660194181</v>
      </c>
      <c r="M13" s="18">
        <f t="shared" si="9"/>
        <v>58.965436893203872</v>
      </c>
      <c r="N13" s="18">
        <f t="shared" si="9"/>
        <v>72.999805825242717</v>
      </c>
      <c r="O13" s="18">
        <f t="shared" si="9"/>
        <v>76.944271844660193</v>
      </c>
      <c r="P13" s="18">
        <f t="shared" si="9"/>
        <v>76.569999999999993</v>
      </c>
      <c r="Q13" s="18">
        <f t="shared" si="9"/>
        <v>72.154271844660201</v>
      </c>
      <c r="R13" s="18">
        <f t="shared" si="9"/>
        <v>62.735145631067965</v>
      </c>
      <c r="S13" s="18">
        <f t="shared" si="9"/>
        <v>82.477184466019409</v>
      </c>
      <c r="T13" s="18">
        <f t="shared" si="9"/>
        <v>80.373495145631054</v>
      </c>
      <c r="U13" s="18">
        <f t="shared" si="9"/>
        <v>68.423495145631065</v>
      </c>
      <c r="V13" s="18">
        <f t="shared" si="9"/>
        <v>78.109126213592234</v>
      </c>
      <c r="W13" s="18">
        <f t="shared" si="9"/>
        <v>73.914660194174758</v>
      </c>
      <c r="X13" s="18">
        <f t="shared" si="9"/>
        <v>79.228834951456307</v>
      </c>
      <c r="Y13" s="18">
        <f t="shared" si="9"/>
        <v>77.233592233009716</v>
      </c>
      <c r="Z13" s="18">
        <f t="shared" si="9"/>
        <v>93.424563106796114</v>
      </c>
      <c r="AA13" s="18">
        <f t="shared" si="9"/>
        <v>82.948834951456305</v>
      </c>
      <c r="AB13" s="18">
        <f t="shared" si="9"/>
        <v>97.534466019417465</v>
      </c>
      <c r="AC13" s="18">
        <f t="shared" si="9"/>
        <v>100.67747572815534</v>
      </c>
      <c r="AD13" s="18">
        <f t="shared" si="9"/>
        <v>99.278543689320387</v>
      </c>
      <c r="AE13" s="18">
        <f t="shared" si="9"/>
        <v>84.815436893203881</v>
      </c>
      <c r="AF13" s="18">
        <f t="shared" si="9"/>
        <v>85.916699029126221</v>
      </c>
      <c r="AG13" s="18">
        <f t="shared" si="9"/>
        <v>56.332621359223303</v>
      </c>
      <c r="AH13" s="18">
        <f t="shared" si="9"/>
        <v>62.777087378640779</v>
      </c>
      <c r="AI13" s="19">
        <f>+AI12*AI11</f>
        <v>73.551825869088631</v>
      </c>
      <c r="AJ13" s="6"/>
    </row>
    <row r="14" spans="1:36" x14ac:dyDescent="0.3">
      <c r="A14" s="2"/>
      <c r="B14" s="14"/>
      <c r="C14" s="15" t="s">
        <v>19</v>
      </c>
      <c r="D14" s="20">
        <v>6108.43</v>
      </c>
      <c r="E14" s="21">
        <v>5539.79</v>
      </c>
      <c r="F14" s="21">
        <v>4897.5600000000004</v>
      </c>
      <c r="G14" s="21">
        <v>6945.39</v>
      </c>
      <c r="H14" s="21">
        <v>7728.44</v>
      </c>
      <c r="I14" s="21">
        <v>8024.37</v>
      </c>
      <c r="J14" s="21">
        <v>6375.91</v>
      </c>
      <c r="K14" s="21">
        <v>5565.93</v>
      </c>
      <c r="L14" s="21">
        <v>6110.15</v>
      </c>
      <c r="M14" s="21">
        <v>6073.44</v>
      </c>
      <c r="N14" s="21">
        <v>7518.98</v>
      </c>
      <c r="O14" s="21">
        <v>7925.26</v>
      </c>
      <c r="P14" s="21">
        <v>7886.71</v>
      </c>
      <c r="Q14" s="21">
        <v>7431.89</v>
      </c>
      <c r="R14" s="21">
        <v>6461.72</v>
      </c>
      <c r="S14" s="21">
        <v>8495.15</v>
      </c>
      <c r="T14" s="21">
        <v>8278.4699999999993</v>
      </c>
      <c r="U14" s="21">
        <v>7047.62</v>
      </c>
      <c r="V14" s="21">
        <v>8045.24</v>
      </c>
      <c r="W14" s="21">
        <v>7613.21</v>
      </c>
      <c r="X14" s="21">
        <v>8160.57</v>
      </c>
      <c r="Y14" s="21">
        <v>7955.06</v>
      </c>
      <c r="Z14" s="21">
        <v>9622.73</v>
      </c>
      <c r="AA14" s="21">
        <v>8543.73</v>
      </c>
      <c r="AB14" s="21">
        <v>10046.049999999999</v>
      </c>
      <c r="AC14" s="21">
        <v>10369.780000000001</v>
      </c>
      <c r="AD14" s="21">
        <v>10225.69</v>
      </c>
      <c r="AE14" s="21">
        <v>8735.99</v>
      </c>
      <c r="AF14" s="21">
        <v>8849.42</v>
      </c>
      <c r="AG14" s="21">
        <v>5802.26</v>
      </c>
      <c r="AH14" s="21">
        <v>6466.04</v>
      </c>
      <c r="AI14" s="22">
        <f>SUM(D14:AH14)</f>
        <v>234850.98</v>
      </c>
      <c r="AJ14" s="6"/>
    </row>
    <row r="15" spans="1:36" ht="15" thickBot="1" x14ac:dyDescent="0.35">
      <c r="A15" s="23"/>
      <c r="B15" s="24"/>
      <c r="C15" s="15" t="s">
        <v>20</v>
      </c>
      <c r="D15" s="25">
        <f>2070.04/D14</f>
        <v>0.33888249517470115</v>
      </c>
      <c r="E15" s="26">
        <f>678.72/E14</f>
        <v>0.12251727953586689</v>
      </c>
      <c r="F15" s="26">
        <f>605.02/F14</f>
        <v>0.12353498476792524</v>
      </c>
      <c r="G15" s="26">
        <f>1389.21/G14</f>
        <v>0.20001900541222306</v>
      </c>
      <c r="H15" s="26">
        <f>917.83/H14</f>
        <v>0.11876006024501712</v>
      </c>
      <c r="I15" s="26">
        <f>907.43/I14</f>
        <v>0.11308426705149438</v>
      </c>
      <c r="J15" s="26">
        <f>1296.91/J14</f>
        <v>0.20340782727485177</v>
      </c>
      <c r="K15" s="26">
        <f>1275.13/K14</f>
        <v>0.22909558690102105</v>
      </c>
      <c r="L15" s="26">
        <f>675.78/L14</f>
        <v>0.11059957611515266</v>
      </c>
      <c r="M15" s="26">
        <f>659.87/M14</f>
        <v>0.10864847598724942</v>
      </c>
      <c r="N15" s="26">
        <f>1409.78/N14</f>
        <v>0.18749617634306781</v>
      </c>
      <c r="O15" s="26">
        <f>1050.83/O14</f>
        <v>0.13259249538816392</v>
      </c>
      <c r="P15" s="26">
        <f>994.98/P14</f>
        <v>0.12615907013190544</v>
      </c>
      <c r="Q15" s="26">
        <f>1323.58/Q14</f>
        <v>0.178094670400127</v>
      </c>
      <c r="R15" s="26">
        <f>1146.23/R14</f>
        <v>0.17738775434404461</v>
      </c>
      <c r="S15" s="26">
        <f>812.02/S14</f>
        <v>9.5586305127043081E-2</v>
      </c>
      <c r="T15" s="26">
        <f>696.92/T14</f>
        <v>8.4184637982622393E-2</v>
      </c>
      <c r="U15" s="26">
        <f>1137.03/U14</f>
        <v>0.16133531603576809</v>
      </c>
      <c r="V15" s="26">
        <f>1146.36/V14</f>
        <v>0.14248922344143866</v>
      </c>
      <c r="W15" s="26">
        <f>1066.95/W14</f>
        <v>0.14014456451352322</v>
      </c>
      <c r="X15" s="26">
        <f>1040.16/X14</f>
        <v>0.12746168466173322</v>
      </c>
      <c r="Y15" s="26">
        <f>1197.36/Y14</f>
        <v>0.1505155209388741</v>
      </c>
      <c r="Z15" s="26">
        <f>517.49/Z14</f>
        <v>5.3777878003435621E-2</v>
      </c>
      <c r="AA15" s="26">
        <f>524.77/AA14</f>
        <v>6.1421650731003904E-2</v>
      </c>
      <c r="AB15" s="26">
        <f>1391.21/AB14</f>
        <v>0.13848328447499267</v>
      </c>
      <c r="AC15" s="26">
        <f>1144.09/AC14</f>
        <v>0.1103292451720287</v>
      </c>
      <c r="AD15" s="26">
        <f>769.27/AD14</f>
        <v>7.5229153240514809E-2</v>
      </c>
      <c r="AE15" s="26">
        <f>1269.41/AE14</f>
        <v>0.14530808757793909</v>
      </c>
      <c r="AF15" s="26">
        <f>1359.23/AF14</f>
        <v>0.1535953768721566</v>
      </c>
      <c r="AG15" s="26">
        <f>797.12/AG14</f>
        <v>0.13738095156025409</v>
      </c>
      <c r="AH15" s="26">
        <f>740.29/AH14</f>
        <v>0.11448892985505811</v>
      </c>
      <c r="AI15" s="27">
        <f>AVERAGE(D15:AG15)</f>
        <v>0.14158408684687132</v>
      </c>
      <c r="AJ15" s="6"/>
    </row>
    <row r="16" spans="1:36" ht="15" thickTop="1" x14ac:dyDescent="0.3">
      <c r="A16" s="2">
        <v>118</v>
      </c>
      <c r="B16" s="28" t="s">
        <v>25</v>
      </c>
      <c r="C16" s="29" t="s">
        <v>15</v>
      </c>
      <c r="D16" s="30">
        <v>53</v>
      </c>
      <c r="E16" s="31">
        <v>48</v>
      </c>
      <c r="F16" s="31">
        <v>43</v>
      </c>
      <c r="G16" s="31">
        <v>54</v>
      </c>
      <c r="H16" s="31">
        <v>55</v>
      </c>
      <c r="I16" s="31">
        <v>60</v>
      </c>
      <c r="J16" s="31">
        <v>67</v>
      </c>
      <c r="K16" s="31">
        <v>72</v>
      </c>
      <c r="L16" s="31">
        <v>55</v>
      </c>
      <c r="M16" s="31">
        <v>48</v>
      </c>
      <c r="N16" s="31">
        <v>60</v>
      </c>
      <c r="O16" s="31">
        <v>59</v>
      </c>
      <c r="P16" s="31">
        <v>58</v>
      </c>
      <c r="Q16" s="31">
        <v>61</v>
      </c>
      <c r="R16" s="31">
        <v>58</v>
      </c>
      <c r="S16" s="31">
        <v>69</v>
      </c>
      <c r="T16" s="31">
        <v>62</v>
      </c>
      <c r="U16" s="31">
        <v>57</v>
      </c>
      <c r="V16" s="31">
        <v>68</v>
      </c>
      <c r="W16" s="31">
        <v>65</v>
      </c>
      <c r="X16" s="31">
        <v>60</v>
      </c>
      <c r="Y16" s="31">
        <v>70</v>
      </c>
      <c r="Z16" s="31">
        <v>74</v>
      </c>
      <c r="AA16" s="31">
        <v>70</v>
      </c>
      <c r="AB16" s="31">
        <v>72</v>
      </c>
      <c r="AC16" s="31">
        <v>80</v>
      </c>
      <c r="AD16" s="31">
        <v>80</v>
      </c>
      <c r="AE16" s="31">
        <v>82</v>
      </c>
      <c r="AF16" s="31">
        <v>77</v>
      </c>
      <c r="AG16" s="31">
        <v>76</v>
      </c>
      <c r="AH16" s="31">
        <v>62</v>
      </c>
      <c r="AI16" s="32">
        <f>SUM(D16:AH16)</f>
        <v>1975</v>
      </c>
      <c r="AJ16" s="6"/>
    </row>
    <row r="17" spans="1:36" x14ac:dyDescent="0.3">
      <c r="A17" s="2"/>
      <c r="B17" s="33"/>
      <c r="C17" s="34" t="s">
        <v>16</v>
      </c>
      <c r="D17" s="35">
        <f>+D16/$A16</f>
        <v>0.44915254237288138</v>
      </c>
      <c r="E17" s="35">
        <f t="shared" ref="E17:AH17" si="10">+E16/$A16</f>
        <v>0.40677966101694918</v>
      </c>
      <c r="F17" s="35">
        <f t="shared" si="10"/>
        <v>0.36440677966101692</v>
      </c>
      <c r="G17" s="35">
        <f t="shared" si="10"/>
        <v>0.4576271186440678</v>
      </c>
      <c r="H17" s="35">
        <f t="shared" si="10"/>
        <v>0.46610169491525422</v>
      </c>
      <c r="I17" s="35">
        <f t="shared" si="10"/>
        <v>0.50847457627118642</v>
      </c>
      <c r="J17" s="35">
        <f t="shared" si="10"/>
        <v>0.56779661016949157</v>
      </c>
      <c r="K17" s="35">
        <f t="shared" si="10"/>
        <v>0.61016949152542377</v>
      </c>
      <c r="L17" s="35">
        <f t="shared" si="10"/>
        <v>0.46610169491525422</v>
      </c>
      <c r="M17" s="35">
        <f t="shared" si="10"/>
        <v>0.40677966101694918</v>
      </c>
      <c r="N17" s="35">
        <f t="shared" si="10"/>
        <v>0.50847457627118642</v>
      </c>
      <c r="O17" s="35">
        <f t="shared" si="10"/>
        <v>0.5</v>
      </c>
      <c r="P17" s="35">
        <f t="shared" si="10"/>
        <v>0.49152542372881358</v>
      </c>
      <c r="Q17" s="35">
        <f t="shared" si="10"/>
        <v>0.51694915254237284</v>
      </c>
      <c r="R17" s="35">
        <f t="shared" si="10"/>
        <v>0.49152542372881358</v>
      </c>
      <c r="S17" s="35">
        <f t="shared" si="10"/>
        <v>0.5847457627118644</v>
      </c>
      <c r="T17" s="35">
        <f t="shared" si="10"/>
        <v>0.52542372881355937</v>
      </c>
      <c r="U17" s="35">
        <f t="shared" si="10"/>
        <v>0.48305084745762711</v>
      </c>
      <c r="V17" s="35">
        <f t="shared" si="10"/>
        <v>0.57627118644067798</v>
      </c>
      <c r="W17" s="35">
        <f t="shared" si="10"/>
        <v>0.55084745762711862</v>
      </c>
      <c r="X17" s="35">
        <f t="shared" si="10"/>
        <v>0.50847457627118642</v>
      </c>
      <c r="Y17" s="35">
        <f t="shared" si="10"/>
        <v>0.59322033898305082</v>
      </c>
      <c r="Z17" s="35">
        <f t="shared" si="10"/>
        <v>0.6271186440677966</v>
      </c>
      <c r="AA17" s="35">
        <f t="shared" si="10"/>
        <v>0.59322033898305082</v>
      </c>
      <c r="AB17" s="35">
        <f t="shared" si="10"/>
        <v>0.61016949152542377</v>
      </c>
      <c r="AC17" s="35">
        <f t="shared" si="10"/>
        <v>0.67796610169491522</v>
      </c>
      <c r="AD17" s="35">
        <f t="shared" si="10"/>
        <v>0.67796610169491522</v>
      </c>
      <c r="AE17" s="35">
        <f t="shared" si="10"/>
        <v>0.69491525423728817</v>
      </c>
      <c r="AF17" s="35">
        <f t="shared" si="10"/>
        <v>0.65254237288135597</v>
      </c>
      <c r="AG17" s="35">
        <f t="shared" si="10"/>
        <v>0.64406779661016944</v>
      </c>
      <c r="AH17" s="35">
        <f t="shared" si="10"/>
        <v>0.52542372881355937</v>
      </c>
      <c r="AI17" s="36">
        <f>+AI16/(A16*A$1)</f>
        <v>0.53991252050300709</v>
      </c>
      <c r="AJ17" s="6"/>
    </row>
    <row r="18" spans="1:36" x14ac:dyDescent="0.3">
      <c r="A18" s="2"/>
      <c r="B18" s="33"/>
      <c r="C18" s="34" t="s">
        <v>17</v>
      </c>
      <c r="D18" s="37">
        <f t="shared" ref="D18:AH18" si="11">+IFERROR(D20/D16,0)</f>
        <v>69.967924528301893</v>
      </c>
      <c r="E18" s="37">
        <f t="shared" si="11"/>
        <v>66.972291666666663</v>
      </c>
      <c r="F18" s="37">
        <f t="shared" si="11"/>
        <v>63.655348837209296</v>
      </c>
      <c r="G18" s="37">
        <f t="shared" si="11"/>
        <v>63.197037037037035</v>
      </c>
      <c r="H18" s="37">
        <f t="shared" si="11"/>
        <v>61.573818181818183</v>
      </c>
      <c r="I18" s="37">
        <f t="shared" si="11"/>
        <v>61.357333333333337</v>
      </c>
      <c r="J18" s="37">
        <f t="shared" si="11"/>
        <v>68.363432835820902</v>
      </c>
      <c r="K18" s="37">
        <f t="shared" si="11"/>
        <v>75.405138888888885</v>
      </c>
      <c r="L18" s="37">
        <f t="shared" si="11"/>
        <v>70.406545454545451</v>
      </c>
      <c r="M18" s="37">
        <f t="shared" si="11"/>
        <v>65.999166666666667</v>
      </c>
      <c r="N18" s="37">
        <f t="shared" si="11"/>
        <v>68.257499999999993</v>
      </c>
      <c r="O18" s="37">
        <f t="shared" si="11"/>
        <v>68.149322033898301</v>
      </c>
      <c r="P18" s="37">
        <f t="shared" si="11"/>
        <v>66.433275862068967</v>
      </c>
      <c r="Q18" s="37">
        <f t="shared" si="11"/>
        <v>78.337540983606559</v>
      </c>
      <c r="R18" s="37">
        <f t="shared" si="11"/>
        <v>69.290172413793101</v>
      </c>
      <c r="S18" s="37">
        <f t="shared" si="11"/>
        <v>72.201159420289855</v>
      </c>
      <c r="T18" s="37">
        <f t="shared" si="11"/>
        <v>70.268548387096772</v>
      </c>
      <c r="U18" s="37">
        <f t="shared" si="11"/>
        <v>69.803333333333327</v>
      </c>
      <c r="V18" s="37">
        <f t="shared" si="11"/>
        <v>75.289558823529404</v>
      </c>
      <c r="W18" s="37">
        <f t="shared" si="11"/>
        <v>76.130153846153846</v>
      </c>
      <c r="X18" s="37">
        <f t="shared" si="11"/>
        <v>70.741833333333332</v>
      </c>
      <c r="Y18" s="37">
        <f t="shared" si="11"/>
        <v>67.004285714285714</v>
      </c>
      <c r="Z18" s="37">
        <f t="shared" si="11"/>
        <v>65.809189189189198</v>
      </c>
      <c r="AA18" s="37">
        <f t="shared" si="11"/>
        <v>67.456428571428575</v>
      </c>
      <c r="AB18" s="37">
        <f t="shared" si="11"/>
        <v>74.239027777777778</v>
      </c>
      <c r="AC18" s="37">
        <f t="shared" si="11"/>
        <v>65.451374999999999</v>
      </c>
      <c r="AD18" s="37">
        <f t="shared" si="11"/>
        <v>68.160875000000004</v>
      </c>
      <c r="AE18" s="37">
        <f t="shared" si="11"/>
        <v>73.858902439024391</v>
      </c>
      <c r="AF18" s="37">
        <f t="shared" si="11"/>
        <v>71.906493506493504</v>
      </c>
      <c r="AG18" s="37">
        <f t="shared" si="11"/>
        <v>73.671710526315792</v>
      </c>
      <c r="AH18" s="37">
        <f t="shared" si="11"/>
        <v>71.457580645161286</v>
      </c>
      <c r="AI18" s="38">
        <f>+AI20/AI16</f>
        <v>69.63361518987341</v>
      </c>
      <c r="AJ18" s="6"/>
    </row>
    <row r="19" spans="1:36" x14ac:dyDescent="0.3">
      <c r="A19" s="2"/>
      <c r="B19" s="33"/>
      <c r="C19" s="34" t="s">
        <v>18</v>
      </c>
      <c r="D19" s="37">
        <f>+D17*D18</f>
        <v>31.426271186440683</v>
      </c>
      <c r="E19" s="37">
        <f t="shared" ref="E19:AH19" si="12">+E17*E18</f>
        <v>27.242966101694915</v>
      </c>
      <c r="F19" s="37">
        <f t="shared" si="12"/>
        <v>23.196440677966098</v>
      </c>
      <c r="G19" s="37">
        <f t="shared" si="12"/>
        <v>28.920677966101692</v>
      </c>
      <c r="H19" s="37">
        <f t="shared" si="12"/>
        <v>28.69966101694915</v>
      </c>
      <c r="I19" s="37">
        <f t="shared" si="12"/>
        <v>31.198644067796611</v>
      </c>
      <c r="J19" s="37">
        <f t="shared" si="12"/>
        <v>38.81652542372882</v>
      </c>
      <c r="K19" s="37">
        <f t="shared" si="12"/>
        <v>46.009915254237292</v>
      </c>
      <c r="L19" s="37">
        <f t="shared" si="12"/>
        <v>32.816610169491526</v>
      </c>
      <c r="M19" s="37">
        <f t="shared" si="12"/>
        <v>26.847118644067798</v>
      </c>
      <c r="N19" s="37">
        <f t="shared" si="12"/>
        <v>34.707203389830504</v>
      </c>
      <c r="O19" s="37">
        <f t="shared" si="12"/>
        <v>34.07466101694915</v>
      </c>
      <c r="P19" s="37">
        <f t="shared" si="12"/>
        <v>32.653644067796613</v>
      </c>
      <c r="Q19" s="37">
        <f t="shared" si="12"/>
        <v>40.496525423728812</v>
      </c>
      <c r="R19" s="37">
        <f t="shared" si="12"/>
        <v>34.057881355932203</v>
      </c>
      <c r="S19" s="37">
        <f t="shared" si="12"/>
        <v>42.219322033898308</v>
      </c>
      <c r="T19" s="37">
        <f t="shared" si="12"/>
        <v>36.920762711864406</v>
      </c>
      <c r="U19" s="37">
        <f t="shared" si="12"/>
        <v>33.718559322033897</v>
      </c>
      <c r="V19" s="37">
        <f t="shared" si="12"/>
        <v>43.387203389830503</v>
      </c>
      <c r="W19" s="37">
        <f t="shared" si="12"/>
        <v>41.936101694915251</v>
      </c>
      <c r="X19" s="37">
        <f t="shared" si="12"/>
        <v>35.970423728813557</v>
      </c>
      <c r="Y19" s="37">
        <f t="shared" si="12"/>
        <v>39.748305084745759</v>
      </c>
      <c r="Z19" s="37">
        <f t="shared" si="12"/>
        <v>41.270169491525429</v>
      </c>
      <c r="AA19" s="37">
        <f t="shared" si="12"/>
        <v>40.016525423728815</v>
      </c>
      <c r="AB19" s="37">
        <f t="shared" si="12"/>
        <v>45.298389830508476</v>
      </c>
      <c r="AC19" s="37">
        <f t="shared" si="12"/>
        <v>44.373813559322031</v>
      </c>
      <c r="AD19" s="37">
        <f t="shared" si="12"/>
        <v>46.210762711864405</v>
      </c>
      <c r="AE19" s="37">
        <f t="shared" si="12"/>
        <v>51.325677966101701</v>
      </c>
      <c r="AF19" s="37">
        <f t="shared" si="12"/>
        <v>46.922033898305088</v>
      </c>
      <c r="AG19" s="37">
        <f t="shared" si="12"/>
        <v>47.449576271186437</v>
      </c>
      <c r="AH19" s="37">
        <f t="shared" si="12"/>
        <v>37.545508474576273</v>
      </c>
      <c r="AI19" s="38">
        <f>+AI18*AI17</f>
        <v>37.596060688901034</v>
      </c>
      <c r="AJ19" s="6"/>
    </row>
    <row r="20" spans="1:36" x14ac:dyDescent="0.3">
      <c r="A20" s="2"/>
      <c r="B20" s="33"/>
      <c r="C20" s="34" t="s">
        <v>19</v>
      </c>
      <c r="D20" s="20">
        <v>3708.3</v>
      </c>
      <c r="E20" s="21">
        <v>3214.67</v>
      </c>
      <c r="F20" s="21">
        <v>2737.18</v>
      </c>
      <c r="G20" s="21">
        <v>3412.64</v>
      </c>
      <c r="H20" s="21">
        <v>3386.56</v>
      </c>
      <c r="I20" s="21">
        <v>3681.44</v>
      </c>
      <c r="J20" s="21">
        <v>4580.3500000000004</v>
      </c>
      <c r="K20" s="21">
        <v>5429.17</v>
      </c>
      <c r="L20" s="21">
        <v>3872.36</v>
      </c>
      <c r="M20" s="21">
        <v>3167.96</v>
      </c>
      <c r="N20" s="21">
        <v>4095.45</v>
      </c>
      <c r="O20" s="21">
        <v>4020.81</v>
      </c>
      <c r="P20" s="21">
        <v>3853.13</v>
      </c>
      <c r="Q20" s="21">
        <v>4778.59</v>
      </c>
      <c r="R20" s="21">
        <v>4018.83</v>
      </c>
      <c r="S20" s="21">
        <v>4981.88</v>
      </c>
      <c r="T20" s="21">
        <v>4356.6499999999996</v>
      </c>
      <c r="U20" s="21">
        <v>3978.79</v>
      </c>
      <c r="V20" s="21">
        <v>5119.6899999999996</v>
      </c>
      <c r="W20" s="21">
        <v>4948.46</v>
      </c>
      <c r="X20" s="21">
        <v>4244.51</v>
      </c>
      <c r="Y20" s="21">
        <v>4690.3</v>
      </c>
      <c r="Z20" s="21">
        <v>4869.88</v>
      </c>
      <c r="AA20" s="21">
        <v>4721.95</v>
      </c>
      <c r="AB20" s="21">
        <v>5345.21</v>
      </c>
      <c r="AC20" s="21">
        <v>5236.1099999999997</v>
      </c>
      <c r="AD20" s="21">
        <v>5452.87</v>
      </c>
      <c r="AE20" s="21">
        <v>6056.43</v>
      </c>
      <c r="AF20" s="21">
        <v>5536.8</v>
      </c>
      <c r="AG20" s="21">
        <v>5599.05</v>
      </c>
      <c r="AH20" s="21">
        <v>4430.37</v>
      </c>
      <c r="AI20" s="39">
        <f>SUM(D20:AH20)</f>
        <v>137526.38999999998</v>
      </c>
      <c r="AJ20" s="6"/>
    </row>
    <row r="21" spans="1:36" x14ac:dyDescent="0.3">
      <c r="A21" s="23"/>
      <c r="B21" s="40"/>
      <c r="C21" s="41" t="s">
        <v>20</v>
      </c>
      <c r="D21" s="42">
        <f>2172.43/D20</f>
        <v>0.58582908610414464</v>
      </c>
      <c r="E21" s="43">
        <f>811.55/E20</f>
        <v>0.25245204017830752</v>
      </c>
      <c r="F21" s="43">
        <f>788.5/F20</f>
        <v>0.28807020364024288</v>
      </c>
      <c r="G21" s="43">
        <f>715.15/G20</f>
        <v>0.20955916826855456</v>
      </c>
      <c r="H21" s="43">
        <f>1182.68/H20</f>
        <v>0.34922753472550316</v>
      </c>
      <c r="I21" s="43">
        <f>630.22/I20</f>
        <v>0.17118844799860924</v>
      </c>
      <c r="J21" s="43">
        <f>1154.23/J20</f>
        <v>0.25199602650452474</v>
      </c>
      <c r="K21" s="43">
        <f>899.75/K20</f>
        <v>0.16572514767450641</v>
      </c>
      <c r="L21" s="43">
        <f>990.19/L20</f>
        <v>0.25570711400799512</v>
      </c>
      <c r="M21" s="43">
        <f>879.04/M20</f>
        <v>0.27747825098801754</v>
      </c>
      <c r="N21" s="43">
        <f>985/N20</f>
        <v>0.24051081077781442</v>
      </c>
      <c r="O21" s="43">
        <f>1267.86/O20</f>
        <v>0.31532452416304174</v>
      </c>
      <c r="P21" s="43">
        <f>922.22/P20</f>
        <v>0.23934307952236233</v>
      </c>
      <c r="Q21" s="43">
        <f>1370.53/Q20</f>
        <v>0.28680635919800607</v>
      </c>
      <c r="R21" s="43">
        <f>1030.99/R20</f>
        <v>0.2565398387092761</v>
      </c>
      <c r="S21" s="43">
        <f>954.03/S20</f>
        <v>0.19149999598545125</v>
      </c>
      <c r="T21" s="43">
        <f>749.85/T20</f>
        <v>0.17211619019200536</v>
      </c>
      <c r="U21" s="43">
        <f>931.16/U20</f>
        <v>0.23403094910764327</v>
      </c>
      <c r="V21" s="43">
        <f>1111.57/V20</f>
        <v>0.21711666136035582</v>
      </c>
      <c r="W21" s="43">
        <f>627.93/W20</f>
        <v>0.12689402359521951</v>
      </c>
      <c r="X21" s="43">
        <f>1239.43/X20</f>
        <v>0.29200779359690515</v>
      </c>
      <c r="Y21" s="43">
        <f>913.7/Y20</f>
        <v>0.19480630236871843</v>
      </c>
      <c r="Z21" s="43">
        <f>1093.32/Z20</f>
        <v>0.22450655868317082</v>
      </c>
      <c r="AA21" s="43">
        <f>891.89/AA20</f>
        <v>0.18888171200457438</v>
      </c>
      <c r="AB21" s="43">
        <f>991.38/AB20</f>
        <v>0.18547072986842425</v>
      </c>
      <c r="AC21" s="43">
        <f>1219.01/AC20</f>
        <v>0.23280832526436612</v>
      </c>
      <c r="AD21" s="43">
        <f>1072.97/AD20</f>
        <v>0.19677160834569687</v>
      </c>
      <c r="AE21" s="43">
        <f>1357.14/AE20</f>
        <v>0.22408250404941527</v>
      </c>
      <c r="AF21" s="43">
        <f>1014.53/AF20</f>
        <v>0.18323399797717091</v>
      </c>
      <c r="AG21" s="43">
        <f>1037.77/AG20</f>
        <v>0.18534751431046337</v>
      </c>
      <c r="AH21" s="43">
        <f>1021.44/AH20</f>
        <v>0.23055410721903591</v>
      </c>
      <c r="AI21" s="44">
        <f>SUM(D21:AG21)/A1</f>
        <v>0.23210749997324148</v>
      </c>
      <c r="AJ21" s="6"/>
    </row>
    <row r="22" spans="1:36" ht="15" thickBot="1" x14ac:dyDescent="0.35">
      <c r="A22" s="23"/>
      <c r="B22" s="344" t="s">
        <v>80</v>
      </c>
      <c r="C22" s="345"/>
      <c r="D22" s="42">
        <f t="shared" ref="D22:AH22" si="13">D21</f>
        <v>0.58582908610414464</v>
      </c>
      <c r="E22" s="43">
        <f t="shared" si="13"/>
        <v>0.25245204017830752</v>
      </c>
      <c r="F22" s="43">
        <f t="shared" si="13"/>
        <v>0.28807020364024288</v>
      </c>
      <c r="G22" s="43">
        <f t="shared" si="13"/>
        <v>0.20955916826855456</v>
      </c>
      <c r="H22" s="43">
        <f t="shared" si="13"/>
        <v>0.34922753472550316</v>
      </c>
      <c r="I22" s="43">
        <f t="shared" si="13"/>
        <v>0.17118844799860924</v>
      </c>
      <c r="J22" s="43">
        <f t="shared" si="13"/>
        <v>0.25199602650452474</v>
      </c>
      <c r="K22" s="43">
        <f t="shared" si="13"/>
        <v>0.16572514767450641</v>
      </c>
      <c r="L22" s="43">
        <f t="shared" si="13"/>
        <v>0.25570711400799512</v>
      </c>
      <c r="M22" s="43">
        <f t="shared" si="13"/>
        <v>0.27747825098801754</v>
      </c>
      <c r="N22" s="43">
        <f t="shared" si="13"/>
        <v>0.24051081077781442</v>
      </c>
      <c r="O22" s="43">
        <f t="shared" si="13"/>
        <v>0.31532452416304174</v>
      </c>
      <c r="P22" s="43">
        <f t="shared" si="13"/>
        <v>0.23934307952236233</v>
      </c>
      <c r="Q22" s="43">
        <f t="shared" si="13"/>
        <v>0.28680635919800607</v>
      </c>
      <c r="R22" s="43">
        <f t="shared" si="13"/>
        <v>0.2565398387092761</v>
      </c>
      <c r="S22" s="43">
        <f t="shared" si="13"/>
        <v>0.19149999598545125</v>
      </c>
      <c r="T22" s="43">
        <f t="shared" si="13"/>
        <v>0.17211619019200536</v>
      </c>
      <c r="U22" s="43">
        <f t="shared" si="13"/>
        <v>0.23403094910764327</v>
      </c>
      <c r="V22" s="43">
        <f t="shared" si="13"/>
        <v>0.21711666136035582</v>
      </c>
      <c r="W22" s="43">
        <f t="shared" si="13"/>
        <v>0.12689402359521951</v>
      </c>
      <c r="X22" s="43">
        <f t="shared" si="13"/>
        <v>0.29200779359690515</v>
      </c>
      <c r="Y22" s="43">
        <f t="shared" si="13"/>
        <v>0.19480630236871843</v>
      </c>
      <c r="Z22" s="43">
        <f t="shared" si="13"/>
        <v>0.22450655868317082</v>
      </c>
      <c r="AA22" s="43">
        <f t="shared" si="13"/>
        <v>0.18888171200457438</v>
      </c>
      <c r="AB22" s="43">
        <f t="shared" si="13"/>
        <v>0.18547072986842425</v>
      </c>
      <c r="AC22" s="43">
        <f t="shared" si="13"/>
        <v>0.23280832526436612</v>
      </c>
      <c r="AD22" s="43">
        <f t="shared" si="13"/>
        <v>0.19677160834569687</v>
      </c>
      <c r="AE22" s="43">
        <f t="shared" si="13"/>
        <v>0.22408250404941527</v>
      </c>
      <c r="AF22" s="43">
        <f t="shared" si="13"/>
        <v>0.18323399797717091</v>
      </c>
      <c r="AG22" s="43">
        <f t="shared" si="13"/>
        <v>0.18534751431046337</v>
      </c>
      <c r="AH22" s="43">
        <f t="shared" si="13"/>
        <v>0.23055410721903591</v>
      </c>
      <c r="AI22" s="44">
        <f>AVERAGE(D22:AH22)</f>
        <v>0.23954472923837167</v>
      </c>
      <c r="AJ22" s="6"/>
    </row>
    <row r="23" spans="1:36" ht="15" thickTop="1" x14ac:dyDescent="0.3">
      <c r="A23" s="2">
        <v>99</v>
      </c>
      <c r="B23" s="45" t="s">
        <v>26</v>
      </c>
      <c r="C23" s="46" t="s">
        <v>15</v>
      </c>
      <c r="D23" s="11">
        <v>72</v>
      </c>
      <c r="E23" s="12">
        <v>74</v>
      </c>
      <c r="F23" s="12">
        <v>63</v>
      </c>
      <c r="G23" s="12">
        <v>70</v>
      </c>
      <c r="H23" s="12">
        <v>72</v>
      </c>
      <c r="I23" s="12">
        <v>88</v>
      </c>
      <c r="J23" s="12">
        <v>78</v>
      </c>
      <c r="K23" s="12">
        <v>77</v>
      </c>
      <c r="L23" s="12">
        <v>86</v>
      </c>
      <c r="M23" s="12">
        <v>70</v>
      </c>
      <c r="N23" s="12">
        <v>79</v>
      </c>
      <c r="O23" s="12">
        <v>81</v>
      </c>
      <c r="P23" s="12">
        <v>88</v>
      </c>
      <c r="Q23" s="12">
        <f>96</f>
        <v>96</v>
      </c>
      <c r="R23" s="12">
        <v>97</v>
      </c>
      <c r="S23" s="12">
        <v>86</v>
      </c>
      <c r="T23" s="12">
        <v>81</v>
      </c>
      <c r="U23" s="12">
        <v>81</v>
      </c>
      <c r="V23" s="12">
        <v>83</v>
      </c>
      <c r="W23" s="12">
        <v>77</v>
      </c>
      <c r="X23" s="12">
        <v>69</v>
      </c>
      <c r="Y23" s="12">
        <v>79</v>
      </c>
      <c r="Z23" s="12">
        <v>90</v>
      </c>
      <c r="AA23" s="12">
        <v>74</v>
      </c>
      <c r="AB23" s="12">
        <v>80</v>
      </c>
      <c r="AC23" s="12">
        <v>73</v>
      </c>
      <c r="AD23" s="12">
        <v>81</v>
      </c>
      <c r="AE23" s="12">
        <v>82</v>
      </c>
      <c r="AF23" s="12">
        <v>76</v>
      </c>
      <c r="AG23" s="12">
        <v>77</v>
      </c>
      <c r="AH23" s="12">
        <v>60</v>
      </c>
      <c r="AI23" s="13">
        <f>SUM(D23:AH23)</f>
        <v>2440</v>
      </c>
      <c r="AJ23" s="6"/>
    </row>
    <row r="24" spans="1:36" x14ac:dyDescent="0.3">
      <c r="A24" s="2"/>
      <c r="B24" s="14"/>
      <c r="C24" s="15" t="s">
        <v>16</v>
      </c>
      <c r="D24" s="16">
        <f t="shared" ref="D24:AH24" si="14">+D23/$A23</f>
        <v>0.72727272727272729</v>
      </c>
      <c r="E24" s="16">
        <f t="shared" si="14"/>
        <v>0.74747474747474751</v>
      </c>
      <c r="F24" s="16">
        <f t="shared" si="14"/>
        <v>0.63636363636363635</v>
      </c>
      <c r="G24" s="16">
        <f t="shared" si="14"/>
        <v>0.70707070707070707</v>
      </c>
      <c r="H24" s="16">
        <f t="shared" si="14"/>
        <v>0.72727272727272729</v>
      </c>
      <c r="I24" s="16">
        <f t="shared" si="14"/>
        <v>0.88888888888888884</v>
      </c>
      <c r="J24" s="16">
        <f t="shared" si="14"/>
        <v>0.78787878787878785</v>
      </c>
      <c r="K24" s="16">
        <f t="shared" si="14"/>
        <v>0.77777777777777779</v>
      </c>
      <c r="L24" s="16">
        <f t="shared" si="14"/>
        <v>0.86868686868686873</v>
      </c>
      <c r="M24" s="16">
        <f t="shared" si="14"/>
        <v>0.70707070707070707</v>
      </c>
      <c r="N24" s="16">
        <f t="shared" si="14"/>
        <v>0.79797979797979801</v>
      </c>
      <c r="O24" s="16">
        <f t="shared" si="14"/>
        <v>0.81818181818181823</v>
      </c>
      <c r="P24" s="16">
        <f t="shared" si="14"/>
        <v>0.88888888888888884</v>
      </c>
      <c r="Q24" s="16">
        <f t="shared" si="14"/>
        <v>0.96969696969696972</v>
      </c>
      <c r="R24" s="16">
        <f t="shared" si="14"/>
        <v>0.97979797979797978</v>
      </c>
      <c r="S24" s="16">
        <f t="shared" si="14"/>
        <v>0.86868686868686873</v>
      </c>
      <c r="T24" s="16">
        <f t="shared" si="14"/>
        <v>0.81818181818181823</v>
      </c>
      <c r="U24" s="16">
        <f t="shared" si="14"/>
        <v>0.81818181818181823</v>
      </c>
      <c r="V24" s="16">
        <f t="shared" si="14"/>
        <v>0.83838383838383834</v>
      </c>
      <c r="W24" s="16">
        <f t="shared" si="14"/>
        <v>0.77777777777777779</v>
      </c>
      <c r="X24" s="16">
        <f t="shared" si="14"/>
        <v>0.69696969696969702</v>
      </c>
      <c r="Y24" s="16">
        <f t="shared" si="14"/>
        <v>0.79797979797979801</v>
      </c>
      <c r="Z24" s="16">
        <f t="shared" si="14"/>
        <v>0.90909090909090906</v>
      </c>
      <c r="AA24" s="16">
        <f t="shared" si="14"/>
        <v>0.74747474747474751</v>
      </c>
      <c r="AB24" s="16">
        <f t="shared" si="14"/>
        <v>0.80808080808080807</v>
      </c>
      <c r="AC24" s="16">
        <f t="shared" si="14"/>
        <v>0.73737373737373735</v>
      </c>
      <c r="AD24" s="16">
        <f t="shared" si="14"/>
        <v>0.81818181818181823</v>
      </c>
      <c r="AE24" s="16">
        <f t="shared" si="14"/>
        <v>0.82828282828282829</v>
      </c>
      <c r="AF24" s="16">
        <f t="shared" si="14"/>
        <v>0.76767676767676762</v>
      </c>
      <c r="AG24" s="16">
        <f t="shared" si="14"/>
        <v>0.77777777777777779</v>
      </c>
      <c r="AH24" s="16">
        <f t="shared" si="14"/>
        <v>0.60606060606060608</v>
      </c>
      <c r="AI24" s="17">
        <f>+AI23/(A23*A$1)</f>
        <v>0.79504724666014992</v>
      </c>
      <c r="AJ24" s="6"/>
    </row>
    <row r="25" spans="1:36" x14ac:dyDescent="0.3">
      <c r="A25" s="2"/>
      <c r="B25" s="14"/>
      <c r="C25" s="15" t="s">
        <v>17</v>
      </c>
      <c r="D25" s="18">
        <f t="shared" ref="D25:AH25" si="15">+IFERROR(D27/D23,0)</f>
        <v>88.982083333333335</v>
      </c>
      <c r="E25" s="18">
        <f t="shared" si="15"/>
        <v>90.194594594594591</v>
      </c>
      <c r="F25" s="18">
        <f t="shared" si="15"/>
        <v>86.493650793650801</v>
      </c>
      <c r="G25" s="18">
        <f t="shared" si="15"/>
        <v>87.046428571428578</v>
      </c>
      <c r="H25" s="18">
        <f t="shared" si="15"/>
        <v>84.829166666666666</v>
      </c>
      <c r="I25" s="18">
        <f t="shared" si="15"/>
        <v>88.095113636363635</v>
      </c>
      <c r="J25" s="18">
        <f t="shared" si="15"/>
        <v>86.128717948717949</v>
      </c>
      <c r="K25" s="18">
        <f t="shared" si="15"/>
        <v>84.470779220779221</v>
      </c>
      <c r="L25" s="18">
        <f t="shared" si="15"/>
        <v>88.477906976744194</v>
      </c>
      <c r="M25" s="18">
        <f t="shared" si="15"/>
        <v>86.787285714285716</v>
      </c>
      <c r="N25" s="18">
        <f t="shared" si="15"/>
        <v>88.650126582278475</v>
      </c>
      <c r="O25" s="18">
        <f t="shared" si="15"/>
        <v>87.39975308641975</v>
      </c>
      <c r="P25" s="18">
        <f t="shared" si="15"/>
        <v>85.52943181818182</v>
      </c>
      <c r="Q25" s="18">
        <f t="shared" si="15"/>
        <v>85.657291666666666</v>
      </c>
      <c r="R25" s="18">
        <f t="shared" si="15"/>
        <v>87.055257731958775</v>
      </c>
      <c r="S25" s="18">
        <f t="shared" si="15"/>
        <v>84.083139534883713</v>
      </c>
      <c r="T25" s="18">
        <f t="shared" si="15"/>
        <v>82.86345679012345</v>
      </c>
      <c r="U25" s="18">
        <f t="shared" si="15"/>
        <v>83.161728395061729</v>
      </c>
      <c r="V25" s="18">
        <f t="shared" si="15"/>
        <v>83.458072289156632</v>
      </c>
      <c r="W25" s="18">
        <f t="shared" si="15"/>
        <v>46.42285714285714</v>
      </c>
      <c r="X25" s="18">
        <f t="shared" si="15"/>
        <v>81.810579710144935</v>
      </c>
      <c r="Y25" s="18">
        <f t="shared" si="15"/>
        <v>85.798987341772147</v>
      </c>
      <c r="Z25" s="18">
        <f t="shared" si="15"/>
        <v>85.63022222222223</v>
      </c>
      <c r="AA25" s="18">
        <f t="shared" si="15"/>
        <v>79.540540540540547</v>
      </c>
      <c r="AB25" s="18">
        <f t="shared" si="15"/>
        <v>82.309249999999992</v>
      </c>
      <c r="AC25" s="18">
        <f t="shared" si="15"/>
        <v>80.354246575342458</v>
      </c>
      <c r="AD25" s="18">
        <f t="shared" si="15"/>
        <v>83.000370370370362</v>
      </c>
      <c r="AE25" s="18">
        <f t="shared" si="15"/>
        <v>82.895487804878059</v>
      </c>
      <c r="AF25" s="18">
        <f t="shared" si="15"/>
        <v>81.845789473684206</v>
      </c>
      <c r="AG25" s="18">
        <f t="shared" si="15"/>
        <v>86.103376623376619</v>
      </c>
      <c r="AH25" s="18">
        <f t="shared" si="15"/>
        <v>85.066666666666663</v>
      </c>
      <c r="AI25" s="19">
        <f>+AI27/AI23</f>
        <v>83.929778688524564</v>
      </c>
      <c r="AJ25" s="6"/>
    </row>
    <row r="26" spans="1:36" x14ac:dyDescent="0.3">
      <c r="A26" s="2"/>
      <c r="B26" s="14"/>
      <c r="C26" s="15" t="s">
        <v>18</v>
      </c>
      <c r="D26" s="18">
        <f t="shared" ref="D26:AA26" si="16">+D24*D25</f>
        <v>64.714242424242428</v>
      </c>
      <c r="E26" s="18">
        <f t="shared" si="16"/>
        <v>67.418181818181822</v>
      </c>
      <c r="F26" s="18">
        <f t="shared" si="16"/>
        <v>55.041414141414144</v>
      </c>
      <c r="G26" s="18">
        <f t="shared" si="16"/>
        <v>61.547979797979799</v>
      </c>
      <c r="H26" s="18">
        <f t="shared" si="16"/>
        <v>61.693939393939395</v>
      </c>
      <c r="I26" s="18">
        <f t="shared" si="16"/>
        <v>78.306767676767677</v>
      </c>
      <c r="J26" s="18">
        <f t="shared" si="16"/>
        <v>67.85898989898989</v>
      </c>
      <c r="K26" s="18">
        <f t="shared" si="16"/>
        <v>65.699494949494948</v>
      </c>
      <c r="L26" s="18">
        <f t="shared" si="16"/>
        <v>76.859595959595964</v>
      </c>
      <c r="M26" s="18">
        <f t="shared" si="16"/>
        <v>61.364747474747475</v>
      </c>
      <c r="N26" s="18">
        <f t="shared" si="16"/>
        <v>70.741010101010104</v>
      </c>
      <c r="O26" s="18">
        <f t="shared" si="16"/>
        <v>71.50888888888889</v>
      </c>
      <c r="P26" s="18">
        <f t="shared" si="16"/>
        <v>76.026161616161616</v>
      </c>
      <c r="Q26" s="18">
        <f t="shared" si="16"/>
        <v>83.061616161616158</v>
      </c>
      <c r="R26" s="18">
        <f t="shared" si="16"/>
        <v>85.296565656565662</v>
      </c>
      <c r="S26" s="18">
        <f t="shared" si="16"/>
        <v>73.041919191919192</v>
      </c>
      <c r="T26" s="18">
        <f t="shared" si="16"/>
        <v>67.797373737373732</v>
      </c>
      <c r="U26" s="18">
        <f t="shared" si="16"/>
        <v>68.041414141414151</v>
      </c>
      <c r="V26" s="18">
        <f t="shared" si="16"/>
        <v>69.969898989898994</v>
      </c>
      <c r="W26" s="18">
        <f t="shared" si="16"/>
        <v>36.106666666666662</v>
      </c>
      <c r="X26" s="18">
        <f t="shared" si="16"/>
        <v>57.019494949494955</v>
      </c>
      <c r="Y26" s="18">
        <f t="shared" si="16"/>
        <v>68.465858585858584</v>
      </c>
      <c r="Z26" s="18">
        <f t="shared" si="16"/>
        <v>77.845656565656569</v>
      </c>
      <c r="AA26" s="18">
        <f t="shared" si="16"/>
        <v>59.45454545454546</v>
      </c>
      <c r="AB26" s="18">
        <f>+AB24*AB25</f>
        <v>66.512525252525251</v>
      </c>
      <c r="AC26" s="18">
        <f t="shared" ref="AC26:AH26" si="17">+AC24*AC25</f>
        <v>59.251111111111101</v>
      </c>
      <c r="AD26" s="18">
        <f t="shared" si="17"/>
        <v>67.909393939393937</v>
      </c>
      <c r="AE26" s="18">
        <f t="shared" si="17"/>
        <v>68.660909090909101</v>
      </c>
      <c r="AF26" s="18">
        <f t="shared" si="17"/>
        <v>62.831111111111106</v>
      </c>
      <c r="AG26" s="18">
        <f t="shared" si="17"/>
        <v>66.969292929292934</v>
      </c>
      <c r="AH26" s="18">
        <f t="shared" si="17"/>
        <v>51.555555555555557</v>
      </c>
      <c r="AI26" s="19">
        <f>+AI25*AI24</f>
        <v>66.728139459107183</v>
      </c>
      <c r="AJ26" s="6"/>
    </row>
    <row r="27" spans="1:36" x14ac:dyDescent="0.3">
      <c r="A27" s="2"/>
      <c r="B27" s="14"/>
      <c r="C27" s="15" t="s">
        <v>19</v>
      </c>
      <c r="D27" s="20">
        <v>6406.71</v>
      </c>
      <c r="E27" s="21">
        <v>6674.4</v>
      </c>
      <c r="F27" s="21">
        <v>5449.1</v>
      </c>
      <c r="G27" s="21">
        <v>6093.25</v>
      </c>
      <c r="H27" s="21">
        <v>6107.7</v>
      </c>
      <c r="I27" s="21">
        <v>7752.37</v>
      </c>
      <c r="J27" s="21">
        <v>6718.04</v>
      </c>
      <c r="K27" s="21">
        <v>6504.25</v>
      </c>
      <c r="L27" s="21">
        <v>7609.1</v>
      </c>
      <c r="M27" s="21">
        <v>6075.11</v>
      </c>
      <c r="N27" s="21">
        <v>7003.36</v>
      </c>
      <c r="O27" s="21">
        <v>7079.38</v>
      </c>
      <c r="P27" s="21">
        <v>7526.59</v>
      </c>
      <c r="Q27" s="21">
        <v>8223.1</v>
      </c>
      <c r="R27" s="21">
        <v>8444.36</v>
      </c>
      <c r="S27" s="21">
        <v>7231.15</v>
      </c>
      <c r="T27" s="21">
        <v>6711.94</v>
      </c>
      <c r="U27" s="21">
        <v>6736.1</v>
      </c>
      <c r="V27" s="21">
        <v>6927.02</v>
      </c>
      <c r="W27" s="21">
        <v>3574.56</v>
      </c>
      <c r="X27" s="21">
        <v>5644.93</v>
      </c>
      <c r="Y27" s="21">
        <v>6778.12</v>
      </c>
      <c r="Z27" s="21">
        <v>7706.72</v>
      </c>
      <c r="AA27" s="21">
        <v>5886</v>
      </c>
      <c r="AB27" s="21">
        <v>6584.74</v>
      </c>
      <c r="AC27" s="21">
        <v>5865.86</v>
      </c>
      <c r="AD27" s="21">
        <v>6723.03</v>
      </c>
      <c r="AE27" s="21">
        <v>6797.43</v>
      </c>
      <c r="AF27" s="21">
        <v>6220.28</v>
      </c>
      <c r="AG27" s="21">
        <v>6629.96</v>
      </c>
      <c r="AH27" s="21">
        <v>5104</v>
      </c>
      <c r="AI27" s="22">
        <f>SUM(D27:AH27)</f>
        <v>204788.65999999995</v>
      </c>
      <c r="AJ27" s="6"/>
    </row>
    <row r="28" spans="1:36" ht="15" thickBot="1" x14ac:dyDescent="0.35">
      <c r="A28" s="23"/>
      <c r="B28" s="24"/>
      <c r="C28" s="15" t="s">
        <v>20</v>
      </c>
      <c r="D28" s="25">
        <f>2189.05/D27</f>
        <v>0.34168083150322087</v>
      </c>
      <c r="E28" s="26">
        <f>790.29/E27</f>
        <v>0.11840614886731392</v>
      </c>
      <c r="F28" s="26">
        <f>728.92/F27</f>
        <v>0.13376887926446568</v>
      </c>
      <c r="G28" s="26">
        <f>756.79/G27</f>
        <v>0.12420137036885077</v>
      </c>
      <c r="H28" s="26">
        <f>1003.15/H27</f>
        <v>0.16424349591499254</v>
      </c>
      <c r="I28" s="26">
        <f>620.64/I27</f>
        <v>8.0058098362178282E-2</v>
      </c>
      <c r="J28" s="26">
        <f>1316.45/J27</f>
        <v>0.19595745187584473</v>
      </c>
      <c r="K28" s="26">
        <f>832.07/K27</f>
        <v>0.12792712457239497</v>
      </c>
      <c r="L28" s="26">
        <f>872.58/L27</f>
        <v>0.11467584865490005</v>
      </c>
      <c r="M28" s="26">
        <f>513.74/M27</f>
        <v>8.4564723930924707E-2</v>
      </c>
      <c r="N28" s="26">
        <f>1022.26/N27</f>
        <v>0.14596707865938635</v>
      </c>
      <c r="O28" s="26">
        <f>1045.64/O27</f>
        <v>0.14770219991016165</v>
      </c>
      <c r="P28" s="26">
        <f>841.45/P27</f>
        <v>0.11179697578850449</v>
      </c>
      <c r="Q28" s="26">
        <f>1289.24/Q27</f>
        <v>0.15678272184455982</v>
      </c>
      <c r="R28" s="26">
        <f>1178.15/R27</f>
        <v>0.13951915834947823</v>
      </c>
      <c r="S28" s="26">
        <f>871.63/S27</f>
        <v>0.12053822697634541</v>
      </c>
      <c r="T28" s="26">
        <f>473.74/T27</f>
        <v>7.0581679812394035E-2</v>
      </c>
      <c r="U28" s="26">
        <f>1072.1/U27</f>
        <v>0.15915737592969223</v>
      </c>
      <c r="V28" s="26">
        <f>912.21/V27</f>
        <v>0.13168866265724655</v>
      </c>
      <c r="W28" s="26">
        <f>1016.34/W27</f>
        <v>0.28432590304820732</v>
      </c>
      <c r="X28" s="26">
        <f>1052.62/X27</f>
        <v>0.18647175429987614</v>
      </c>
      <c r="Y28" s="26">
        <f>1116.06/Y27</f>
        <v>0.16465627637161925</v>
      </c>
      <c r="Z28" s="26">
        <f>762.66/Z27</f>
        <v>9.8960387817385337E-2</v>
      </c>
      <c r="AA28" s="26">
        <f>613.96/AA27</f>
        <v>0.10430852871219844</v>
      </c>
      <c r="AB28" s="26">
        <f>1132.86/AB27</f>
        <v>0.17204323936860072</v>
      </c>
      <c r="AC28" s="26">
        <f>930.62/AC27</f>
        <v>0.15865022349663987</v>
      </c>
      <c r="AD28" s="26">
        <f>928.95/AD27</f>
        <v>0.13817430533554068</v>
      </c>
      <c r="AE28" s="26">
        <f>1269.94/AE27</f>
        <v>0.18682649177703925</v>
      </c>
      <c r="AF28" s="26">
        <f>1075.56/AF27</f>
        <v>0.17291183033561189</v>
      </c>
      <c r="AG28" s="26">
        <f>726.89/AG27</f>
        <v>0.10963716221515665</v>
      </c>
      <c r="AH28" s="26">
        <f>770.2/AH27</f>
        <v>0.15090125391849532</v>
      </c>
      <c r="AI28" s="27">
        <f>AVERAGE(D28:AG28)</f>
        <v>0.14820613853402437</v>
      </c>
      <c r="AJ28" s="6"/>
    </row>
    <row r="29" spans="1:36" ht="15" thickTop="1" x14ac:dyDescent="0.3">
      <c r="A29" s="2">
        <v>151</v>
      </c>
      <c r="B29" s="28" t="s">
        <v>27</v>
      </c>
      <c r="C29" s="29" t="s">
        <v>15</v>
      </c>
      <c r="D29" s="30">
        <v>46</v>
      </c>
      <c r="E29" s="31">
        <v>33</v>
      </c>
      <c r="F29" s="31">
        <v>24</v>
      </c>
      <c r="G29" s="31">
        <v>27</v>
      </c>
      <c r="H29" s="31">
        <v>22</v>
      </c>
      <c r="I29" s="31">
        <v>25</v>
      </c>
      <c r="J29" s="31">
        <v>20</v>
      </c>
      <c r="K29" s="31">
        <v>23</v>
      </c>
      <c r="L29" s="31">
        <v>26</v>
      </c>
      <c r="M29" s="31">
        <v>25</v>
      </c>
      <c r="N29" s="31">
        <v>21</v>
      </c>
      <c r="O29" s="31">
        <v>24</v>
      </c>
      <c r="P29" s="31">
        <v>28</v>
      </c>
      <c r="Q29" s="31">
        <v>28</v>
      </c>
      <c r="R29" s="31">
        <v>49</v>
      </c>
      <c r="S29" s="31">
        <v>62</v>
      </c>
      <c r="T29" s="31">
        <v>31</v>
      </c>
      <c r="U29" s="31">
        <v>28</v>
      </c>
      <c r="V29" s="31">
        <v>35</v>
      </c>
      <c r="W29" s="31">
        <v>40</v>
      </c>
      <c r="X29" s="31">
        <v>38</v>
      </c>
      <c r="Y29" s="31">
        <v>42</v>
      </c>
      <c r="Z29" s="31">
        <v>48</v>
      </c>
      <c r="AA29" s="31">
        <v>34</v>
      </c>
      <c r="AB29" s="31">
        <v>35</v>
      </c>
      <c r="AC29" s="47">
        <v>0.32</v>
      </c>
      <c r="AD29" s="31">
        <v>33</v>
      </c>
      <c r="AE29" s="31">
        <v>24</v>
      </c>
      <c r="AF29" s="31">
        <v>42</v>
      </c>
      <c r="AG29" s="31">
        <v>47</v>
      </c>
      <c r="AH29" s="31">
        <v>30</v>
      </c>
      <c r="AI29" s="32">
        <f>SUM(D29:AH29)</f>
        <v>990.32</v>
      </c>
      <c r="AJ29" s="6"/>
    </row>
    <row r="30" spans="1:36" x14ac:dyDescent="0.3">
      <c r="A30" s="2"/>
      <c r="B30" s="33"/>
      <c r="C30" s="34" t="s">
        <v>16</v>
      </c>
      <c r="D30" s="35">
        <f t="shared" ref="D30:AH30" si="18">+D29/$A29</f>
        <v>0.30463576158940397</v>
      </c>
      <c r="E30" s="35">
        <f t="shared" si="18"/>
        <v>0.2185430463576159</v>
      </c>
      <c r="F30" s="35">
        <f t="shared" si="18"/>
        <v>0.15894039735099338</v>
      </c>
      <c r="G30" s="35">
        <f t="shared" si="18"/>
        <v>0.17880794701986755</v>
      </c>
      <c r="H30" s="35">
        <f t="shared" si="18"/>
        <v>0.14569536423841059</v>
      </c>
      <c r="I30" s="35">
        <f t="shared" si="18"/>
        <v>0.16556291390728478</v>
      </c>
      <c r="J30" s="35">
        <f t="shared" si="18"/>
        <v>0.13245033112582782</v>
      </c>
      <c r="K30" s="35">
        <f t="shared" si="18"/>
        <v>0.15231788079470199</v>
      </c>
      <c r="L30" s="35">
        <f t="shared" si="18"/>
        <v>0.17218543046357615</v>
      </c>
      <c r="M30" s="35">
        <f t="shared" si="18"/>
        <v>0.16556291390728478</v>
      </c>
      <c r="N30" s="35">
        <f t="shared" si="18"/>
        <v>0.13907284768211919</v>
      </c>
      <c r="O30" s="35">
        <f t="shared" si="18"/>
        <v>0.15894039735099338</v>
      </c>
      <c r="P30" s="35">
        <f t="shared" si="18"/>
        <v>0.18543046357615894</v>
      </c>
      <c r="Q30" s="35">
        <f t="shared" si="18"/>
        <v>0.18543046357615894</v>
      </c>
      <c r="R30" s="35">
        <f t="shared" si="18"/>
        <v>0.32450331125827814</v>
      </c>
      <c r="S30" s="35">
        <f t="shared" si="18"/>
        <v>0.41059602649006621</v>
      </c>
      <c r="T30" s="35">
        <f t="shared" si="18"/>
        <v>0.20529801324503311</v>
      </c>
      <c r="U30" s="35">
        <f t="shared" si="18"/>
        <v>0.18543046357615894</v>
      </c>
      <c r="V30" s="35">
        <f t="shared" si="18"/>
        <v>0.23178807947019867</v>
      </c>
      <c r="W30" s="35">
        <f t="shared" si="18"/>
        <v>0.26490066225165565</v>
      </c>
      <c r="X30" s="35">
        <f t="shared" si="18"/>
        <v>0.25165562913907286</v>
      </c>
      <c r="Y30" s="35">
        <f t="shared" si="18"/>
        <v>0.27814569536423839</v>
      </c>
      <c r="Z30" s="35">
        <f t="shared" si="18"/>
        <v>0.31788079470198677</v>
      </c>
      <c r="AA30" s="35">
        <f t="shared" si="18"/>
        <v>0.2251655629139073</v>
      </c>
      <c r="AB30" s="35">
        <f t="shared" si="18"/>
        <v>0.23178807947019867</v>
      </c>
      <c r="AC30" s="35">
        <f t="shared" si="18"/>
        <v>2.119205298013245E-3</v>
      </c>
      <c r="AD30" s="35">
        <f t="shared" si="18"/>
        <v>0.2185430463576159</v>
      </c>
      <c r="AE30" s="35">
        <f t="shared" si="18"/>
        <v>0.15894039735099338</v>
      </c>
      <c r="AF30" s="35">
        <f t="shared" si="18"/>
        <v>0.27814569536423839</v>
      </c>
      <c r="AG30" s="35">
        <f t="shared" si="18"/>
        <v>0.31125827814569534</v>
      </c>
      <c r="AH30" s="35">
        <f t="shared" si="18"/>
        <v>0.19867549668874171</v>
      </c>
      <c r="AI30" s="36">
        <f>+AI29/(A29*A$1)</f>
        <v>0.2115616321298868</v>
      </c>
      <c r="AJ30" s="6"/>
    </row>
    <row r="31" spans="1:36" x14ac:dyDescent="0.3">
      <c r="A31" s="2"/>
      <c r="B31" s="33"/>
      <c r="C31" s="34" t="s">
        <v>17</v>
      </c>
      <c r="D31" s="37">
        <f t="shared" ref="D31:AH31" si="19">+IFERROR(D33/D29,0)</f>
        <v>116.82043478260869</v>
      </c>
      <c r="E31" s="37">
        <f t="shared" si="19"/>
        <v>81.74848484848485</v>
      </c>
      <c r="F31" s="37">
        <f t="shared" si="19"/>
        <v>105.55458333333333</v>
      </c>
      <c r="G31" s="37">
        <f t="shared" si="19"/>
        <v>95.101111111111109</v>
      </c>
      <c r="H31" s="37">
        <f t="shared" si="19"/>
        <v>95.99727272727273</v>
      </c>
      <c r="I31" s="37">
        <f t="shared" si="19"/>
        <v>96.470400000000012</v>
      </c>
      <c r="J31" s="37">
        <f t="shared" si="19"/>
        <v>97.32050000000001</v>
      </c>
      <c r="K31" s="37">
        <f t="shared" si="19"/>
        <v>97.151304347826084</v>
      </c>
      <c r="L31" s="37">
        <f t="shared" si="19"/>
        <v>82.513076923076923</v>
      </c>
      <c r="M31" s="37">
        <f t="shared" si="19"/>
        <v>99.923600000000008</v>
      </c>
      <c r="N31" s="37">
        <f t="shared" si="19"/>
        <v>105.54523809523809</v>
      </c>
      <c r="O31" s="37">
        <f t="shared" si="19"/>
        <v>107.86500000000001</v>
      </c>
      <c r="P31" s="37">
        <f t="shared" si="19"/>
        <v>95.635357142857146</v>
      </c>
      <c r="Q31" s="37">
        <f t="shared" si="19"/>
        <v>78.934285714285707</v>
      </c>
      <c r="R31" s="37">
        <f t="shared" si="19"/>
        <v>86.137755102040813</v>
      </c>
      <c r="S31" s="37">
        <f t="shared" si="19"/>
        <v>85.868064516129024</v>
      </c>
      <c r="T31" s="37">
        <f t="shared" si="19"/>
        <v>89.161935483870963</v>
      </c>
      <c r="U31" s="37">
        <f t="shared" si="19"/>
        <v>86.69285714285715</v>
      </c>
      <c r="V31" s="37">
        <f t="shared" si="19"/>
        <v>83.71142857142857</v>
      </c>
      <c r="W31" s="37">
        <f t="shared" si="19"/>
        <v>83.203000000000003</v>
      </c>
      <c r="X31" s="37">
        <f t="shared" si="19"/>
        <v>84.765000000000001</v>
      </c>
      <c r="Y31" s="37">
        <f t="shared" si="19"/>
        <v>84.433095238095234</v>
      </c>
      <c r="Z31" s="37">
        <f t="shared" si="19"/>
        <v>83.99</v>
      </c>
      <c r="AA31" s="37">
        <f t="shared" si="19"/>
        <v>79.68058823529411</v>
      </c>
      <c r="AB31" s="37">
        <f t="shared" si="19"/>
        <v>96.534285714285716</v>
      </c>
      <c r="AC31" s="37">
        <f t="shared" si="19"/>
        <v>7339.5624999999991</v>
      </c>
      <c r="AD31" s="37">
        <f t="shared" si="19"/>
        <v>88.194545454545462</v>
      </c>
      <c r="AE31" s="37">
        <f t="shared" si="19"/>
        <v>75.753749999999997</v>
      </c>
      <c r="AF31" s="37">
        <f t="shared" si="19"/>
        <v>82.722857142857151</v>
      </c>
      <c r="AG31" s="37">
        <f t="shared" si="19"/>
        <v>79.701914893617015</v>
      </c>
      <c r="AH31" s="37">
        <f t="shared" si="19"/>
        <v>80.135333333333335</v>
      </c>
      <c r="AI31" s="38">
        <f>+AI33/AI29</f>
        <v>91.683364972938051</v>
      </c>
      <c r="AJ31" s="6"/>
    </row>
    <row r="32" spans="1:36" x14ac:dyDescent="0.3">
      <c r="A32" s="2"/>
      <c r="B32" s="33"/>
      <c r="C32" s="34" t="s">
        <v>18</v>
      </c>
      <c r="D32" s="37">
        <f t="shared" ref="D32:AH32" si="20">+D30*D31</f>
        <v>35.587682119205297</v>
      </c>
      <c r="E32" s="37">
        <f t="shared" si="20"/>
        <v>17.865562913907286</v>
      </c>
      <c r="F32" s="37">
        <f t="shared" si="20"/>
        <v>16.776887417218543</v>
      </c>
      <c r="G32" s="37">
        <f t="shared" si="20"/>
        <v>17.004834437086092</v>
      </c>
      <c r="H32" s="37">
        <f t="shared" si="20"/>
        <v>13.98635761589404</v>
      </c>
      <c r="I32" s="37">
        <f t="shared" si="20"/>
        <v>15.971920529801327</v>
      </c>
      <c r="J32" s="37">
        <f t="shared" si="20"/>
        <v>12.890132450331128</v>
      </c>
      <c r="K32" s="37">
        <f t="shared" si="20"/>
        <v>14.797880794701987</v>
      </c>
      <c r="L32" s="37">
        <f t="shared" si="20"/>
        <v>14.207549668874172</v>
      </c>
      <c r="M32" s="37">
        <f t="shared" si="20"/>
        <v>16.543642384105961</v>
      </c>
      <c r="N32" s="37">
        <f t="shared" si="20"/>
        <v>14.678476821192051</v>
      </c>
      <c r="O32" s="37">
        <f t="shared" si="20"/>
        <v>17.144105960264902</v>
      </c>
      <c r="P32" s="37">
        <f t="shared" si="20"/>
        <v>17.733708609271524</v>
      </c>
      <c r="Q32" s="37">
        <f t="shared" si="20"/>
        <v>14.636821192052979</v>
      </c>
      <c r="R32" s="37">
        <f t="shared" si="20"/>
        <v>27.951986754966885</v>
      </c>
      <c r="S32" s="37">
        <f t="shared" si="20"/>
        <v>35.257086092715227</v>
      </c>
      <c r="T32" s="37">
        <f t="shared" si="20"/>
        <v>18.304768211920528</v>
      </c>
      <c r="U32" s="37">
        <f t="shared" si="20"/>
        <v>16.075496688741723</v>
      </c>
      <c r="V32" s="37">
        <f t="shared" si="20"/>
        <v>19.403311258278144</v>
      </c>
      <c r="W32" s="37">
        <f t="shared" si="20"/>
        <v>22.040529801324507</v>
      </c>
      <c r="X32" s="37">
        <f t="shared" si="20"/>
        <v>21.33158940397351</v>
      </c>
      <c r="Y32" s="37">
        <f t="shared" si="20"/>
        <v>23.484701986754963</v>
      </c>
      <c r="Z32" s="37">
        <f t="shared" si="20"/>
        <v>26.698807947019866</v>
      </c>
      <c r="AA32" s="37">
        <f t="shared" si="20"/>
        <v>17.941324503311257</v>
      </c>
      <c r="AB32" s="37">
        <f t="shared" si="20"/>
        <v>22.37549668874172</v>
      </c>
      <c r="AC32" s="37">
        <f t="shared" si="20"/>
        <v>15.554039735099336</v>
      </c>
      <c r="AD32" s="37">
        <f t="shared" si="20"/>
        <v>19.274304635761592</v>
      </c>
      <c r="AE32" s="37">
        <f t="shared" si="20"/>
        <v>12.040331125827814</v>
      </c>
      <c r="AF32" s="37">
        <f t="shared" si="20"/>
        <v>23.009006622516555</v>
      </c>
      <c r="AG32" s="37">
        <f t="shared" si="20"/>
        <v>24.807880794701983</v>
      </c>
      <c r="AH32" s="37">
        <f t="shared" si="20"/>
        <v>15.92092715231788</v>
      </c>
      <c r="AI32" s="38">
        <f>+AI31*AI30</f>
        <v>19.396682332834867</v>
      </c>
      <c r="AJ32" s="6"/>
    </row>
    <row r="33" spans="1:36" x14ac:dyDescent="0.3">
      <c r="A33" s="2"/>
      <c r="B33" s="33"/>
      <c r="C33" s="34" t="s">
        <v>19</v>
      </c>
      <c r="D33" s="20">
        <v>5373.74</v>
      </c>
      <c r="E33" s="21">
        <v>2697.7</v>
      </c>
      <c r="F33" s="21">
        <v>2533.31</v>
      </c>
      <c r="G33" s="21">
        <v>2567.73</v>
      </c>
      <c r="H33" s="21">
        <v>2111.94</v>
      </c>
      <c r="I33" s="21">
        <v>2411.7600000000002</v>
      </c>
      <c r="J33" s="21">
        <v>1946.41</v>
      </c>
      <c r="K33" s="21">
        <v>2234.48</v>
      </c>
      <c r="L33" s="21">
        <v>2145.34</v>
      </c>
      <c r="M33" s="21">
        <v>2498.09</v>
      </c>
      <c r="N33" s="21">
        <v>2216.4499999999998</v>
      </c>
      <c r="O33" s="21">
        <v>2588.7600000000002</v>
      </c>
      <c r="P33" s="21">
        <v>2677.79</v>
      </c>
      <c r="Q33" s="21">
        <v>2210.16</v>
      </c>
      <c r="R33" s="21">
        <v>4220.75</v>
      </c>
      <c r="S33" s="21">
        <v>5323.82</v>
      </c>
      <c r="T33" s="21">
        <v>2764.02</v>
      </c>
      <c r="U33" s="21">
        <v>2427.4</v>
      </c>
      <c r="V33" s="21">
        <v>2929.9</v>
      </c>
      <c r="W33" s="21">
        <v>3328.12</v>
      </c>
      <c r="X33" s="21">
        <v>3221.07</v>
      </c>
      <c r="Y33" s="21">
        <v>3546.19</v>
      </c>
      <c r="Z33" s="21">
        <v>4031.52</v>
      </c>
      <c r="AA33" s="21">
        <v>2709.14</v>
      </c>
      <c r="AB33" s="21">
        <v>3378.7</v>
      </c>
      <c r="AC33" s="21">
        <v>2348.66</v>
      </c>
      <c r="AD33" s="21">
        <v>2910.42</v>
      </c>
      <c r="AE33" s="21">
        <v>1818.09</v>
      </c>
      <c r="AF33" s="21">
        <v>3474.36</v>
      </c>
      <c r="AG33" s="21">
        <v>3745.99</v>
      </c>
      <c r="AH33" s="21">
        <v>2404.06</v>
      </c>
      <c r="AI33" s="39">
        <f>SUM(D33:AH33)</f>
        <v>90795.87000000001</v>
      </c>
      <c r="AJ33" s="6"/>
    </row>
    <row r="34" spans="1:36" ht="15" thickBot="1" x14ac:dyDescent="0.35">
      <c r="A34" s="23"/>
      <c r="B34" s="48"/>
      <c r="C34" s="41" t="s">
        <v>20</v>
      </c>
      <c r="D34" s="49">
        <f>2485.77/D33</f>
        <v>0.46257727392839998</v>
      </c>
      <c r="E34" s="50">
        <f>810.09/E33</f>
        <v>0.30028913518923528</v>
      </c>
      <c r="F34" s="50">
        <f>843.84/F33</f>
        <v>0.33309780484820256</v>
      </c>
      <c r="G34" s="50">
        <f>1232.22/G33</f>
        <v>0.47988690399691558</v>
      </c>
      <c r="H34" s="50">
        <f>1260.64/H33</f>
        <v>0.59691089708987943</v>
      </c>
      <c r="I34" s="50">
        <f>1351.62/I33</f>
        <v>0.56042889839785048</v>
      </c>
      <c r="J34" s="50">
        <f>1394.8/J33</f>
        <v>0.7166013327099634</v>
      </c>
      <c r="K34" s="50">
        <f>1350.9/K33</f>
        <v>0.60457019082739616</v>
      </c>
      <c r="L34" s="50">
        <f>899.5/L33</f>
        <v>0.41928085991031722</v>
      </c>
      <c r="M34" s="50">
        <f>968.52/M33</f>
        <v>0.38770420601339423</v>
      </c>
      <c r="N34" s="50">
        <f>1474.66/N33</f>
        <v>0.66532518216066239</v>
      </c>
      <c r="O34" s="50">
        <f>1338.23/O33</f>
        <v>0.51693861153602494</v>
      </c>
      <c r="P34" s="50">
        <f>1267.5/P33</f>
        <v>0.47333808849835124</v>
      </c>
      <c r="Q34" s="50">
        <f>1260.76/Q33</f>
        <v>0.57043833930575161</v>
      </c>
      <c r="R34" s="50">
        <f>1484.88/R33</f>
        <v>0.35180477403305105</v>
      </c>
      <c r="S34" s="50">
        <f>880.35/S33</f>
        <v>0.16536058694696668</v>
      </c>
      <c r="T34" s="50">
        <f>1066.05/T33</f>
        <v>0.38568823669872143</v>
      </c>
      <c r="U34" s="50">
        <f>1257.45/U33</f>
        <v>0.5180233995221224</v>
      </c>
      <c r="V34" s="50">
        <f>1024.69/V33</f>
        <v>0.34973548585275949</v>
      </c>
      <c r="W34" s="50">
        <f>1384.22/W33</f>
        <v>0.41591649339567083</v>
      </c>
      <c r="X34" s="50">
        <f>1209.82/X33</f>
        <v>0.37559568714743857</v>
      </c>
      <c r="Y34" s="50">
        <f>1405.17/Y33</f>
        <v>0.39624780398117415</v>
      </c>
      <c r="Z34" s="50">
        <f>754.69/Z33</f>
        <v>0.1871973846092789</v>
      </c>
      <c r="AA34" s="50">
        <f>682.8/AA33</f>
        <v>0.25203570136648529</v>
      </c>
      <c r="AB34" s="50">
        <f>1171.25/AB33</f>
        <v>0.34665699825376628</v>
      </c>
      <c r="AC34" s="50">
        <f>1271.26/AC33</f>
        <v>0.54127034138615215</v>
      </c>
      <c r="AD34" s="50">
        <f>1087.34/AD33</f>
        <v>0.3736024353873324</v>
      </c>
      <c r="AE34" s="50">
        <f>1307.01/AE33</f>
        <v>0.71889180403610387</v>
      </c>
      <c r="AF34" s="50">
        <f>1211.35/AF33</f>
        <v>0.34865414061870381</v>
      </c>
      <c r="AG34" s="50">
        <f>960.61/AG33</f>
        <v>0.25643688317374047</v>
      </c>
      <c r="AH34" s="50">
        <f>1086.32/AH33</f>
        <v>0.45186892174072191</v>
      </c>
      <c r="AI34" s="51">
        <f>AVERAGE(D34:AG34)</f>
        <v>0.43568352936072713</v>
      </c>
      <c r="AJ34" s="6"/>
    </row>
    <row r="35" spans="1:36" ht="15" thickTop="1" x14ac:dyDescent="0.3">
      <c r="A35" s="2">
        <v>96</v>
      </c>
      <c r="B35" s="45" t="s">
        <v>28</v>
      </c>
      <c r="C35" s="46" t="s">
        <v>15</v>
      </c>
      <c r="D35" s="11">
        <v>32</v>
      </c>
      <c r="E35" s="12">
        <v>38</v>
      </c>
      <c r="F35" s="12">
        <v>26</v>
      </c>
      <c r="G35" s="12">
        <v>34</v>
      </c>
      <c r="H35" s="12">
        <v>27</v>
      </c>
      <c r="I35" s="12">
        <v>28</v>
      </c>
      <c r="J35" s="12">
        <v>34</v>
      </c>
      <c r="K35" s="12">
        <v>32</v>
      </c>
      <c r="L35" s="12">
        <v>31</v>
      </c>
      <c r="M35" s="12">
        <v>16</v>
      </c>
      <c r="N35" s="12">
        <v>17</v>
      </c>
      <c r="O35" s="12">
        <v>23</v>
      </c>
      <c r="P35" s="12">
        <v>25</v>
      </c>
      <c r="Q35" s="12">
        <v>34</v>
      </c>
      <c r="R35" s="12">
        <v>35</v>
      </c>
      <c r="S35" s="12">
        <v>35</v>
      </c>
      <c r="T35" s="12">
        <v>22</v>
      </c>
      <c r="U35" s="12">
        <v>21</v>
      </c>
      <c r="V35" s="12">
        <v>25</v>
      </c>
      <c r="W35" s="12">
        <v>23</v>
      </c>
      <c r="X35" s="12">
        <v>18</v>
      </c>
      <c r="Y35" s="12">
        <v>36</v>
      </c>
      <c r="Z35" s="12">
        <v>32</v>
      </c>
      <c r="AA35" s="12">
        <v>24</v>
      </c>
      <c r="AB35" s="12">
        <v>25</v>
      </c>
      <c r="AC35" s="12">
        <v>25</v>
      </c>
      <c r="AD35" s="12">
        <v>26</v>
      </c>
      <c r="AE35" s="12">
        <v>28</v>
      </c>
      <c r="AF35" s="12">
        <v>42</v>
      </c>
      <c r="AG35" s="12">
        <v>55</v>
      </c>
      <c r="AH35" s="12">
        <v>20</v>
      </c>
      <c r="AI35" s="13">
        <f>SUM(D35:AH35)</f>
        <v>889</v>
      </c>
      <c r="AJ35" s="6"/>
    </row>
    <row r="36" spans="1:36" x14ac:dyDescent="0.3">
      <c r="A36" s="2"/>
      <c r="B36" s="14"/>
      <c r="C36" s="15" t="s">
        <v>16</v>
      </c>
      <c r="D36" s="16">
        <f t="shared" ref="D36:AH36" si="21">+D35/$A35</f>
        <v>0.33333333333333331</v>
      </c>
      <c r="E36" s="16">
        <f t="shared" si="21"/>
        <v>0.39583333333333331</v>
      </c>
      <c r="F36" s="16">
        <f t="shared" si="21"/>
        <v>0.27083333333333331</v>
      </c>
      <c r="G36" s="16">
        <f t="shared" si="21"/>
        <v>0.35416666666666669</v>
      </c>
      <c r="H36" s="16">
        <f t="shared" si="21"/>
        <v>0.28125</v>
      </c>
      <c r="I36" s="16">
        <f t="shared" si="21"/>
        <v>0.29166666666666669</v>
      </c>
      <c r="J36" s="16">
        <f t="shared" si="21"/>
        <v>0.35416666666666669</v>
      </c>
      <c r="K36" s="16">
        <f t="shared" si="21"/>
        <v>0.33333333333333331</v>
      </c>
      <c r="L36" s="16">
        <f t="shared" si="21"/>
        <v>0.32291666666666669</v>
      </c>
      <c r="M36" s="16">
        <f t="shared" si="21"/>
        <v>0.16666666666666666</v>
      </c>
      <c r="N36" s="16">
        <f t="shared" si="21"/>
        <v>0.17708333333333334</v>
      </c>
      <c r="O36" s="16">
        <f t="shared" si="21"/>
        <v>0.23958333333333334</v>
      </c>
      <c r="P36" s="16">
        <f t="shared" si="21"/>
        <v>0.26041666666666669</v>
      </c>
      <c r="Q36" s="16">
        <f t="shared" si="21"/>
        <v>0.35416666666666669</v>
      </c>
      <c r="R36" s="16">
        <f t="shared" si="21"/>
        <v>0.36458333333333331</v>
      </c>
      <c r="S36" s="16">
        <f t="shared" si="21"/>
        <v>0.36458333333333331</v>
      </c>
      <c r="T36" s="16">
        <f t="shared" si="21"/>
        <v>0.22916666666666666</v>
      </c>
      <c r="U36" s="16">
        <f t="shared" si="21"/>
        <v>0.21875</v>
      </c>
      <c r="V36" s="16">
        <f t="shared" si="21"/>
        <v>0.26041666666666669</v>
      </c>
      <c r="W36" s="16">
        <f t="shared" si="21"/>
        <v>0.23958333333333334</v>
      </c>
      <c r="X36" s="16">
        <f t="shared" si="21"/>
        <v>0.1875</v>
      </c>
      <c r="Y36" s="16">
        <f t="shared" si="21"/>
        <v>0.375</v>
      </c>
      <c r="Z36" s="16">
        <f t="shared" si="21"/>
        <v>0.33333333333333331</v>
      </c>
      <c r="AA36" s="16">
        <f t="shared" si="21"/>
        <v>0.25</v>
      </c>
      <c r="AB36" s="16">
        <f t="shared" si="21"/>
        <v>0.26041666666666669</v>
      </c>
      <c r="AC36" s="16">
        <f t="shared" si="21"/>
        <v>0.26041666666666669</v>
      </c>
      <c r="AD36" s="16">
        <f t="shared" si="21"/>
        <v>0.27083333333333331</v>
      </c>
      <c r="AE36" s="16">
        <f t="shared" si="21"/>
        <v>0.29166666666666669</v>
      </c>
      <c r="AF36" s="16">
        <f t="shared" si="21"/>
        <v>0.4375</v>
      </c>
      <c r="AG36" s="16">
        <f t="shared" si="21"/>
        <v>0.57291666666666663</v>
      </c>
      <c r="AH36" s="16">
        <f t="shared" si="21"/>
        <v>0.20833333333333334</v>
      </c>
      <c r="AI36" s="17">
        <f>+AI35/(A35*A$1)</f>
        <v>0.29872311827956988</v>
      </c>
      <c r="AJ36" s="6"/>
    </row>
    <row r="37" spans="1:36" x14ac:dyDescent="0.3">
      <c r="A37" s="2"/>
      <c r="B37" s="14"/>
      <c r="C37" s="15" t="s">
        <v>17</v>
      </c>
      <c r="D37" s="18">
        <f t="shared" ref="D37:AH37" si="22">+IFERROR(D39/D35,0)</f>
        <v>63.360937499999999</v>
      </c>
      <c r="E37" s="18">
        <f t="shared" si="22"/>
        <v>67.569736842105272</v>
      </c>
      <c r="F37" s="18">
        <f t="shared" si="22"/>
        <v>64.108076923076922</v>
      </c>
      <c r="G37" s="18">
        <f t="shared" si="22"/>
        <v>56.841176470588231</v>
      </c>
      <c r="H37" s="18">
        <f t="shared" si="22"/>
        <v>59.962592592592593</v>
      </c>
      <c r="I37" s="18">
        <f t="shared" si="22"/>
        <v>58.835000000000001</v>
      </c>
      <c r="J37" s="18">
        <f t="shared" si="22"/>
        <v>56.558235294117651</v>
      </c>
      <c r="K37" s="18">
        <f t="shared" si="22"/>
        <v>57.099062500000002</v>
      </c>
      <c r="L37" s="18">
        <f t="shared" si="22"/>
        <v>61.737741935483868</v>
      </c>
      <c r="M37" s="18">
        <f t="shared" si="22"/>
        <v>63.092500000000001</v>
      </c>
      <c r="N37" s="18">
        <f t="shared" si="22"/>
        <v>62.381176470588237</v>
      </c>
      <c r="O37" s="18">
        <f t="shared" si="22"/>
        <v>59.236956521739131</v>
      </c>
      <c r="P37" s="18">
        <f t="shared" si="22"/>
        <v>61.741199999999999</v>
      </c>
      <c r="Q37" s="18">
        <f t="shared" si="22"/>
        <v>62.881764705882354</v>
      </c>
      <c r="R37" s="18">
        <f t="shared" si="22"/>
        <v>59.942857142857143</v>
      </c>
      <c r="S37" s="18">
        <f t="shared" si="22"/>
        <v>64.138857142857148</v>
      </c>
      <c r="T37" s="18">
        <f t="shared" si="22"/>
        <v>57.534999999999997</v>
      </c>
      <c r="U37" s="18">
        <f t="shared" si="22"/>
        <v>73.988571428571433</v>
      </c>
      <c r="V37" s="18">
        <f t="shared" si="22"/>
        <v>60.4</v>
      </c>
      <c r="W37" s="18">
        <f t="shared" si="22"/>
        <v>59.892173913043479</v>
      </c>
      <c r="X37" s="18">
        <f t="shared" si="22"/>
        <v>64.017777777777781</v>
      </c>
      <c r="Y37" s="18">
        <f t="shared" si="22"/>
        <v>78.05416666666666</v>
      </c>
      <c r="Z37" s="18">
        <f t="shared" si="22"/>
        <v>79.307812499999997</v>
      </c>
      <c r="AA37" s="18">
        <f t="shared" si="22"/>
        <v>62.188749999999999</v>
      </c>
      <c r="AB37" s="18">
        <f t="shared" si="22"/>
        <v>58.196800000000003</v>
      </c>
      <c r="AC37" s="18">
        <f t="shared" si="22"/>
        <v>59.130800000000001</v>
      </c>
      <c r="AD37" s="18">
        <f t="shared" si="22"/>
        <v>60.495769230769234</v>
      </c>
      <c r="AE37" s="18">
        <f t="shared" si="22"/>
        <v>61.121071428571433</v>
      </c>
      <c r="AF37" s="18">
        <f t="shared" si="22"/>
        <v>62.078095238095244</v>
      </c>
      <c r="AG37" s="18">
        <f t="shared" si="22"/>
        <v>61.834909090909093</v>
      </c>
      <c r="AH37" s="18">
        <f t="shared" si="22"/>
        <v>58.339500000000001</v>
      </c>
      <c r="AI37" s="19">
        <f>+AI39/AI35</f>
        <v>62.625354330708639</v>
      </c>
      <c r="AJ37" s="6"/>
    </row>
    <row r="38" spans="1:36" x14ac:dyDescent="0.3">
      <c r="A38" s="2"/>
      <c r="B38" s="14"/>
      <c r="C38" s="15" t="s">
        <v>18</v>
      </c>
      <c r="D38" s="18">
        <f t="shared" ref="D38:AH38" si="23">+D36*D37</f>
        <v>21.120312499999997</v>
      </c>
      <c r="E38" s="18">
        <f t="shared" si="23"/>
        <v>26.74635416666667</v>
      </c>
      <c r="F38" s="18">
        <f t="shared" si="23"/>
        <v>17.362604166666664</v>
      </c>
      <c r="G38" s="18">
        <f t="shared" si="23"/>
        <v>20.131249999999998</v>
      </c>
      <c r="H38" s="18">
        <f t="shared" si="23"/>
        <v>16.864479166666666</v>
      </c>
      <c r="I38" s="18">
        <f t="shared" si="23"/>
        <v>17.160208333333333</v>
      </c>
      <c r="J38" s="18">
        <f t="shared" si="23"/>
        <v>20.03104166666667</v>
      </c>
      <c r="K38" s="18">
        <f t="shared" si="23"/>
        <v>19.033020833333332</v>
      </c>
      <c r="L38" s="18">
        <f t="shared" si="23"/>
        <v>19.936145833333335</v>
      </c>
      <c r="M38" s="18">
        <f t="shared" si="23"/>
        <v>10.515416666666667</v>
      </c>
      <c r="N38" s="18">
        <f t="shared" si="23"/>
        <v>11.046666666666667</v>
      </c>
      <c r="O38" s="18">
        <f t="shared" si="23"/>
        <v>14.192187500000001</v>
      </c>
      <c r="P38" s="18">
        <f t="shared" si="23"/>
        <v>16.0784375</v>
      </c>
      <c r="Q38" s="18">
        <f t="shared" si="23"/>
        <v>22.270625000000003</v>
      </c>
      <c r="R38" s="18">
        <f t="shared" si="23"/>
        <v>21.854166666666664</v>
      </c>
      <c r="S38" s="18">
        <f t="shared" si="23"/>
        <v>23.383958333333332</v>
      </c>
      <c r="T38" s="18">
        <f t="shared" si="23"/>
        <v>13.185104166666665</v>
      </c>
      <c r="U38" s="18">
        <f t="shared" si="23"/>
        <v>16.185000000000002</v>
      </c>
      <c r="V38" s="18">
        <f t="shared" si="23"/>
        <v>15.729166666666668</v>
      </c>
      <c r="W38" s="18">
        <f t="shared" si="23"/>
        <v>14.349166666666667</v>
      </c>
      <c r="X38" s="18">
        <f t="shared" si="23"/>
        <v>12.003333333333334</v>
      </c>
      <c r="Y38" s="18">
        <f t="shared" si="23"/>
        <v>29.270312499999996</v>
      </c>
      <c r="Z38" s="18">
        <f t="shared" si="23"/>
        <v>26.435937499999998</v>
      </c>
      <c r="AA38" s="18">
        <f t="shared" si="23"/>
        <v>15.5471875</v>
      </c>
      <c r="AB38" s="18">
        <f t="shared" si="23"/>
        <v>15.155416666666669</v>
      </c>
      <c r="AC38" s="18">
        <f t="shared" si="23"/>
        <v>15.398645833333335</v>
      </c>
      <c r="AD38" s="18">
        <f t="shared" si="23"/>
        <v>16.384270833333332</v>
      </c>
      <c r="AE38" s="18">
        <f t="shared" si="23"/>
        <v>17.826979166666668</v>
      </c>
      <c r="AF38" s="18">
        <f t="shared" si="23"/>
        <v>27.159166666666671</v>
      </c>
      <c r="AG38" s="18">
        <f t="shared" si="23"/>
        <v>35.426249999999996</v>
      </c>
      <c r="AH38" s="18">
        <f t="shared" si="23"/>
        <v>12.1540625</v>
      </c>
      <c r="AI38" s="19">
        <f>+AI37*AI36</f>
        <v>18.70764112903225</v>
      </c>
      <c r="AJ38" s="6"/>
    </row>
    <row r="39" spans="1:36" x14ac:dyDescent="0.3">
      <c r="A39" s="2"/>
      <c r="B39" s="14"/>
      <c r="C39" s="15" t="s">
        <v>19</v>
      </c>
      <c r="D39" s="20">
        <v>2027.55</v>
      </c>
      <c r="E39" s="21">
        <v>2567.65</v>
      </c>
      <c r="F39" s="21">
        <v>1666.81</v>
      </c>
      <c r="G39" s="21">
        <v>1932.6</v>
      </c>
      <c r="H39" s="21">
        <v>1618.99</v>
      </c>
      <c r="I39" s="21">
        <v>1647.38</v>
      </c>
      <c r="J39" s="21">
        <v>1922.98</v>
      </c>
      <c r="K39" s="21">
        <v>1827.17</v>
      </c>
      <c r="L39" s="21">
        <v>1913.87</v>
      </c>
      <c r="M39" s="21">
        <v>1009.48</v>
      </c>
      <c r="N39" s="21">
        <v>1060.48</v>
      </c>
      <c r="O39" s="21">
        <v>1362.45</v>
      </c>
      <c r="P39" s="21">
        <v>1543.53</v>
      </c>
      <c r="Q39" s="21">
        <v>2137.98</v>
      </c>
      <c r="R39" s="21">
        <v>2098</v>
      </c>
      <c r="S39" s="21">
        <v>2244.86</v>
      </c>
      <c r="T39" s="21">
        <v>1265.77</v>
      </c>
      <c r="U39" s="21">
        <v>1553.76</v>
      </c>
      <c r="V39" s="21">
        <v>1510</v>
      </c>
      <c r="W39" s="21">
        <v>1377.52</v>
      </c>
      <c r="X39" s="21">
        <v>1152.32</v>
      </c>
      <c r="Y39" s="21">
        <v>2809.95</v>
      </c>
      <c r="Z39" s="21">
        <v>2537.85</v>
      </c>
      <c r="AA39" s="21">
        <v>1492.53</v>
      </c>
      <c r="AB39" s="21">
        <v>1454.92</v>
      </c>
      <c r="AC39" s="21">
        <v>1478.27</v>
      </c>
      <c r="AD39" s="21">
        <v>1572.89</v>
      </c>
      <c r="AE39" s="21">
        <v>1711.39</v>
      </c>
      <c r="AF39" s="21">
        <v>2607.2800000000002</v>
      </c>
      <c r="AG39" s="21">
        <v>3400.92</v>
      </c>
      <c r="AH39" s="21">
        <v>1166.79</v>
      </c>
      <c r="AI39" s="22">
        <f>SUM(D39:AH39)</f>
        <v>55673.939999999981</v>
      </c>
      <c r="AJ39" s="6"/>
    </row>
    <row r="40" spans="1:36" ht="15" thickBot="1" x14ac:dyDescent="0.35">
      <c r="A40" s="23"/>
      <c r="B40" s="24"/>
      <c r="C40" s="15" t="s">
        <v>20</v>
      </c>
      <c r="D40" s="25">
        <f>1689.61/D39</f>
        <v>0.8333259352420409</v>
      </c>
      <c r="E40" s="26">
        <f>960.01/E39</f>
        <v>0.37388662785036902</v>
      </c>
      <c r="F40" s="26">
        <f>662.76/F39</f>
        <v>0.39762180452481088</v>
      </c>
      <c r="G40" s="26">
        <f>1193.61/G39</f>
        <v>0.61761875194039118</v>
      </c>
      <c r="H40" s="26">
        <f>805.62/H39</f>
        <v>0.49760653246777314</v>
      </c>
      <c r="I40" s="26">
        <f>1071.18/I39</f>
        <v>0.65023249037866182</v>
      </c>
      <c r="J40" s="26">
        <f>962.4/J39</f>
        <v>0.5004732238504821</v>
      </c>
      <c r="K40" s="26">
        <f>1405.4/K39</f>
        <v>0.76916761987116689</v>
      </c>
      <c r="L40" s="26">
        <f>564.41/L39</f>
        <v>0.29490508759738121</v>
      </c>
      <c r="M40" s="26">
        <f>204.15/M39</f>
        <v>0.20223283274557197</v>
      </c>
      <c r="N40" s="26">
        <f>1438.83/N39</f>
        <v>1.3567724049487024</v>
      </c>
      <c r="O40" s="26">
        <f>1321.53/O39</f>
        <v>0.96996587030716719</v>
      </c>
      <c r="P40" s="26">
        <f>1281.88/P39</f>
        <v>0.83048596399162966</v>
      </c>
      <c r="Q40" s="26">
        <f>553.88/Q39</f>
        <v>0.25906696975649912</v>
      </c>
      <c r="R40" s="26">
        <f>1240.95/R39</f>
        <v>0.59149189704480465</v>
      </c>
      <c r="S40" s="26">
        <f>718.59/S39</f>
        <v>0.32010459449587059</v>
      </c>
      <c r="T40" s="26">
        <f>656.08/T39</f>
        <v>0.51832481414474985</v>
      </c>
      <c r="U40" s="26">
        <f>1215.55/U39</f>
        <v>0.78232803006899387</v>
      </c>
      <c r="V40" s="26">
        <f>1233.15/V39</f>
        <v>0.81665562913907286</v>
      </c>
      <c r="W40" s="26">
        <f>1186.37/W39</f>
        <v>0.86123613450258429</v>
      </c>
      <c r="X40" s="26">
        <f>1170.58/X39</f>
        <v>1.0158462926964731</v>
      </c>
      <c r="Y40" s="26">
        <f>958.81/Y39</f>
        <v>0.34121959465470914</v>
      </c>
      <c r="Z40" s="26">
        <f>358.2/Z39</f>
        <v>0.14114309356344937</v>
      </c>
      <c r="AA40" s="26">
        <f>566.84/AA39</f>
        <v>0.37978466094483865</v>
      </c>
      <c r="AB40" s="26">
        <f>937.44/AB39</f>
        <v>0.644324086547714</v>
      </c>
      <c r="AC40" s="26">
        <f>1069.98/AC39</f>
        <v>0.72380552943643583</v>
      </c>
      <c r="AD40" s="26">
        <f>883.68/AD39</f>
        <v>0.56181932620844421</v>
      </c>
      <c r="AE40" s="26">
        <f>1147.92/AE39</f>
        <v>0.67075301363219375</v>
      </c>
      <c r="AF40" s="26">
        <f>730.21/AF39</f>
        <v>0.2800658157159952</v>
      </c>
      <c r="AG40" s="26">
        <f>454.62/AG39</f>
        <v>0.13367559366289122</v>
      </c>
      <c r="AH40" s="26">
        <f>474.25/AH39</f>
        <v>0.40645703168522185</v>
      </c>
      <c r="AI40" s="27">
        <f>AVERAGE(D40:AG40)</f>
        <v>0.57786467406439557</v>
      </c>
      <c r="AJ40" s="6"/>
    </row>
    <row r="41" spans="1:36" ht="15" thickTop="1" x14ac:dyDescent="0.3">
      <c r="A41" s="2">
        <v>94</v>
      </c>
      <c r="B41" s="28" t="s">
        <v>29</v>
      </c>
      <c r="C41" s="29" t="s">
        <v>15</v>
      </c>
      <c r="D41" s="30">
        <v>60</v>
      </c>
      <c r="E41" s="31">
        <v>53</v>
      </c>
      <c r="F41" s="31">
        <v>45</v>
      </c>
      <c r="G41" s="31">
        <v>57</v>
      </c>
      <c r="H41" s="31">
        <v>48</v>
      </c>
      <c r="I41" s="31">
        <v>45</v>
      </c>
      <c r="J41" s="31">
        <v>44</v>
      </c>
      <c r="K41" s="31">
        <v>38</v>
      </c>
      <c r="L41" s="31">
        <v>41</v>
      </c>
      <c r="M41" s="31">
        <v>28</v>
      </c>
      <c r="N41" s="31">
        <v>28</v>
      </c>
      <c r="O41" s="31">
        <v>37</v>
      </c>
      <c r="P41" s="31">
        <v>47</v>
      </c>
      <c r="Q41" s="31">
        <v>47</v>
      </c>
      <c r="R41" s="31">
        <v>57</v>
      </c>
      <c r="S41" s="31">
        <v>60</v>
      </c>
      <c r="T41" s="31">
        <v>37</v>
      </c>
      <c r="U41" s="31">
        <v>30</v>
      </c>
      <c r="V41" s="31">
        <v>40</v>
      </c>
      <c r="W41" s="31">
        <v>33</v>
      </c>
      <c r="X41" s="31">
        <v>29</v>
      </c>
      <c r="Y41" s="31">
        <v>42</v>
      </c>
      <c r="Z41" s="31">
        <v>36</v>
      </c>
      <c r="AA41" s="31">
        <v>31</v>
      </c>
      <c r="AB41" s="31">
        <v>27</v>
      </c>
      <c r="AC41" s="31">
        <v>27</v>
      </c>
      <c r="AD41" s="31">
        <v>31</v>
      </c>
      <c r="AE41" s="31">
        <v>35</v>
      </c>
      <c r="AF41" s="31">
        <v>47</v>
      </c>
      <c r="AG41" s="31">
        <v>65</v>
      </c>
      <c r="AH41" s="31">
        <v>40</v>
      </c>
      <c r="AI41" s="32">
        <f>SUM(D41:AH41)</f>
        <v>1285</v>
      </c>
      <c r="AJ41" s="6"/>
    </row>
    <row r="42" spans="1:36" x14ac:dyDescent="0.3">
      <c r="A42" s="2"/>
      <c r="B42" s="33"/>
      <c r="C42" s="34" t="s">
        <v>16</v>
      </c>
      <c r="D42" s="35">
        <f t="shared" ref="D42:AH42" si="24">+D41/$A41</f>
        <v>0.63829787234042556</v>
      </c>
      <c r="E42" s="35">
        <f t="shared" si="24"/>
        <v>0.56382978723404253</v>
      </c>
      <c r="F42" s="35">
        <f t="shared" si="24"/>
        <v>0.47872340425531917</v>
      </c>
      <c r="G42" s="35">
        <f t="shared" si="24"/>
        <v>0.6063829787234043</v>
      </c>
      <c r="H42" s="35">
        <f t="shared" si="24"/>
        <v>0.51063829787234039</v>
      </c>
      <c r="I42" s="35">
        <f t="shared" si="24"/>
        <v>0.47872340425531917</v>
      </c>
      <c r="J42" s="35">
        <f t="shared" si="24"/>
        <v>0.46808510638297873</v>
      </c>
      <c r="K42" s="35">
        <f t="shared" si="24"/>
        <v>0.40425531914893614</v>
      </c>
      <c r="L42" s="35">
        <f t="shared" si="24"/>
        <v>0.43617021276595747</v>
      </c>
      <c r="M42" s="35">
        <f t="shared" si="24"/>
        <v>0.2978723404255319</v>
      </c>
      <c r="N42" s="35">
        <f t="shared" si="24"/>
        <v>0.2978723404255319</v>
      </c>
      <c r="O42" s="35">
        <f t="shared" si="24"/>
        <v>0.39361702127659576</v>
      </c>
      <c r="P42" s="35">
        <f t="shared" si="24"/>
        <v>0.5</v>
      </c>
      <c r="Q42" s="35">
        <f t="shared" si="24"/>
        <v>0.5</v>
      </c>
      <c r="R42" s="35">
        <f t="shared" si="24"/>
        <v>0.6063829787234043</v>
      </c>
      <c r="S42" s="35">
        <f t="shared" si="24"/>
        <v>0.63829787234042556</v>
      </c>
      <c r="T42" s="35">
        <f t="shared" si="24"/>
        <v>0.39361702127659576</v>
      </c>
      <c r="U42" s="35">
        <f t="shared" si="24"/>
        <v>0.31914893617021278</v>
      </c>
      <c r="V42" s="35">
        <f t="shared" si="24"/>
        <v>0.42553191489361702</v>
      </c>
      <c r="W42" s="35">
        <f t="shared" si="24"/>
        <v>0.35106382978723405</v>
      </c>
      <c r="X42" s="35">
        <f t="shared" si="24"/>
        <v>0.30851063829787234</v>
      </c>
      <c r="Y42" s="35">
        <f t="shared" si="24"/>
        <v>0.44680851063829785</v>
      </c>
      <c r="Z42" s="35">
        <f t="shared" si="24"/>
        <v>0.38297872340425532</v>
      </c>
      <c r="AA42" s="35">
        <f t="shared" si="24"/>
        <v>0.32978723404255317</v>
      </c>
      <c r="AB42" s="35">
        <f t="shared" si="24"/>
        <v>0.28723404255319152</v>
      </c>
      <c r="AC42" s="35">
        <f t="shared" si="24"/>
        <v>0.28723404255319152</v>
      </c>
      <c r="AD42" s="35">
        <f t="shared" si="24"/>
        <v>0.32978723404255317</v>
      </c>
      <c r="AE42" s="35">
        <f t="shared" si="24"/>
        <v>0.37234042553191488</v>
      </c>
      <c r="AF42" s="35">
        <f t="shared" si="24"/>
        <v>0.5</v>
      </c>
      <c r="AG42" s="35">
        <f t="shared" si="24"/>
        <v>0.69148936170212771</v>
      </c>
      <c r="AH42" s="35">
        <f t="shared" si="24"/>
        <v>0.42553191489361702</v>
      </c>
      <c r="AI42" s="36">
        <f>+AI41/(A41*A$1)</f>
        <v>0.44097460535346605</v>
      </c>
      <c r="AJ42" s="6"/>
    </row>
    <row r="43" spans="1:36" x14ac:dyDescent="0.3">
      <c r="A43" s="2"/>
      <c r="B43" s="33"/>
      <c r="C43" s="34" t="s">
        <v>17</v>
      </c>
      <c r="D43" s="37">
        <f t="shared" ref="D43:AH43" si="25">+IFERROR(D45/D41,0)</f>
        <v>70.8155</v>
      </c>
      <c r="E43" s="37">
        <f t="shared" si="25"/>
        <v>70.617735849056601</v>
      </c>
      <c r="F43" s="37">
        <f t="shared" si="25"/>
        <v>65.738</v>
      </c>
      <c r="G43" s="37">
        <f t="shared" si="25"/>
        <v>78.512807017543849</v>
      </c>
      <c r="H43" s="37">
        <f t="shared" si="25"/>
        <v>85.20645833333333</v>
      </c>
      <c r="I43" s="37">
        <f t="shared" si="25"/>
        <v>88.369555555555564</v>
      </c>
      <c r="J43" s="37">
        <f t="shared" si="25"/>
        <v>74.537500000000009</v>
      </c>
      <c r="K43" s="37">
        <f t="shared" si="25"/>
        <v>75.660263157894747</v>
      </c>
      <c r="L43" s="37">
        <f t="shared" si="25"/>
        <v>73.030243902439025</v>
      </c>
      <c r="M43" s="37">
        <f t="shared" si="25"/>
        <v>75.840357142857144</v>
      </c>
      <c r="N43" s="37">
        <f t="shared" si="25"/>
        <v>79.237857142857138</v>
      </c>
      <c r="O43" s="37">
        <f t="shared" si="25"/>
        <v>80.667837837837837</v>
      </c>
      <c r="P43" s="37">
        <f t="shared" si="25"/>
        <v>82.935106382978717</v>
      </c>
      <c r="Q43" s="37">
        <f t="shared" si="25"/>
        <v>78.862978723404254</v>
      </c>
      <c r="R43" s="37">
        <f t="shared" si="25"/>
        <v>80.845087719298249</v>
      </c>
      <c r="S43" s="37">
        <f t="shared" si="25"/>
        <v>78.965666666666664</v>
      </c>
      <c r="T43" s="37">
        <f t="shared" si="25"/>
        <v>74.610810810810804</v>
      </c>
      <c r="U43" s="37">
        <f t="shared" si="25"/>
        <v>74.236000000000004</v>
      </c>
      <c r="V43" s="37">
        <f t="shared" si="25"/>
        <v>94.3125</v>
      </c>
      <c r="W43" s="37">
        <f t="shared" si="25"/>
        <v>85.615757575757584</v>
      </c>
      <c r="X43" s="37">
        <f t="shared" si="25"/>
        <v>77.007586206896548</v>
      </c>
      <c r="Y43" s="37">
        <f t="shared" si="25"/>
        <v>76.18452380952381</v>
      </c>
      <c r="Z43" s="37">
        <f t="shared" si="25"/>
        <v>71.968611111111102</v>
      </c>
      <c r="AA43" s="37">
        <f t="shared" si="25"/>
        <v>72.291612903225811</v>
      </c>
      <c r="AB43" s="37">
        <f t="shared" si="25"/>
        <v>73.242962962962963</v>
      </c>
      <c r="AC43" s="37">
        <f t="shared" si="25"/>
        <v>77.29296296296296</v>
      </c>
      <c r="AD43" s="37">
        <f t="shared" si="25"/>
        <v>73.510645161290327</v>
      </c>
      <c r="AE43" s="37">
        <f t="shared" si="25"/>
        <v>74.522000000000006</v>
      </c>
      <c r="AF43" s="37">
        <f t="shared" si="25"/>
        <v>72.301063829787239</v>
      </c>
      <c r="AG43" s="37">
        <f t="shared" si="25"/>
        <v>70.397076923076924</v>
      </c>
      <c r="AH43" s="37">
        <f t="shared" si="25"/>
        <v>73.39</v>
      </c>
      <c r="AI43" s="38">
        <f>+AI45/AI41</f>
        <v>76.754599221789888</v>
      </c>
      <c r="AJ43" s="6"/>
    </row>
    <row r="44" spans="1:36" x14ac:dyDescent="0.3">
      <c r="A44" s="2"/>
      <c r="B44" s="33"/>
      <c r="C44" s="34" t="s">
        <v>18</v>
      </c>
      <c r="D44" s="37">
        <f t="shared" ref="D44:AH44" si="26">+D42*D43</f>
        <v>45.201382978723409</v>
      </c>
      <c r="E44" s="37">
        <f t="shared" si="26"/>
        <v>39.816382978723404</v>
      </c>
      <c r="F44" s="37">
        <f t="shared" si="26"/>
        <v>31.47031914893617</v>
      </c>
      <c r="G44" s="37">
        <f t="shared" si="26"/>
        <v>47.608829787234036</v>
      </c>
      <c r="H44" s="37">
        <f t="shared" si="26"/>
        <v>43.509680851063827</v>
      </c>
      <c r="I44" s="37">
        <f t="shared" si="26"/>
        <v>42.304574468085114</v>
      </c>
      <c r="J44" s="37">
        <f t="shared" si="26"/>
        <v>34.889893617021279</v>
      </c>
      <c r="K44" s="37">
        <f t="shared" si="26"/>
        <v>30.586063829787236</v>
      </c>
      <c r="L44" s="37">
        <f t="shared" si="26"/>
        <v>31.853617021276598</v>
      </c>
      <c r="M44" s="37">
        <f t="shared" si="26"/>
        <v>22.590744680851063</v>
      </c>
      <c r="N44" s="37">
        <f t="shared" si="26"/>
        <v>23.602765957446806</v>
      </c>
      <c r="O44" s="37">
        <f t="shared" si="26"/>
        <v>31.752234042553191</v>
      </c>
      <c r="P44" s="37">
        <f t="shared" si="26"/>
        <v>41.467553191489358</v>
      </c>
      <c r="Q44" s="37">
        <f t="shared" si="26"/>
        <v>39.431489361702127</v>
      </c>
      <c r="R44" s="37">
        <f t="shared" si="26"/>
        <v>49.023085106382986</v>
      </c>
      <c r="S44" s="37">
        <f t="shared" si="26"/>
        <v>50.403617021276595</v>
      </c>
      <c r="T44" s="37">
        <f t="shared" si="26"/>
        <v>29.368085106382978</v>
      </c>
      <c r="U44" s="37">
        <f t="shared" si="26"/>
        <v>23.692340425531917</v>
      </c>
      <c r="V44" s="37">
        <f t="shared" si="26"/>
        <v>40.132978723404257</v>
      </c>
      <c r="W44" s="37">
        <f t="shared" si="26"/>
        <v>30.056595744680855</v>
      </c>
      <c r="X44" s="37">
        <f t="shared" si="26"/>
        <v>23.757659574468082</v>
      </c>
      <c r="Y44" s="37">
        <f t="shared" si="26"/>
        <v>34.039893617021278</v>
      </c>
      <c r="Z44" s="37">
        <f t="shared" si="26"/>
        <v>27.562446808510636</v>
      </c>
      <c r="AA44" s="37">
        <f t="shared" si="26"/>
        <v>23.840851063829788</v>
      </c>
      <c r="AB44" s="37">
        <f t="shared" si="26"/>
        <v>21.037872340425533</v>
      </c>
      <c r="AC44" s="37">
        <f t="shared" si="26"/>
        <v>22.201170212765959</v>
      </c>
      <c r="AD44" s="37">
        <f t="shared" si="26"/>
        <v>24.242872340425532</v>
      </c>
      <c r="AE44" s="37">
        <f t="shared" si="26"/>
        <v>27.747553191489363</v>
      </c>
      <c r="AF44" s="37">
        <f t="shared" si="26"/>
        <v>36.15053191489362</v>
      </c>
      <c r="AG44" s="37">
        <f t="shared" si="26"/>
        <v>48.678829787234044</v>
      </c>
      <c r="AH44" s="37">
        <f t="shared" si="26"/>
        <v>31.229787234042554</v>
      </c>
      <c r="AI44" s="38">
        <f>+AI43*AI42</f>
        <v>33.846829100892251</v>
      </c>
      <c r="AJ44" s="6"/>
    </row>
    <row r="45" spans="1:36" x14ac:dyDescent="0.3">
      <c r="A45" s="2"/>
      <c r="B45" s="33"/>
      <c r="C45" s="34" t="s">
        <v>19</v>
      </c>
      <c r="D45" s="20">
        <v>4248.93</v>
      </c>
      <c r="E45" s="21">
        <v>3742.74</v>
      </c>
      <c r="F45" s="21">
        <v>2958.21</v>
      </c>
      <c r="G45" s="21">
        <v>4475.2299999999996</v>
      </c>
      <c r="H45" s="21">
        <v>4089.91</v>
      </c>
      <c r="I45" s="21">
        <v>3976.63</v>
      </c>
      <c r="J45" s="21">
        <v>3279.65</v>
      </c>
      <c r="K45" s="21">
        <v>2875.09</v>
      </c>
      <c r="L45" s="21">
        <v>2994.24</v>
      </c>
      <c r="M45" s="21">
        <v>2123.5300000000002</v>
      </c>
      <c r="N45" s="21">
        <v>2218.66</v>
      </c>
      <c r="O45" s="21">
        <v>2984.71</v>
      </c>
      <c r="P45" s="21">
        <v>3897.95</v>
      </c>
      <c r="Q45" s="21">
        <v>3706.56</v>
      </c>
      <c r="R45" s="21">
        <v>4608.17</v>
      </c>
      <c r="S45" s="21">
        <v>4737.9399999999996</v>
      </c>
      <c r="T45" s="21">
        <v>2760.6</v>
      </c>
      <c r="U45" s="21">
        <v>2227.08</v>
      </c>
      <c r="V45" s="21">
        <v>3772.5</v>
      </c>
      <c r="W45" s="21">
        <v>2825.32</v>
      </c>
      <c r="X45" s="21">
        <v>2233.2199999999998</v>
      </c>
      <c r="Y45" s="21">
        <v>3199.75</v>
      </c>
      <c r="Z45" s="21">
        <v>2590.87</v>
      </c>
      <c r="AA45" s="21">
        <v>2241.04</v>
      </c>
      <c r="AB45" s="21">
        <v>1977.56</v>
      </c>
      <c r="AC45" s="21">
        <v>2086.91</v>
      </c>
      <c r="AD45" s="21">
        <v>2278.83</v>
      </c>
      <c r="AE45" s="21">
        <v>2608.27</v>
      </c>
      <c r="AF45" s="21">
        <v>3398.15</v>
      </c>
      <c r="AG45" s="21">
        <v>4575.8100000000004</v>
      </c>
      <c r="AH45" s="21">
        <v>2935.6</v>
      </c>
      <c r="AI45" s="39">
        <f>SUM(D45:AH45)</f>
        <v>98629.66</v>
      </c>
      <c r="AJ45" s="6"/>
    </row>
    <row r="46" spans="1:36" ht="15" thickBot="1" x14ac:dyDescent="0.35">
      <c r="A46" s="23"/>
      <c r="B46" s="40"/>
      <c r="C46" s="41" t="s">
        <v>20</v>
      </c>
      <c r="D46" s="49">
        <f>2053.2/D45</f>
        <v>0.48322754199292522</v>
      </c>
      <c r="E46" s="50">
        <f>500.98/E45</f>
        <v>0.13385380763825433</v>
      </c>
      <c r="F46" s="50">
        <f>626.65/F45</f>
        <v>0.21183418350962235</v>
      </c>
      <c r="G46" s="50">
        <f>849.59/G45</f>
        <v>0.18984275668513129</v>
      </c>
      <c r="H46" s="50">
        <f>507.47/H45</f>
        <v>0.12407852495531688</v>
      </c>
      <c r="I46" s="50">
        <f>866.31/I45</f>
        <v>0.2178502903212016</v>
      </c>
      <c r="J46" s="50">
        <f>879.5/J45</f>
        <v>0.2681688594819569</v>
      </c>
      <c r="K46" s="50">
        <f>959.76/K45</f>
        <v>0.33381911522769719</v>
      </c>
      <c r="L46" s="50">
        <f>787.29/L45</f>
        <v>0.26293483488297531</v>
      </c>
      <c r="M46" s="50">
        <f>820.53/M45</f>
        <v>0.386399061939318</v>
      </c>
      <c r="N46" s="52">
        <f>665.84/N45</f>
        <v>0.30010907484697974</v>
      </c>
      <c r="O46" s="50">
        <f>603.92/O45</f>
        <v>0.20233791557638764</v>
      </c>
      <c r="P46" s="50">
        <f>954.2/P45</f>
        <v>0.2447953411408561</v>
      </c>
      <c r="Q46" s="50">
        <f>640.7/Q45</f>
        <v>0.17285569368902703</v>
      </c>
      <c r="R46" s="50">
        <f>900.12/R45</f>
        <v>0.19533133543250358</v>
      </c>
      <c r="S46" s="50">
        <f>652.19/S45</f>
        <v>0.13765265073006414</v>
      </c>
      <c r="T46" s="50">
        <f>644.37/T45</f>
        <v>0.23341664855466204</v>
      </c>
      <c r="U46" s="53">
        <f>833.28/U45</f>
        <v>0.37415809041435422</v>
      </c>
      <c r="V46" s="50">
        <f>685.87/V45</f>
        <v>0.18180781974817761</v>
      </c>
      <c r="W46" s="50">
        <f>786.55/W45</f>
        <v>0.27839324395112763</v>
      </c>
      <c r="X46" s="50">
        <f>678.26/X45</f>
        <v>0.3037139198108561</v>
      </c>
      <c r="Y46" s="50">
        <f>802.21/Y45</f>
        <v>0.25071021173529184</v>
      </c>
      <c r="Z46" s="50">
        <f>470.89/Z45</f>
        <v>0.18174975973321703</v>
      </c>
      <c r="AA46" s="50">
        <f>636.63/AA45</f>
        <v>0.28407792810480847</v>
      </c>
      <c r="AB46" s="50">
        <f>622.25/AB45</f>
        <v>0.3146554339691337</v>
      </c>
      <c r="AC46" s="50">
        <f>470.1/AC45</f>
        <v>0.22526127144917607</v>
      </c>
      <c r="AD46" s="50">
        <f>602.58/AD45</f>
        <v>0.26442516554547729</v>
      </c>
      <c r="AE46" s="50">
        <f>448.77/AE45</f>
        <v>0.17205657389764095</v>
      </c>
      <c r="AF46" s="50">
        <f>612.27/AF45</f>
        <v>0.18017744949457792</v>
      </c>
      <c r="AG46" s="50">
        <f>753.48/AG45</f>
        <v>0.16466592799963284</v>
      </c>
      <c r="AH46" s="50">
        <f>616.31/AH45</f>
        <v>0.20994345278648316</v>
      </c>
      <c r="AI46" s="51">
        <f>AVERAGE(D46:AG46)</f>
        <v>0.24247868108194498</v>
      </c>
      <c r="AJ46" s="6"/>
    </row>
    <row r="47" spans="1:36" ht="15" thickTop="1" x14ac:dyDescent="0.3">
      <c r="A47" s="23"/>
      <c r="B47" s="340" t="s">
        <v>77</v>
      </c>
      <c r="C47" s="341"/>
      <c r="D47" s="42">
        <f>(2053.2+1689.61)/(D39+D45)</f>
        <v>0.59632309829713459</v>
      </c>
      <c r="E47" s="43">
        <f>(500.98+960.01)/(E39+E45)</f>
        <v>0.23152134812586864</v>
      </c>
      <c r="F47" s="43">
        <f>(626.65+662.76)/(F39+F45)</f>
        <v>0.27879014577234257</v>
      </c>
      <c r="G47" s="43">
        <f>(849.59+1193.61)/(G39+G45)</f>
        <v>0.31885989484739763</v>
      </c>
      <c r="H47" s="43">
        <f>(507.47+805.62)/(H39+H45)</f>
        <v>0.23000753209900335</v>
      </c>
      <c r="I47" s="43">
        <f>(866.31+1071.18)/(I39+I45)</f>
        <v>0.34450329924733419</v>
      </c>
      <c r="J47" s="43">
        <f>(879.5+962.4)/(J39+J45)</f>
        <v>0.35403247972659985</v>
      </c>
      <c r="K47" s="43">
        <f>(959.76+1405.4)/(K39+K45)</f>
        <v>0.50298367168127656</v>
      </c>
      <c r="L47" s="43">
        <f>(787.29+564.41)/(L39+L45)</f>
        <v>0.27540132556116304</v>
      </c>
      <c r="M47" s="43">
        <f>(820.53+204.15)/(M39+M45)</f>
        <v>0.32705928164927656</v>
      </c>
      <c r="N47" s="43">
        <f>(665.84+1438.83)/(N39+N45)</f>
        <v>0.641835969187043</v>
      </c>
      <c r="O47" s="43">
        <f>(603.92+1321.53)/(O39+O45)</f>
        <v>0.4429213555516705</v>
      </c>
      <c r="P47" s="43">
        <f>(954.2+1281.88)/(P39+P45)</f>
        <v>0.4109323198835611</v>
      </c>
      <c r="Q47" s="43">
        <f>(640.7+553.88)/(Q39+Q45)</f>
        <v>0.20439247571237426</v>
      </c>
      <c r="R47" s="43">
        <f>(900.12+1240.95)/(R39+R45)</f>
        <v>0.31926867347532201</v>
      </c>
      <c r="S47" s="43">
        <f>(652.19+718.59)/(S39+S45)</f>
        <v>0.19630807126081234</v>
      </c>
      <c r="T47" s="43">
        <f>(644.37+656.08)/(T39+T45)</f>
        <v>0.32298323303620879</v>
      </c>
      <c r="U47" s="43">
        <f>(833.28+1215.55)/(U39+U45)</f>
        <v>0.54189809671924749</v>
      </c>
      <c r="V47" s="43">
        <f>(685.87+1233.15)/(V39+V45)</f>
        <v>0.36327875059157594</v>
      </c>
      <c r="W47" s="43">
        <f>(786.55+1186.37)/(W39+W45)</f>
        <v>0.46942543613366194</v>
      </c>
      <c r="X47" s="43">
        <f>(678.26+1170.58)/(X39+X45)</f>
        <v>0.54609899750113722</v>
      </c>
      <c r="Y47" s="43">
        <f>(802.21+958.81)/(Y39+Y45)</f>
        <v>0.29302960214320184</v>
      </c>
      <c r="Z47" s="43">
        <f>(470.89+358.2)/(Z39+Z45)</f>
        <v>0.16165631970550157</v>
      </c>
      <c r="AA47" s="43">
        <f>(636.63+566.84)/(AA39+AA45)</f>
        <v>0.32233760181274224</v>
      </c>
      <c r="AB47" s="43">
        <f>(622.25+937.44)/(AB39+AB45)</f>
        <v>0.45439157693562671</v>
      </c>
      <c r="AC47" s="43">
        <f>(470.1+1069.98)/(AC39+AC45)</f>
        <v>0.4319781890395436</v>
      </c>
      <c r="AD47" s="43">
        <f>(605.82+883.68)/(AD39+AD45)</f>
        <v>0.38671035277746041</v>
      </c>
      <c r="AE47" s="43">
        <f>(448.77+1147.92)/(AE39+AE45)</f>
        <v>0.369633258173097</v>
      </c>
      <c r="AF47" s="43">
        <f>(612.27+730.21)/(AF39+AF45)</f>
        <v>0.22354435902175199</v>
      </c>
      <c r="AG47" s="43">
        <f>(753.48+454.62)/(AG39+AG45)</f>
        <v>0.15145303902727056</v>
      </c>
      <c r="AH47" s="43">
        <f>(616.31+474.25)/(AH39+AH45)</f>
        <v>0.26583528138475376</v>
      </c>
      <c r="AI47" s="44">
        <f>AVERAGE(D47:AG47)</f>
        <v>0.35711865848987362</v>
      </c>
      <c r="AJ47" s="6"/>
    </row>
    <row r="48" spans="1:36" ht="15" thickBot="1" x14ac:dyDescent="0.35">
      <c r="A48" s="23"/>
      <c r="B48" s="342" t="s">
        <v>78</v>
      </c>
      <c r="C48" s="343"/>
      <c r="D48" s="42">
        <f t="shared" ref="D48:AH48" si="27">D47</f>
        <v>0.59632309829713459</v>
      </c>
      <c r="E48" s="43">
        <f t="shared" si="27"/>
        <v>0.23152134812586864</v>
      </c>
      <c r="F48" s="43">
        <f t="shared" si="27"/>
        <v>0.27879014577234257</v>
      </c>
      <c r="G48" s="43">
        <f t="shared" si="27"/>
        <v>0.31885989484739763</v>
      </c>
      <c r="H48" s="43">
        <f t="shared" si="27"/>
        <v>0.23000753209900335</v>
      </c>
      <c r="I48" s="43">
        <f t="shared" si="27"/>
        <v>0.34450329924733419</v>
      </c>
      <c r="J48" s="43">
        <f t="shared" si="27"/>
        <v>0.35403247972659985</v>
      </c>
      <c r="K48" s="43">
        <f t="shared" si="27"/>
        <v>0.50298367168127656</v>
      </c>
      <c r="L48" s="43">
        <f t="shared" si="27"/>
        <v>0.27540132556116304</v>
      </c>
      <c r="M48" s="43">
        <f t="shared" si="27"/>
        <v>0.32705928164927656</v>
      </c>
      <c r="N48" s="43">
        <f t="shared" si="27"/>
        <v>0.641835969187043</v>
      </c>
      <c r="O48" s="43">
        <f t="shared" si="27"/>
        <v>0.4429213555516705</v>
      </c>
      <c r="P48" s="43">
        <f t="shared" si="27"/>
        <v>0.4109323198835611</v>
      </c>
      <c r="Q48" s="43">
        <f t="shared" si="27"/>
        <v>0.20439247571237426</v>
      </c>
      <c r="R48" s="43">
        <f t="shared" si="27"/>
        <v>0.31926867347532201</v>
      </c>
      <c r="S48" s="43">
        <f t="shared" si="27"/>
        <v>0.19630807126081234</v>
      </c>
      <c r="T48" s="43">
        <f t="shared" si="27"/>
        <v>0.32298323303620879</v>
      </c>
      <c r="U48" s="43">
        <f t="shared" si="27"/>
        <v>0.54189809671924749</v>
      </c>
      <c r="V48" s="43">
        <f t="shared" si="27"/>
        <v>0.36327875059157594</v>
      </c>
      <c r="W48" s="43">
        <f t="shared" si="27"/>
        <v>0.46942543613366194</v>
      </c>
      <c r="X48" s="43">
        <f t="shared" si="27"/>
        <v>0.54609899750113722</v>
      </c>
      <c r="Y48" s="43">
        <f t="shared" si="27"/>
        <v>0.29302960214320184</v>
      </c>
      <c r="Z48" s="43">
        <f t="shared" si="27"/>
        <v>0.16165631970550157</v>
      </c>
      <c r="AA48" s="43">
        <f t="shared" si="27"/>
        <v>0.32233760181274224</v>
      </c>
      <c r="AB48" s="43">
        <f t="shared" si="27"/>
        <v>0.45439157693562671</v>
      </c>
      <c r="AC48" s="43">
        <f t="shared" si="27"/>
        <v>0.4319781890395436</v>
      </c>
      <c r="AD48" s="43">
        <f t="shared" si="27"/>
        <v>0.38671035277746041</v>
      </c>
      <c r="AE48" s="43">
        <f t="shared" si="27"/>
        <v>0.369633258173097</v>
      </c>
      <c r="AF48" s="43">
        <f t="shared" si="27"/>
        <v>0.22354435902175199</v>
      </c>
      <c r="AG48" s="43">
        <f t="shared" si="27"/>
        <v>0.15145303902727056</v>
      </c>
      <c r="AH48" s="43">
        <f t="shared" si="27"/>
        <v>0.26583528138475376</v>
      </c>
      <c r="AI48" s="44">
        <f>AVERAGE(D48:AH48)</f>
        <v>0.35417403342196652</v>
      </c>
      <c r="AJ48" s="6"/>
    </row>
    <row r="49" spans="1:36" ht="15" thickTop="1" x14ac:dyDescent="0.3">
      <c r="A49" s="2">
        <v>224</v>
      </c>
      <c r="B49" s="9" t="s">
        <v>69</v>
      </c>
      <c r="C49" s="10" t="s">
        <v>15</v>
      </c>
      <c r="D49" s="11">
        <f>86+27</f>
        <v>113</v>
      </c>
      <c r="E49" s="12">
        <f>83+20</f>
        <v>103</v>
      </c>
      <c r="F49" s="12">
        <f>46+19</f>
        <v>65</v>
      </c>
      <c r="G49" s="12">
        <f>53+25</f>
        <v>78</v>
      </c>
      <c r="H49" s="12">
        <f>85+34</f>
        <v>119</v>
      </c>
      <c r="I49" s="12">
        <f>89+40</f>
        <v>129</v>
      </c>
      <c r="J49" s="12">
        <f>93+34</f>
        <v>127</v>
      </c>
      <c r="K49" s="12">
        <f>96+35</f>
        <v>131</v>
      </c>
      <c r="L49" s="12">
        <f>86+32</f>
        <v>118</v>
      </c>
      <c r="M49" s="12">
        <f>81+40</f>
        <v>121</v>
      </c>
      <c r="N49" s="12">
        <f>65+28</f>
        <v>93</v>
      </c>
      <c r="O49" s="12">
        <f>71+29</f>
        <v>100</v>
      </c>
      <c r="P49" s="12">
        <f>69+35</f>
        <v>104</v>
      </c>
      <c r="Q49" s="12">
        <f>50+41</f>
        <v>91</v>
      </c>
      <c r="R49" s="12">
        <f>53+26</f>
        <v>79</v>
      </c>
      <c r="S49" s="12">
        <f>84+40</f>
        <v>124</v>
      </c>
      <c r="T49" s="12">
        <f>48+30</f>
        <v>78</v>
      </c>
      <c r="U49" s="12">
        <f>74+31</f>
        <v>105</v>
      </c>
      <c r="V49" s="12">
        <f>57+35</f>
        <v>92</v>
      </c>
      <c r="W49" s="12">
        <f>64+27</f>
        <v>91</v>
      </c>
      <c r="X49" s="12">
        <f>64+34</f>
        <v>98</v>
      </c>
      <c r="Y49" s="54">
        <f>61+32</f>
        <v>93</v>
      </c>
      <c r="Z49" s="54">
        <f>66+28</f>
        <v>94</v>
      </c>
      <c r="AA49" s="12">
        <f>49+27</f>
        <v>76</v>
      </c>
      <c r="AB49" s="12">
        <f>65+18</f>
        <v>83</v>
      </c>
      <c r="AC49" s="12">
        <f>64+17</f>
        <v>81</v>
      </c>
      <c r="AD49" s="12">
        <f>65+28</f>
        <v>93</v>
      </c>
      <c r="AE49" s="12">
        <f>57+25</f>
        <v>82</v>
      </c>
      <c r="AF49" s="12">
        <f>62+26</f>
        <v>88</v>
      </c>
      <c r="AG49" s="12">
        <f>57+23</f>
        <v>80</v>
      </c>
      <c r="AH49" s="12">
        <f>53+24</f>
        <v>77</v>
      </c>
      <c r="AI49" s="13">
        <f>SUM(D49:AG49)</f>
        <v>2929</v>
      </c>
      <c r="AJ49" s="6"/>
    </row>
    <row r="50" spans="1:36" x14ac:dyDescent="0.3">
      <c r="A50" s="2"/>
      <c r="B50" s="14"/>
      <c r="C50" s="15" t="s">
        <v>16</v>
      </c>
      <c r="D50" s="16">
        <f>D49/$A$49</f>
        <v>0.5044642857142857</v>
      </c>
      <c r="E50" s="16">
        <f t="shared" ref="E50:AH50" si="28">E49/$A$49</f>
        <v>0.45982142857142855</v>
      </c>
      <c r="F50" s="16">
        <f t="shared" si="28"/>
        <v>0.29017857142857145</v>
      </c>
      <c r="G50" s="16">
        <f t="shared" si="28"/>
        <v>0.3482142857142857</v>
      </c>
      <c r="H50" s="16">
        <f t="shared" si="28"/>
        <v>0.53125</v>
      </c>
      <c r="I50" s="16">
        <f t="shared" si="28"/>
        <v>0.5758928571428571</v>
      </c>
      <c r="J50" s="16">
        <f t="shared" si="28"/>
        <v>0.5669642857142857</v>
      </c>
      <c r="K50" s="16">
        <f t="shared" si="28"/>
        <v>0.5848214285714286</v>
      </c>
      <c r="L50" s="16">
        <f t="shared" si="28"/>
        <v>0.5267857142857143</v>
      </c>
      <c r="M50" s="16">
        <f t="shared" si="28"/>
        <v>0.5401785714285714</v>
      </c>
      <c r="N50" s="16">
        <f t="shared" si="28"/>
        <v>0.41517857142857145</v>
      </c>
      <c r="O50" s="16">
        <f t="shared" si="28"/>
        <v>0.44642857142857145</v>
      </c>
      <c r="P50" s="16">
        <f t="shared" si="28"/>
        <v>0.4642857142857143</v>
      </c>
      <c r="Q50" s="16">
        <f t="shared" si="28"/>
        <v>0.40625</v>
      </c>
      <c r="R50" s="16">
        <f t="shared" si="28"/>
        <v>0.35267857142857145</v>
      </c>
      <c r="S50" s="16">
        <f t="shared" si="28"/>
        <v>0.5535714285714286</v>
      </c>
      <c r="T50" s="16">
        <f t="shared" si="28"/>
        <v>0.3482142857142857</v>
      </c>
      <c r="U50" s="16">
        <f t="shared" si="28"/>
        <v>0.46875</v>
      </c>
      <c r="V50" s="16">
        <f t="shared" si="28"/>
        <v>0.4107142857142857</v>
      </c>
      <c r="W50" s="16">
        <f t="shared" si="28"/>
        <v>0.40625</v>
      </c>
      <c r="X50" s="16">
        <f t="shared" si="28"/>
        <v>0.4375</v>
      </c>
      <c r="Y50" s="16">
        <f t="shared" si="28"/>
        <v>0.41517857142857145</v>
      </c>
      <c r="Z50" s="16">
        <f t="shared" si="28"/>
        <v>0.41964285714285715</v>
      </c>
      <c r="AA50" s="16">
        <f t="shared" si="28"/>
        <v>0.3392857142857143</v>
      </c>
      <c r="AB50" s="16">
        <f t="shared" si="28"/>
        <v>0.3705357142857143</v>
      </c>
      <c r="AC50" s="16">
        <f t="shared" si="28"/>
        <v>0.36160714285714285</v>
      </c>
      <c r="AD50" s="16">
        <f t="shared" si="28"/>
        <v>0.41517857142857145</v>
      </c>
      <c r="AE50" s="16">
        <f t="shared" si="28"/>
        <v>0.36607142857142855</v>
      </c>
      <c r="AF50" s="16">
        <f t="shared" si="28"/>
        <v>0.39285714285714285</v>
      </c>
      <c r="AG50" s="16">
        <f t="shared" si="28"/>
        <v>0.35714285714285715</v>
      </c>
      <c r="AH50" s="16">
        <f t="shared" si="28"/>
        <v>0.34375</v>
      </c>
      <c r="AI50" s="17">
        <f>+AI49/(A49*A$1)</f>
        <v>0.42180299539170507</v>
      </c>
      <c r="AJ50" s="6"/>
    </row>
    <row r="51" spans="1:36" x14ac:dyDescent="0.3">
      <c r="A51" s="2"/>
      <c r="B51" s="14"/>
      <c r="C51" s="15" t="s">
        <v>17</v>
      </c>
      <c r="D51" s="18">
        <f>+IFERROR(D53/D49,0)</f>
        <v>103.40035398230089</v>
      </c>
      <c r="E51" s="18">
        <f t="shared" ref="E51:AH51" si="29">+IFERROR(E53/E49,0)</f>
        <v>79.672330097087382</v>
      </c>
      <c r="F51" s="18">
        <f t="shared" si="29"/>
        <v>98.591384615384612</v>
      </c>
      <c r="G51" s="18">
        <f t="shared" si="29"/>
        <v>97.912948717948723</v>
      </c>
      <c r="H51" s="18">
        <f t="shared" si="29"/>
        <v>94.725630252100842</v>
      </c>
      <c r="I51" s="18">
        <f t="shared" si="29"/>
        <v>95.241240310077529</v>
      </c>
      <c r="J51" s="18">
        <f t="shared" si="29"/>
        <v>88.056771653543294</v>
      </c>
      <c r="K51" s="18">
        <f t="shared" si="29"/>
        <v>79.500687022900763</v>
      </c>
      <c r="L51" s="18">
        <f t="shared" si="29"/>
        <v>85.56728813559323</v>
      </c>
      <c r="M51" s="18">
        <f t="shared" si="29"/>
        <v>93.852066115702485</v>
      </c>
      <c r="N51" s="18">
        <f t="shared" si="29"/>
        <v>98.651612903225811</v>
      </c>
      <c r="O51" s="18">
        <f t="shared" si="29"/>
        <v>92.894500000000008</v>
      </c>
      <c r="P51" s="18">
        <f t="shared" si="29"/>
        <v>96.333749999999995</v>
      </c>
      <c r="Q51" s="18">
        <f t="shared" si="29"/>
        <v>98.948571428571427</v>
      </c>
      <c r="R51" s="18">
        <f t="shared" si="29"/>
        <v>134.89835443037973</v>
      </c>
      <c r="S51" s="18">
        <f t="shared" si="29"/>
        <v>89.753951612903222</v>
      </c>
      <c r="T51" s="18">
        <f t="shared" si="29"/>
        <v>87.0248717948718</v>
      </c>
      <c r="U51" s="18">
        <f t="shared" si="29"/>
        <v>91.903904761904755</v>
      </c>
      <c r="V51" s="18">
        <f t="shared" si="29"/>
        <v>98.767500000000013</v>
      </c>
      <c r="W51" s="18">
        <f t="shared" si="29"/>
        <v>97.233406593406585</v>
      </c>
      <c r="X51" s="18">
        <f t="shared" si="29"/>
        <v>91.291428571428582</v>
      </c>
      <c r="Y51" s="18">
        <f t="shared" si="29"/>
        <v>99.852795698924751</v>
      </c>
      <c r="Z51" s="18">
        <f t="shared" si="29"/>
        <v>86.614468085106381</v>
      </c>
      <c r="AA51" s="18">
        <f t="shared" si="29"/>
        <v>90.23342105263157</v>
      </c>
      <c r="AB51" s="18">
        <f t="shared" si="29"/>
        <v>92.180602409638553</v>
      </c>
      <c r="AC51" s="18">
        <f t="shared" si="29"/>
        <v>99.334320987654323</v>
      </c>
      <c r="AD51" s="18">
        <f t="shared" si="29"/>
        <v>90.637096774193552</v>
      </c>
      <c r="AE51" s="18">
        <f t="shared" si="29"/>
        <v>87.587195121951225</v>
      </c>
      <c r="AF51" s="18">
        <f t="shared" si="29"/>
        <v>82.410568181818178</v>
      </c>
      <c r="AG51" s="18">
        <f t="shared" si="29"/>
        <v>80.793999999999997</v>
      </c>
      <c r="AH51" s="18">
        <f t="shared" si="29"/>
        <v>87.019350649350642</v>
      </c>
      <c r="AI51" s="19">
        <f>+AI53/AI49</f>
        <v>93.017473540457488</v>
      </c>
      <c r="AJ51" s="6"/>
    </row>
    <row r="52" spans="1:36" x14ac:dyDescent="0.3">
      <c r="A52" s="2"/>
      <c r="B52" s="14"/>
      <c r="C52" s="15" t="s">
        <v>18</v>
      </c>
      <c r="D52" s="18">
        <f>+D50*D51</f>
        <v>52.161785714285713</v>
      </c>
      <c r="E52" s="18">
        <f t="shared" ref="E52:AH52" si="30">+E50*E51</f>
        <v>36.635044642857146</v>
      </c>
      <c r="F52" s="18">
        <f t="shared" si="30"/>
        <v>28.609107142857145</v>
      </c>
      <c r="G52" s="18">
        <f t="shared" si="30"/>
        <v>34.094687499999999</v>
      </c>
      <c r="H52" s="18">
        <f t="shared" si="30"/>
        <v>50.322991071428575</v>
      </c>
      <c r="I52" s="18">
        <f t="shared" si="30"/>
        <v>54.848750000000003</v>
      </c>
      <c r="J52" s="18">
        <f t="shared" si="30"/>
        <v>49.925044642857131</v>
      </c>
      <c r="K52" s="18">
        <f t="shared" si="30"/>
        <v>46.493705357142858</v>
      </c>
      <c r="L52" s="18">
        <f t="shared" si="30"/>
        <v>45.075625000000009</v>
      </c>
      <c r="M52" s="18">
        <f t="shared" si="30"/>
        <v>50.696874999999999</v>
      </c>
      <c r="N52" s="18">
        <f t="shared" si="30"/>
        <v>40.958035714285721</v>
      </c>
      <c r="O52" s="18">
        <f t="shared" si="30"/>
        <v>41.470758928571435</v>
      </c>
      <c r="P52" s="18">
        <f t="shared" si="30"/>
        <v>44.72638392857143</v>
      </c>
      <c r="Q52" s="18">
        <f t="shared" si="30"/>
        <v>40.197857142857146</v>
      </c>
      <c r="R52" s="18">
        <f t="shared" si="30"/>
        <v>47.575758928571425</v>
      </c>
      <c r="S52" s="18">
        <f t="shared" si="30"/>
        <v>49.685223214285713</v>
      </c>
      <c r="T52" s="18">
        <f t="shared" si="30"/>
        <v>30.303303571428572</v>
      </c>
      <c r="U52" s="18">
        <f t="shared" si="30"/>
        <v>43.07995535714285</v>
      </c>
      <c r="V52" s="18">
        <f t="shared" si="30"/>
        <v>40.565223214285716</v>
      </c>
      <c r="W52" s="18">
        <f t="shared" si="30"/>
        <v>39.501071428571422</v>
      </c>
      <c r="X52" s="18">
        <f t="shared" si="30"/>
        <v>39.940000000000005</v>
      </c>
      <c r="Y52" s="18">
        <f t="shared" si="30"/>
        <v>41.456741071428581</v>
      </c>
      <c r="Z52" s="18">
        <f t="shared" si="30"/>
        <v>36.347142857142856</v>
      </c>
      <c r="AA52" s="18">
        <f t="shared" si="30"/>
        <v>30.614910714285713</v>
      </c>
      <c r="AB52" s="18">
        <f t="shared" si="30"/>
        <v>34.156205357142859</v>
      </c>
      <c r="AC52" s="18">
        <f t="shared" si="30"/>
        <v>35.92</v>
      </c>
      <c r="AD52" s="18">
        <f t="shared" si="30"/>
        <v>37.630580357142861</v>
      </c>
      <c r="AE52" s="18">
        <f t="shared" si="30"/>
        <v>32.06316964285714</v>
      </c>
      <c r="AF52" s="18">
        <f t="shared" si="30"/>
        <v>32.375580357142852</v>
      </c>
      <c r="AG52" s="18">
        <f t="shared" si="30"/>
        <v>28.855</v>
      </c>
      <c r="AH52" s="18">
        <f t="shared" si="30"/>
        <v>29.912901785714283</v>
      </c>
      <c r="AI52" s="19">
        <f>+AI51*AI50</f>
        <v>39.235048963133636</v>
      </c>
      <c r="AJ52" s="6"/>
    </row>
    <row r="53" spans="1:36" x14ac:dyDescent="0.3">
      <c r="A53" s="2"/>
      <c r="B53" s="14"/>
      <c r="C53" s="15" t="s">
        <v>19</v>
      </c>
      <c r="D53" s="20">
        <f>9045.26+2638.98</f>
        <v>11684.24</v>
      </c>
      <c r="E53" s="21">
        <f>6439.38+1766.87</f>
        <v>8206.25</v>
      </c>
      <c r="F53" s="21">
        <f>4478.49+1929.95</f>
        <v>6408.44</v>
      </c>
      <c r="G53" s="21">
        <f>5128.51+2508.7</f>
        <v>7637.21</v>
      </c>
      <c r="H53" s="21">
        <f>7861.53+3410.82</f>
        <v>11272.35</v>
      </c>
      <c r="I53" s="21">
        <f>8296.01+3990.11</f>
        <v>12286.12</v>
      </c>
      <c r="J53" s="21">
        <f>7733.92+3449.29</f>
        <v>11183.21</v>
      </c>
      <c r="K53" s="21">
        <f>7678.32+2736.27</f>
        <v>10414.59</v>
      </c>
      <c r="L53" s="21">
        <f>7198.05+2898.89</f>
        <v>10096.94</v>
      </c>
      <c r="M53" s="21">
        <f>7490.92+3865.18</f>
        <v>11356.1</v>
      </c>
      <c r="N53" s="21">
        <f>6365.66+2808.94</f>
        <v>9174.6</v>
      </c>
      <c r="O53" s="21">
        <f>6616.26+2673.19</f>
        <v>9289.4500000000007</v>
      </c>
      <c r="P53" s="21">
        <f>6533.49+3485.22</f>
        <v>10018.709999999999</v>
      </c>
      <c r="Q53" s="21">
        <f>4690.89+4313.43</f>
        <v>9004.32</v>
      </c>
      <c r="R53" s="21">
        <f>8229.3+2427.67</f>
        <v>10656.97</v>
      </c>
      <c r="S53" s="21">
        <f>7695.87+3433.62</f>
        <v>11129.49</v>
      </c>
      <c r="T53" s="21">
        <f>4092.79+2695.15</f>
        <v>6787.9400000000005</v>
      </c>
      <c r="U53" s="21">
        <f>6689.8+2960.11</f>
        <v>9649.91</v>
      </c>
      <c r="V53" s="21">
        <f>5557.33+3529.28</f>
        <v>9086.61</v>
      </c>
      <c r="W53" s="21">
        <f>6272.42+2575.82</f>
        <v>8848.24</v>
      </c>
      <c r="X53" s="21">
        <f>5756.35+3190.21</f>
        <v>8946.5600000000013</v>
      </c>
      <c r="Y53" s="21">
        <f>6427.43+2858.88</f>
        <v>9286.3100000000013</v>
      </c>
      <c r="Z53" s="21">
        <f>5704.73+2437.03</f>
        <v>8141.76</v>
      </c>
      <c r="AA53" s="21">
        <f>4380.9+2476.84</f>
        <v>6857.74</v>
      </c>
      <c r="AB53" s="21">
        <f>5971.32+1679.67</f>
        <v>7650.99</v>
      </c>
      <c r="AC53" s="21">
        <f>5967.82+2078.26</f>
        <v>8046.08</v>
      </c>
      <c r="AD53" s="21">
        <f>5813.64+2615.61</f>
        <v>8429.25</v>
      </c>
      <c r="AE53" s="21">
        <f>4895.06+2287.09</f>
        <v>7182.1500000000005</v>
      </c>
      <c r="AF53" s="21">
        <f>5084.79+2167.34</f>
        <v>7252.13</v>
      </c>
      <c r="AG53" s="21">
        <f>4668.07+1795.45</f>
        <v>6463.5199999999995</v>
      </c>
      <c r="AH53" s="21">
        <f>4632.23+2068.26</f>
        <v>6700.49</v>
      </c>
      <c r="AI53" s="22">
        <f>SUM(D53:AG53)</f>
        <v>272448.18</v>
      </c>
      <c r="AJ53" s="6"/>
    </row>
    <row r="54" spans="1:36" x14ac:dyDescent="0.3">
      <c r="A54" s="2"/>
      <c r="B54" s="14"/>
      <c r="C54" s="15" t="s">
        <v>34</v>
      </c>
      <c r="D54" s="20">
        <v>2941.6</v>
      </c>
      <c r="E54" s="21">
        <v>305.27</v>
      </c>
      <c r="F54" s="21">
        <v>7217</v>
      </c>
      <c r="G54" s="21">
        <v>489.18</v>
      </c>
      <c r="H54" s="21">
        <v>673.94</v>
      </c>
      <c r="I54" s="21">
        <v>676.84</v>
      </c>
      <c r="J54" s="21">
        <f>731.16</f>
        <v>731.16</v>
      </c>
      <c r="K54" s="21">
        <v>947.88</v>
      </c>
      <c r="L54" s="21">
        <v>546.38</v>
      </c>
      <c r="M54" s="21">
        <v>733.65</v>
      </c>
      <c r="N54" s="21">
        <v>556.61</v>
      </c>
      <c r="O54" s="21">
        <v>1070.7</v>
      </c>
      <c r="P54" s="21">
        <v>453.59</v>
      </c>
      <c r="Q54" s="21">
        <v>643.02</v>
      </c>
      <c r="R54" s="21">
        <v>450.3</v>
      </c>
      <c r="S54" s="21">
        <v>1358.95</v>
      </c>
      <c r="T54" s="21">
        <v>227.57</v>
      </c>
      <c r="U54" s="21">
        <v>643.12</v>
      </c>
      <c r="V54" s="21">
        <v>3967.54</v>
      </c>
      <c r="W54" s="21">
        <v>3810.86</v>
      </c>
      <c r="X54" s="21">
        <v>468.77</v>
      </c>
      <c r="Y54" s="21">
        <v>338.4</v>
      </c>
      <c r="Z54" s="21">
        <v>663.75</v>
      </c>
      <c r="AA54" s="21">
        <v>788.38</v>
      </c>
      <c r="AB54" s="21">
        <v>1740.8</v>
      </c>
      <c r="AC54" s="21">
        <v>117.32</v>
      </c>
      <c r="AD54" s="21">
        <v>678.94</v>
      </c>
      <c r="AE54" s="21">
        <v>307.06</v>
      </c>
      <c r="AF54" s="21">
        <v>404.51</v>
      </c>
      <c r="AG54" s="21">
        <v>424.94</v>
      </c>
      <c r="AH54" s="21">
        <v>681.58</v>
      </c>
      <c r="AI54" s="22">
        <f>SUM(D54:AH54)</f>
        <v>35059.610000000008</v>
      </c>
      <c r="AJ54" s="6"/>
    </row>
    <row r="55" spans="1:36" ht="15" thickBot="1" x14ac:dyDescent="0.35">
      <c r="A55" s="2"/>
      <c r="B55" s="14"/>
      <c r="C55" s="15" t="s">
        <v>35</v>
      </c>
      <c r="D55" s="20">
        <f>13014.95+2717.48</f>
        <v>15732.43</v>
      </c>
      <c r="E55" s="21">
        <f>6776.06+1777.95</f>
        <v>8554.01</v>
      </c>
      <c r="F55" s="21">
        <f>12408.4+1955.9</f>
        <v>14364.3</v>
      </c>
      <c r="G55" s="21">
        <f>5617.65+2507.78</f>
        <v>8125.43</v>
      </c>
      <c r="H55" s="21">
        <f>11287.01+3431.09</f>
        <v>14718.1</v>
      </c>
      <c r="I55" s="21">
        <f>14685.53+4030.76</f>
        <v>18716.29</v>
      </c>
      <c r="J55" s="21">
        <f>8463.6+3497.57</f>
        <v>11961.17</v>
      </c>
      <c r="K55" s="21">
        <f>8624.78+2779.61</f>
        <v>11404.390000000001</v>
      </c>
      <c r="L55" s="21">
        <f>7742.15+2936.77</f>
        <v>10678.92</v>
      </c>
      <c r="M55" s="21">
        <f>8223.84+3881.79</f>
        <v>12105.630000000001</v>
      </c>
      <c r="N55" s="21">
        <f>6920.09+2870.14</f>
        <v>9790.23</v>
      </c>
      <c r="O55" s="21">
        <f>7756.95+2705.99</f>
        <v>10462.939999999999</v>
      </c>
      <c r="P55" s="21">
        <f>7000.43+3544.56</f>
        <v>10544.99</v>
      </c>
      <c r="Q55" s="21">
        <f>5367.49+4358.69</f>
        <v>9726.18</v>
      </c>
      <c r="R55" s="21">
        <f>8679.9+2471.96</f>
        <v>11151.86</v>
      </c>
      <c r="S55" s="21">
        <f>9053.88+3468.74</f>
        <v>12522.619999999999</v>
      </c>
      <c r="T55" s="21">
        <f>4317.4+2717.29</f>
        <v>7034.69</v>
      </c>
      <c r="U55" s="21">
        <f>7332.44+2978.59</f>
        <v>10311.029999999999</v>
      </c>
      <c r="V55" s="21">
        <f>12467.91+3567.3</f>
        <v>16035.21</v>
      </c>
      <c r="W55" s="55">
        <f>10325.29+2582.31</f>
        <v>12907.6</v>
      </c>
      <c r="X55" s="21">
        <f>6413+3212.36</f>
        <v>9625.36</v>
      </c>
      <c r="Y55" s="21">
        <f>6765.09+2891.63</f>
        <v>9656.7200000000012</v>
      </c>
      <c r="Z55" s="21">
        <f>6620.4+2439.8</f>
        <v>9060.2000000000007</v>
      </c>
      <c r="AA55" s="21">
        <f>5168.63+2552.59</f>
        <v>7721.22</v>
      </c>
      <c r="AB55" s="21">
        <f>7767.87+1714.3</f>
        <v>9482.17</v>
      </c>
      <c r="AC55" s="21">
        <f>6085.08+2099.73</f>
        <v>8184.8099999999995</v>
      </c>
      <c r="AD55" s="21">
        <f>6492.54+2632.46</f>
        <v>9125</v>
      </c>
      <c r="AE55" s="21">
        <f>5383.31+2325.18</f>
        <v>7708.49</v>
      </c>
      <c r="AF55" s="21">
        <f>5600.59+2235.06</f>
        <v>7835.65</v>
      </c>
      <c r="AG55" s="21">
        <f>5197.02+1798.22</f>
        <v>6995.2400000000007</v>
      </c>
      <c r="AH55" s="21">
        <f>5411.39+2922.81</f>
        <v>8334.2000000000007</v>
      </c>
      <c r="AI55" s="22">
        <f>SUM(D55:AG55)</f>
        <v>322242.87999999995</v>
      </c>
      <c r="AJ55" s="6"/>
    </row>
    <row r="56" spans="1:36" ht="15" thickBot="1" x14ac:dyDescent="0.35">
      <c r="A56" s="23"/>
      <c r="B56" s="24"/>
      <c r="C56" s="15" t="s">
        <v>20</v>
      </c>
      <c r="D56" s="25">
        <f>6318.62/D55</f>
        <v>0.40163026309349542</v>
      </c>
      <c r="E56" s="26">
        <f>1604.2/E55</f>
        <v>0.18753777468111446</v>
      </c>
      <c r="F56" s="26">
        <f>1199.06/F55</f>
        <v>8.3475004002979608E-2</v>
      </c>
      <c r="G56" s="26">
        <f>1817.35/G55</f>
        <v>0.22366200927212465</v>
      </c>
      <c r="H56" s="26">
        <f>1867.36/H55</f>
        <v>0.12687507219002453</v>
      </c>
      <c r="I56" s="26">
        <f>1968.75/I55</f>
        <v>0.10518911600536217</v>
      </c>
      <c r="J56" s="26">
        <f>2247.83/J55</f>
        <v>0.18792726798465367</v>
      </c>
      <c r="K56" s="26">
        <f>2165.44/K55</f>
        <v>0.18987775760036266</v>
      </c>
      <c r="L56" s="26">
        <f>1444.68/L55</f>
        <v>0.13528334325943073</v>
      </c>
      <c r="M56" s="26">
        <f>1005.17/M55</f>
        <v>8.3033266339711351E-2</v>
      </c>
      <c r="N56" s="26">
        <f>2116.74/N55</f>
        <v>0.21620942511054386</v>
      </c>
      <c r="O56" s="26">
        <f>2085.84/O55</f>
        <v>0.19935505699162953</v>
      </c>
      <c r="P56" s="26">
        <f>2046.93/P55</f>
        <v>0.19411398209007311</v>
      </c>
      <c r="Q56" s="88" t="s">
        <v>82</v>
      </c>
      <c r="R56" s="26"/>
      <c r="S56" s="26"/>
      <c r="T56" s="26"/>
      <c r="U56" s="26">
        <f>2073.73/U55</f>
        <v>0.20111763810211009</v>
      </c>
      <c r="V56" s="26">
        <f>2279.24/V55</f>
        <v>0.14213970381429367</v>
      </c>
      <c r="W56" s="26">
        <f>2002.57/W55</f>
        <v>0.15514658030927514</v>
      </c>
      <c r="X56" s="26">
        <f>2343.94/X55</f>
        <v>0.24351712559322455</v>
      </c>
      <c r="Y56" s="26">
        <f>2227.35/Y55</f>
        <v>0.23065285107158534</v>
      </c>
      <c r="Z56" s="26">
        <f>1410.79/Z55</f>
        <v>0.15571289817001829</v>
      </c>
      <c r="AA56" s="26">
        <f>1616.41/AA55</f>
        <v>0.20934645043140851</v>
      </c>
      <c r="AB56" s="26">
        <f>1803.6/AB55</f>
        <v>0.19020962501199618</v>
      </c>
      <c r="AC56" s="26">
        <f>2148.7/AC55</f>
        <v>0.2625228930176754</v>
      </c>
      <c r="AD56" s="26">
        <f>1897.24/AD55</f>
        <v>0.20791671232876713</v>
      </c>
      <c r="AE56" s="26">
        <f>2526.52/AE55</f>
        <v>0.32775809529492805</v>
      </c>
      <c r="AF56" s="26">
        <f>1859.82/AF55</f>
        <v>0.23735363371258289</v>
      </c>
      <c r="AG56" s="26">
        <f>1031.44/AG55</f>
        <v>0.1474488366374849</v>
      </c>
      <c r="AH56" s="26">
        <f>1433.74/AH55</f>
        <v>0.1720309087854863</v>
      </c>
      <c r="AI56" s="27">
        <f>AVERAGE(D56:AG56)</f>
        <v>0.19403893777372525</v>
      </c>
      <c r="AJ56" s="56"/>
    </row>
    <row r="57" spans="1:36" ht="15" thickBot="1" x14ac:dyDescent="0.35">
      <c r="A57" s="23"/>
      <c r="B57" s="346" t="s">
        <v>80</v>
      </c>
      <c r="C57" s="347"/>
      <c r="D57" s="25">
        <f t="shared" ref="D57:P57" si="31">D56</f>
        <v>0.40163026309349542</v>
      </c>
      <c r="E57" s="26">
        <f t="shared" si="31"/>
        <v>0.18753777468111446</v>
      </c>
      <c r="F57" s="26">
        <f t="shared" si="31"/>
        <v>8.3475004002979608E-2</v>
      </c>
      <c r="G57" s="26">
        <f t="shared" si="31"/>
        <v>0.22366200927212465</v>
      </c>
      <c r="H57" s="26">
        <f t="shared" si="31"/>
        <v>0.12687507219002453</v>
      </c>
      <c r="I57" s="26">
        <f t="shared" si="31"/>
        <v>0.10518911600536217</v>
      </c>
      <c r="J57" s="26">
        <f t="shared" si="31"/>
        <v>0.18792726798465367</v>
      </c>
      <c r="K57" s="26">
        <f t="shared" si="31"/>
        <v>0.18987775760036266</v>
      </c>
      <c r="L57" s="26">
        <f t="shared" si="31"/>
        <v>0.13528334325943073</v>
      </c>
      <c r="M57" s="26">
        <f t="shared" si="31"/>
        <v>8.3033266339711351E-2</v>
      </c>
      <c r="N57" s="26">
        <f t="shared" si="31"/>
        <v>0.21620942511054386</v>
      </c>
      <c r="O57" s="26">
        <f t="shared" si="31"/>
        <v>0.19935505699162953</v>
      </c>
      <c r="P57" s="26">
        <f t="shared" si="31"/>
        <v>0.19411398209007311</v>
      </c>
      <c r="Q57" s="88" t="s">
        <v>82</v>
      </c>
      <c r="R57" s="26"/>
      <c r="S57" s="26"/>
      <c r="T57" s="26"/>
      <c r="U57" s="26">
        <f t="shared" ref="U57:AH57" si="32">U56</f>
        <v>0.20111763810211009</v>
      </c>
      <c r="V57" s="26">
        <f t="shared" si="32"/>
        <v>0.14213970381429367</v>
      </c>
      <c r="W57" s="26">
        <f t="shared" si="32"/>
        <v>0.15514658030927514</v>
      </c>
      <c r="X57" s="26">
        <f t="shared" si="32"/>
        <v>0.24351712559322455</v>
      </c>
      <c r="Y57" s="26">
        <f t="shared" si="32"/>
        <v>0.23065285107158534</v>
      </c>
      <c r="Z57" s="57">
        <f t="shared" si="32"/>
        <v>0.15571289817001829</v>
      </c>
      <c r="AA57" s="26">
        <f t="shared" si="32"/>
        <v>0.20934645043140851</v>
      </c>
      <c r="AB57" s="26">
        <f t="shared" si="32"/>
        <v>0.19020962501199618</v>
      </c>
      <c r="AC57" s="26">
        <f t="shared" si="32"/>
        <v>0.2625228930176754</v>
      </c>
      <c r="AD57" s="26">
        <f t="shared" si="32"/>
        <v>0.20791671232876713</v>
      </c>
      <c r="AE57" s="26">
        <f t="shared" si="32"/>
        <v>0.32775809529492805</v>
      </c>
      <c r="AF57" s="26">
        <f t="shared" si="32"/>
        <v>0.23735363371258289</v>
      </c>
      <c r="AG57" s="26">
        <f t="shared" si="32"/>
        <v>0.1474488366374849</v>
      </c>
      <c r="AH57" s="26">
        <f t="shared" si="32"/>
        <v>0.1720309087854863</v>
      </c>
      <c r="AI57" s="27">
        <f>AVERAGE(D57:AH57)</f>
        <v>0.19322382558897566</v>
      </c>
      <c r="AJ57" s="58"/>
    </row>
    <row r="58" spans="1:36" x14ac:dyDescent="0.3">
      <c r="A58" s="2">
        <v>74</v>
      </c>
      <c r="B58" s="33" t="s">
        <v>36</v>
      </c>
      <c r="C58" s="34" t="s">
        <v>15</v>
      </c>
      <c r="D58" s="59">
        <v>34</v>
      </c>
      <c r="E58" s="60">
        <v>49</v>
      </c>
      <c r="F58" s="60">
        <v>14</v>
      </c>
      <c r="G58" s="60">
        <v>15</v>
      </c>
      <c r="H58" s="60">
        <v>19</v>
      </c>
      <c r="I58" s="60">
        <v>25</v>
      </c>
      <c r="J58" s="60">
        <v>18</v>
      </c>
      <c r="K58" s="60">
        <v>20</v>
      </c>
      <c r="L58" s="60">
        <v>16</v>
      </c>
      <c r="M58" s="60">
        <v>16</v>
      </c>
      <c r="N58" s="60">
        <v>15</v>
      </c>
      <c r="O58" s="60">
        <v>13</v>
      </c>
      <c r="P58" s="60">
        <v>23</v>
      </c>
      <c r="Q58" s="60">
        <v>50</v>
      </c>
      <c r="R58" s="60">
        <v>32</v>
      </c>
      <c r="S58" s="60">
        <v>33</v>
      </c>
      <c r="T58" s="60">
        <v>16</v>
      </c>
      <c r="U58" s="60">
        <v>17</v>
      </c>
      <c r="V58" s="60">
        <v>22</v>
      </c>
      <c r="W58" s="60">
        <v>22</v>
      </c>
      <c r="X58" s="60">
        <v>22</v>
      </c>
      <c r="Y58" s="60">
        <v>32</v>
      </c>
      <c r="Z58" s="61">
        <v>31</v>
      </c>
      <c r="AA58" s="60">
        <v>12</v>
      </c>
      <c r="AB58" s="60">
        <v>34</v>
      </c>
      <c r="AC58" s="60">
        <v>43</v>
      </c>
      <c r="AD58" s="60">
        <v>51</v>
      </c>
      <c r="AE58" s="60">
        <v>46</v>
      </c>
      <c r="AF58" s="60">
        <v>15</v>
      </c>
      <c r="AG58" s="60">
        <v>34</v>
      </c>
      <c r="AH58" s="60">
        <v>41</v>
      </c>
      <c r="AI58" s="62">
        <f>SUM(D58:AH58)</f>
        <v>830</v>
      </c>
      <c r="AJ58" s="6"/>
    </row>
    <row r="59" spans="1:36" x14ac:dyDescent="0.3">
      <c r="A59" s="2"/>
      <c r="B59" s="33"/>
      <c r="C59" s="34" t="s">
        <v>16</v>
      </c>
      <c r="D59" s="35">
        <f t="shared" ref="D59:AH59" si="33">+D58/$A58</f>
        <v>0.45945945945945948</v>
      </c>
      <c r="E59" s="35">
        <f t="shared" si="33"/>
        <v>0.66216216216216217</v>
      </c>
      <c r="F59" s="35">
        <f t="shared" si="33"/>
        <v>0.1891891891891892</v>
      </c>
      <c r="G59" s="35">
        <f t="shared" si="33"/>
        <v>0.20270270270270271</v>
      </c>
      <c r="H59" s="35">
        <f t="shared" si="33"/>
        <v>0.25675675675675674</v>
      </c>
      <c r="I59" s="35">
        <f t="shared" si="33"/>
        <v>0.33783783783783783</v>
      </c>
      <c r="J59" s="35">
        <f t="shared" si="33"/>
        <v>0.24324324324324326</v>
      </c>
      <c r="K59" s="35">
        <f t="shared" si="33"/>
        <v>0.27027027027027029</v>
      </c>
      <c r="L59" s="35">
        <f t="shared" si="33"/>
        <v>0.21621621621621623</v>
      </c>
      <c r="M59" s="35">
        <f t="shared" si="33"/>
        <v>0.21621621621621623</v>
      </c>
      <c r="N59" s="35">
        <f t="shared" si="33"/>
        <v>0.20270270270270271</v>
      </c>
      <c r="O59" s="35">
        <f t="shared" si="33"/>
        <v>0.17567567567567569</v>
      </c>
      <c r="P59" s="35">
        <f t="shared" si="33"/>
        <v>0.3108108108108108</v>
      </c>
      <c r="Q59" s="35">
        <f t="shared" si="33"/>
        <v>0.67567567567567566</v>
      </c>
      <c r="R59" s="35">
        <f t="shared" si="33"/>
        <v>0.43243243243243246</v>
      </c>
      <c r="S59" s="35">
        <f t="shared" si="33"/>
        <v>0.44594594594594594</v>
      </c>
      <c r="T59" s="35">
        <f t="shared" si="33"/>
        <v>0.21621621621621623</v>
      </c>
      <c r="U59" s="35">
        <f t="shared" si="33"/>
        <v>0.22972972972972974</v>
      </c>
      <c r="V59" s="35">
        <f t="shared" si="33"/>
        <v>0.29729729729729731</v>
      </c>
      <c r="W59" s="35">
        <f t="shared" si="33"/>
        <v>0.29729729729729731</v>
      </c>
      <c r="X59" s="35">
        <f t="shared" si="33"/>
        <v>0.29729729729729731</v>
      </c>
      <c r="Y59" s="35">
        <f t="shared" si="33"/>
        <v>0.43243243243243246</v>
      </c>
      <c r="Z59" s="35">
        <f t="shared" si="33"/>
        <v>0.41891891891891891</v>
      </c>
      <c r="AA59" s="35">
        <f t="shared" si="33"/>
        <v>0.16216216216216217</v>
      </c>
      <c r="AB59" s="35">
        <f t="shared" si="33"/>
        <v>0.45945945945945948</v>
      </c>
      <c r="AC59" s="35">
        <f t="shared" si="33"/>
        <v>0.58108108108108103</v>
      </c>
      <c r="AD59" s="35">
        <f t="shared" si="33"/>
        <v>0.68918918918918914</v>
      </c>
      <c r="AE59" s="35">
        <f t="shared" si="33"/>
        <v>0.6216216216216216</v>
      </c>
      <c r="AF59" s="35">
        <f t="shared" si="33"/>
        <v>0.20270270270270271</v>
      </c>
      <c r="AG59" s="35">
        <f t="shared" si="33"/>
        <v>0.45945945945945948</v>
      </c>
      <c r="AH59" s="35">
        <f t="shared" si="33"/>
        <v>0.55405405405405406</v>
      </c>
      <c r="AI59" s="63">
        <f>+AI58/(A58*A$1)</f>
        <v>0.36181342632955538</v>
      </c>
      <c r="AJ59" s="6"/>
    </row>
    <row r="60" spans="1:36" x14ac:dyDescent="0.3">
      <c r="A60" s="2"/>
      <c r="B60" s="33"/>
      <c r="C60" s="34" t="s">
        <v>17</v>
      </c>
      <c r="D60" s="37">
        <f t="shared" ref="D60:AH60" si="34">+IFERROR(D62/D58,0)</f>
        <v>83.049705882352939</v>
      </c>
      <c r="E60" s="37">
        <f t="shared" si="34"/>
        <v>83.20204081632653</v>
      </c>
      <c r="F60" s="37">
        <f t="shared" si="34"/>
        <v>80.984285714285718</v>
      </c>
      <c r="G60" s="37">
        <f t="shared" si="34"/>
        <v>72.451333333333338</v>
      </c>
      <c r="H60" s="37">
        <f t="shared" si="34"/>
        <v>75.715789473684211</v>
      </c>
      <c r="I60" s="37">
        <f t="shared" si="34"/>
        <v>72.548400000000001</v>
      </c>
      <c r="J60" s="37">
        <f t="shared" si="34"/>
        <v>62.294444444444444</v>
      </c>
      <c r="K60" s="37">
        <f t="shared" si="34"/>
        <v>63.576499999999996</v>
      </c>
      <c r="L60" s="37">
        <f t="shared" si="34"/>
        <v>94.712500000000006</v>
      </c>
      <c r="M60" s="37">
        <f t="shared" si="34"/>
        <v>94.712500000000006</v>
      </c>
      <c r="N60" s="37">
        <f t="shared" si="34"/>
        <v>69.670666666666662</v>
      </c>
      <c r="O60" s="37">
        <f t="shared" si="34"/>
        <v>64.516153846153856</v>
      </c>
      <c r="P60" s="37">
        <f t="shared" si="34"/>
        <v>72.05</v>
      </c>
      <c r="Q60" s="37">
        <f t="shared" si="34"/>
        <v>72.390799999999999</v>
      </c>
      <c r="R60" s="37">
        <f t="shared" si="34"/>
        <v>82.596562500000005</v>
      </c>
      <c r="S60" s="37">
        <f t="shared" si="34"/>
        <v>64.548484848484847</v>
      </c>
      <c r="T60" s="37">
        <f t="shared" si="34"/>
        <v>57.357500000000002</v>
      </c>
      <c r="U60" s="37">
        <f t="shared" si="34"/>
        <v>60.766470588235293</v>
      </c>
      <c r="V60" s="37">
        <f t="shared" si="34"/>
        <v>63.107272727272722</v>
      </c>
      <c r="W60" s="37">
        <f t="shared" si="34"/>
        <v>64.0059090909091</v>
      </c>
      <c r="X60" s="37">
        <f t="shared" si="34"/>
        <v>64.099545454545463</v>
      </c>
      <c r="Y60" s="37">
        <f t="shared" si="34"/>
        <v>69.565312500000005</v>
      </c>
      <c r="Z60" s="37">
        <f t="shared" si="34"/>
        <v>74.419032258064505</v>
      </c>
      <c r="AA60" s="37">
        <f t="shared" si="34"/>
        <v>62.541666666666664</v>
      </c>
      <c r="AB60" s="37">
        <f t="shared" si="34"/>
        <v>62.07264705882352</v>
      </c>
      <c r="AC60" s="37">
        <f t="shared" si="34"/>
        <v>63.92</v>
      </c>
      <c r="AD60" s="37">
        <f t="shared" si="34"/>
        <v>64.570196078431366</v>
      </c>
      <c r="AE60" s="37">
        <f t="shared" si="34"/>
        <v>59.39478260869565</v>
      </c>
      <c r="AF60" s="37">
        <f t="shared" si="34"/>
        <v>61.265999999999998</v>
      </c>
      <c r="AG60" s="37">
        <f t="shared" si="34"/>
        <v>76.660294117647055</v>
      </c>
      <c r="AH60" s="37">
        <f t="shared" si="34"/>
        <v>76.795609756097562</v>
      </c>
      <c r="AI60" s="64">
        <f>+AI62/AI58</f>
        <v>70.759120481927695</v>
      </c>
      <c r="AJ60" s="6"/>
    </row>
    <row r="61" spans="1:36" x14ac:dyDescent="0.3">
      <c r="A61" s="2"/>
      <c r="B61" s="33"/>
      <c r="C61" s="34" t="s">
        <v>18</v>
      </c>
      <c r="D61" s="37">
        <f t="shared" ref="D61:AH61" si="35">+D59*D60</f>
        <v>38.157972972972971</v>
      </c>
      <c r="E61" s="37">
        <f t="shared" si="35"/>
        <v>55.093243243243244</v>
      </c>
      <c r="F61" s="37">
        <f t="shared" si="35"/>
        <v>15.321351351351353</v>
      </c>
      <c r="G61" s="37">
        <f t="shared" si="35"/>
        <v>14.686081081081083</v>
      </c>
      <c r="H61" s="37">
        <f t="shared" si="35"/>
        <v>19.440540540540539</v>
      </c>
      <c r="I61" s="37">
        <f t="shared" si="35"/>
        <v>24.509594594594596</v>
      </c>
      <c r="J61" s="37">
        <f t="shared" si="35"/>
        <v>15.152702702702703</v>
      </c>
      <c r="K61" s="37">
        <f t="shared" si="35"/>
        <v>17.182837837837837</v>
      </c>
      <c r="L61" s="37">
        <f t="shared" si="35"/>
        <v>20.47837837837838</v>
      </c>
      <c r="M61" s="37">
        <f t="shared" si="35"/>
        <v>20.47837837837838</v>
      </c>
      <c r="N61" s="37">
        <f t="shared" si="35"/>
        <v>14.122432432432433</v>
      </c>
      <c r="O61" s="37">
        <f t="shared" si="35"/>
        <v>11.333918918918922</v>
      </c>
      <c r="P61" s="37">
        <f t="shared" si="35"/>
        <v>22.393918918918917</v>
      </c>
      <c r="Q61" s="37">
        <f t="shared" si="35"/>
        <v>48.912702702702703</v>
      </c>
      <c r="R61" s="37">
        <f t="shared" si="35"/>
        <v>35.717432432432439</v>
      </c>
      <c r="S61" s="37">
        <f t="shared" si="35"/>
        <v>28.785135135135135</v>
      </c>
      <c r="T61" s="37">
        <f t="shared" si="35"/>
        <v>12.401621621621622</v>
      </c>
      <c r="U61" s="37">
        <f t="shared" si="35"/>
        <v>13.959864864864866</v>
      </c>
      <c r="V61" s="37">
        <f t="shared" si="35"/>
        <v>18.761621621621622</v>
      </c>
      <c r="W61" s="37">
        <f t="shared" si="35"/>
        <v>19.028783783783787</v>
      </c>
      <c r="X61" s="37">
        <f t="shared" si="35"/>
        <v>19.056621621621627</v>
      </c>
      <c r="Y61" s="37">
        <f t="shared" si="35"/>
        <v>30.082297297297302</v>
      </c>
      <c r="Z61" s="37">
        <f t="shared" si="35"/>
        <v>31.175540540540535</v>
      </c>
      <c r="AA61" s="37">
        <f t="shared" si="35"/>
        <v>10.141891891891891</v>
      </c>
      <c r="AB61" s="37">
        <f t="shared" si="35"/>
        <v>28.519864864864861</v>
      </c>
      <c r="AC61" s="37">
        <f t="shared" si="35"/>
        <v>37.142702702702699</v>
      </c>
      <c r="AD61" s="37">
        <f t="shared" si="35"/>
        <v>44.501081081081075</v>
      </c>
      <c r="AE61" s="37">
        <f t="shared" si="35"/>
        <v>36.921081081081077</v>
      </c>
      <c r="AF61" s="37">
        <f t="shared" si="35"/>
        <v>12.418783783783784</v>
      </c>
      <c r="AG61" s="37">
        <f t="shared" si="35"/>
        <v>35.222297297297295</v>
      </c>
      <c r="AH61" s="37">
        <f t="shared" si="35"/>
        <v>42.548918918918922</v>
      </c>
      <c r="AI61" s="64">
        <f>+AI60*AI59</f>
        <v>25.601599825632078</v>
      </c>
      <c r="AJ61" s="6"/>
    </row>
    <row r="62" spans="1:36" ht="15" thickBot="1" x14ac:dyDescent="0.35">
      <c r="A62" s="2"/>
      <c r="B62" s="48"/>
      <c r="C62" s="65" t="s">
        <v>19</v>
      </c>
      <c r="D62" s="66">
        <v>2823.69</v>
      </c>
      <c r="E62" s="67">
        <v>4076.9</v>
      </c>
      <c r="F62" s="67">
        <v>1133.78</v>
      </c>
      <c r="G62" s="67">
        <v>1086.77</v>
      </c>
      <c r="H62" s="67">
        <v>1438.6</v>
      </c>
      <c r="I62" s="67">
        <v>1813.71</v>
      </c>
      <c r="J62" s="67">
        <v>1121.3</v>
      </c>
      <c r="K62" s="67">
        <v>1271.53</v>
      </c>
      <c r="L62" s="67">
        <v>1515.4</v>
      </c>
      <c r="M62" s="67">
        <v>1515.4</v>
      </c>
      <c r="N62" s="67">
        <v>1045.06</v>
      </c>
      <c r="O62" s="67">
        <v>838.71</v>
      </c>
      <c r="P62" s="67">
        <v>1657.15</v>
      </c>
      <c r="Q62" s="67">
        <v>3619.54</v>
      </c>
      <c r="R62" s="67">
        <v>2643.09</v>
      </c>
      <c r="S62" s="67">
        <v>2130.1</v>
      </c>
      <c r="T62" s="67">
        <v>917.72</v>
      </c>
      <c r="U62" s="67">
        <v>1033.03</v>
      </c>
      <c r="V62" s="67">
        <v>1388.36</v>
      </c>
      <c r="W62" s="67">
        <v>1408.13</v>
      </c>
      <c r="X62" s="67">
        <v>1410.19</v>
      </c>
      <c r="Y62" s="67">
        <v>2226.09</v>
      </c>
      <c r="Z62" s="67">
        <v>2306.9899999999998</v>
      </c>
      <c r="AA62" s="67">
        <v>750.5</v>
      </c>
      <c r="AB62" s="67">
        <v>2110.4699999999998</v>
      </c>
      <c r="AC62" s="67">
        <v>2748.56</v>
      </c>
      <c r="AD62" s="67">
        <v>3293.08</v>
      </c>
      <c r="AE62" s="67">
        <v>2732.16</v>
      </c>
      <c r="AF62" s="67">
        <v>918.99</v>
      </c>
      <c r="AG62" s="67">
        <v>2606.4499999999998</v>
      </c>
      <c r="AH62" s="67">
        <v>3148.62</v>
      </c>
      <c r="AI62" s="68">
        <f>SUM(D62:AH62)</f>
        <v>58730.069999999992</v>
      </c>
      <c r="AJ62" s="6"/>
    </row>
    <row r="63" spans="1:36" ht="15" thickTop="1" x14ac:dyDescent="0.3">
      <c r="A63" s="2">
        <v>120</v>
      </c>
      <c r="B63" s="14" t="s">
        <v>37</v>
      </c>
      <c r="C63" s="15" t="s">
        <v>15</v>
      </c>
      <c r="D63" s="69">
        <v>44</v>
      </c>
      <c r="E63" s="70">
        <v>54</v>
      </c>
      <c r="F63" s="70">
        <v>40</v>
      </c>
      <c r="G63" s="70">
        <v>64</v>
      </c>
      <c r="H63" s="70">
        <v>81</v>
      </c>
      <c r="I63" s="70">
        <v>84</v>
      </c>
      <c r="J63" s="70">
        <v>70</v>
      </c>
      <c r="K63" s="70">
        <v>70</v>
      </c>
      <c r="L63" s="70">
        <v>67</v>
      </c>
      <c r="M63" s="70">
        <v>56</v>
      </c>
      <c r="N63" s="70">
        <v>103</v>
      </c>
      <c r="O63" s="70">
        <v>109</v>
      </c>
      <c r="P63" s="70">
        <v>117</v>
      </c>
      <c r="Q63" s="70">
        <v>118</v>
      </c>
      <c r="R63" s="70">
        <v>120</v>
      </c>
      <c r="S63" s="70">
        <v>117</v>
      </c>
      <c r="T63" s="70">
        <v>82</v>
      </c>
      <c r="U63" s="70">
        <v>65</v>
      </c>
      <c r="V63" s="70">
        <v>77</v>
      </c>
      <c r="W63" s="70">
        <v>61</v>
      </c>
      <c r="X63" s="70">
        <v>77</v>
      </c>
      <c r="Y63" s="70">
        <v>62</v>
      </c>
      <c r="Z63" s="70">
        <v>58</v>
      </c>
      <c r="AA63" s="70">
        <v>48</v>
      </c>
      <c r="AB63" s="70">
        <v>77</v>
      </c>
      <c r="AC63" s="70">
        <v>85</v>
      </c>
      <c r="AD63" s="70">
        <v>82</v>
      </c>
      <c r="AE63" s="70">
        <v>89</v>
      </c>
      <c r="AF63" s="70">
        <v>69</v>
      </c>
      <c r="AG63" s="70">
        <v>78</v>
      </c>
      <c r="AH63" s="70">
        <v>46</v>
      </c>
      <c r="AI63" s="71">
        <f>SUM(D63:AH63)</f>
        <v>2370</v>
      </c>
      <c r="AJ63" s="6"/>
    </row>
    <row r="64" spans="1:36" x14ac:dyDescent="0.3">
      <c r="A64" s="2"/>
      <c r="B64" s="14"/>
      <c r="C64" s="15" t="s">
        <v>16</v>
      </c>
      <c r="D64" s="16">
        <f>+D63/$A63</f>
        <v>0.36666666666666664</v>
      </c>
      <c r="E64" s="16">
        <f t="shared" ref="E64:AH64" si="36">+E63/$A63</f>
        <v>0.45</v>
      </c>
      <c r="F64" s="16">
        <f t="shared" si="36"/>
        <v>0.33333333333333331</v>
      </c>
      <c r="G64" s="16">
        <f t="shared" si="36"/>
        <v>0.53333333333333333</v>
      </c>
      <c r="H64" s="16">
        <f t="shared" si="36"/>
        <v>0.67500000000000004</v>
      </c>
      <c r="I64" s="16">
        <f t="shared" si="36"/>
        <v>0.7</v>
      </c>
      <c r="J64" s="16">
        <f t="shared" si="36"/>
        <v>0.58333333333333337</v>
      </c>
      <c r="K64" s="16">
        <f t="shared" si="36"/>
        <v>0.58333333333333337</v>
      </c>
      <c r="L64" s="16">
        <f t="shared" si="36"/>
        <v>0.55833333333333335</v>
      </c>
      <c r="M64" s="16">
        <f t="shared" si="36"/>
        <v>0.46666666666666667</v>
      </c>
      <c r="N64" s="16">
        <f t="shared" si="36"/>
        <v>0.85833333333333328</v>
      </c>
      <c r="O64" s="16">
        <f t="shared" si="36"/>
        <v>0.90833333333333333</v>
      </c>
      <c r="P64" s="16">
        <f t="shared" si="36"/>
        <v>0.97499999999999998</v>
      </c>
      <c r="Q64" s="16">
        <f t="shared" si="36"/>
        <v>0.98333333333333328</v>
      </c>
      <c r="R64" s="16">
        <f t="shared" si="36"/>
        <v>1</v>
      </c>
      <c r="S64" s="16">
        <f t="shared" si="36"/>
        <v>0.97499999999999998</v>
      </c>
      <c r="T64" s="16">
        <f t="shared" si="36"/>
        <v>0.68333333333333335</v>
      </c>
      <c r="U64" s="16">
        <f t="shared" si="36"/>
        <v>0.54166666666666663</v>
      </c>
      <c r="V64" s="16">
        <f t="shared" si="36"/>
        <v>0.64166666666666672</v>
      </c>
      <c r="W64" s="16">
        <f t="shared" si="36"/>
        <v>0.5083333333333333</v>
      </c>
      <c r="X64" s="16">
        <f t="shared" si="36"/>
        <v>0.64166666666666672</v>
      </c>
      <c r="Y64" s="16">
        <f t="shared" si="36"/>
        <v>0.51666666666666672</v>
      </c>
      <c r="Z64" s="16">
        <f t="shared" si="36"/>
        <v>0.48333333333333334</v>
      </c>
      <c r="AA64" s="16">
        <f t="shared" si="36"/>
        <v>0.4</v>
      </c>
      <c r="AB64" s="16">
        <f t="shared" si="36"/>
        <v>0.64166666666666672</v>
      </c>
      <c r="AC64" s="16">
        <f t="shared" si="36"/>
        <v>0.70833333333333337</v>
      </c>
      <c r="AD64" s="16">
        <f t="shared" si="36"/>
        <v>0.68333333333333335</v>
      </c>
      <c r="AE64" s="16">
        <f t="shared" si="36"/>
        <v>0.7416666666666667</v>
      </c>
      <c r="AF64" s="16">
        <f t="shared" si="36"/>
        <v>0.57499999999999996</v>
      </c>
      <c r="AG64" s="16">
        <f t="shared" si="36"/>
        <v>0.65</v>
      </c>
      <c r="AH64" s="16">
        <f t="shared" si="36"/>
        <v>0.38333333333333336</v>
      </c>
      <c r="AI64" s="17">
        <f>+AI63/(A63*A$1)</f>
        <v>0.63709677419354838</v>
      </c>
      <c r="AJ64" s="6"/>
    </row>
    <row r="65" spans="1:36" x14ac:dyDescent="0.3">
      <c r="A65" s="2"/>
      <c r="B65" s="14"/>
      <c r="C65" s="15" t="s">
        <v>17</v>
      </c>
      <c r="D65" s="18">
        <f t="shared" ref="D65:AH65" si="37">+IFERROR(D67/D63,0)</f>
        <v>76.06431818181818</v>
      </c>
      <c r="E65" s="18">
        <f t="shared" si="37"/>
        <v>80.270740740740735</v>
      </c>
      <c r="F65" s="18">
        <f t="shared" si="37"/>
        <v>72.662999999999997</v>
      </c>
      <c r="G65" s="18">
        <f t="shared" si="37"/>
        <v>75.101249999999993</v>
      </c>
      <c r="H65" s="18">
        <f t="shared" si="37"/>
        <v>76.875802469135792</v>
      </c>
      <c r="I65" s="18">
        <f t="shared" si="37"/>
        <v>74.457023809523818</v>
      </c>
      <c r="J65" s="18">
        <f t="shared" si="37"/>
        <v>76.996000000000009</v>
      </c>
      <c r="K65" s="18">
        <f t="shared" si="37"/>
        <v>69.853142857142856</v>
      </c>
      <c r="L65" s="18">
        <f t="shared" si="37"/>
        <v>77.205373134328354</v>
      </c>
      <c r="M65" s="18">
        <f t="shared" si="37"/>
        <v>74.737857142857138</v>
      </c>
      <c r="N65" s="18">
        <f t="shared" si="37"/>
        <v>91.451553398058252</v>
      </c>
      <c r="O65" s="18">
        <f t="shared" si="37"/>
        <v>80.137247706422016</v>
      </c>
      <c r="P65" s="18">
        <f t="shared" si="37"/>
        <v>82.092649572649577</v>
      </c>
      <c r="Q65" s="18">
        <f t="shared" si="37"/>
        <v>80.903135593220341</v>
      </c>
      <c r="R65" s="18">
        <f t="shared" si="37"/>
        <v>85.399166666666659</v>
      </c>
      <c r="S65" s="18">
        <f t="shared" si="37"/>
        <v>87.237094017094009</v>
      </c>
      <c r="T65" s="18">
        <f t="shared" si="37"/>
        <v>69.18780487804878</v>
      </c>
      <c r="U65" s="18">
        <f t="shared" si="37"/>
        <v>73.560615384615375</v>
      </c>
      <c r="V65" s="18">
        <f t="shared" si="37"/>
        <v>80.84415584415585</v>
      </c>
      <c r="W65" s="18">
        <f t="shared" si="37"/>
        <v>77.798524590163936</v>
      </c>
      <c r="X65" s="18">
        <f t="shared" si="37"/>
        <v>73.622337662337657</v>
      </c>
      <c r="Y65" s="18">
        <f t="shared" si="37"/>
        <v>76.8241935483871</v>
      </c>
      <c r="Z65" s="18">
        <f t="shared" si="37"/>
        <v>73.821724137931028</v>
      </c>
      <c r="AA65" s="18">
        <f t="shared" si="37"/>
        <v>80.098124999999996</v>
      </c>
      <c r="AB65" s="18">
        <f t="shared" si="37"/>
        <v>81.125454545454545</v>
      </c>
      <c r="AC65" s="18">
        <f t="shared" si="37"/>
        <v>79.294470588235285</v>
      </c>
      <c r="AD65" s="18">
        <f t="shared" si="37"/>
        <v>80.826097560975612</v>
      </c>
      <c r="AE65" s="18">
        <f t="shared" si="37"/>
        <v>80.101460674157295</v>
      </c>
      <c r="AF65" s="18">
        <f t="shared" si="37"/>
        <v>80.31217391304348</v>
      </c>
      <c r="AG65" s="18">
        <f t="shared" si="37"/>
        <v>80.0575641025641</v>
      </c>
      <c r="AH65" s="18">
        <f t="shared" si="37"/>
        <v>78.120217391304351</v>
      </c>
      <c r="AI65" s="19">
        <f>+AI67/AI63</f>
        <v>79.063620253164558</v>
      </c>
      <c r="AJ65" s="6"/>
    </row>
    <row r="66" spans="1:36" x14ac:dyDescent="0.3">
      <c r="A66" s="2"/>
      <c r="B66" s="14"/>
      <c r="C66" s="15" t="s">
        <v>18</v>
      </c>
      <c r="D66" s="18">
        <f t="shared" ref="D66:AH66" si="38">+D64*D65</f>
        <v>27.890249999999998</v>
      </c>
      <c r="E66" s="18">
        <f t="shared" si="38"/>
        <v>36.121833333333335</v>
      </c>
      <c r="F66" s="18">
        <f t="shared" si="38"/>
        <v>24.220999999999997</v>
      </c>
      <c r="G66" s="18">
        <f t="shared" si="38"/>
        <v>40.053999999999995</v>
      </c>
      <c r="H66" s="18">
        <f t="shared" si="38"/>
        <v>51.891166666666663</v>
      </c>
      <c r="I66" s="18">
        <f t="shared" si="38"/>
        <v>52.119916666666668</v>
      </c>
      <c r="J66" s="18">
        <f t="shared" si="38"/>
        <v>44.914333333333339</v>
      </c>
      <c r="K66" s="18">
        <f t="shared" si="38"/>
        <v>40.747666666666667</v>
      </c>
      <c r="L66" s="18">
        <f t="shared" si="38"/>
        <v>43.106333333333332</v>
      </c>
      <c r="M66" s="18">
        <f t="shared" si="38"/>
        <v>34.877666666666663</v>
      </c>
      <c r="N66" s="18">
        <f t="shared" si="38"/>
        <v>78.495916666666659</v>
      </c>
      <c r="O66" s="18">
        <f t="shared" si="38"/>
        <v>72.791333333333327</v>
      </c>
      <c r="P66" s="18">
        <f t="shared" si="38"/>
        <v>80.040333333333336</v>
      </c>
      <c r="Q66" s="18">
        <f t="shared" si="38"/>
        <v>79.554749999999999</v>
      </c>
      <c r="R66" s="18">
        <f t="shared" si="38"/>
        <v>85.399166666666659</v>
      </c>
      <c r="S66" s="18">
        <f t="shared" si="38"/>
        <v>85.056166666666655</v>
      </c>
      <c r="T66" s="18">
        <f t="shared" si="38"/>
        <v>47.278333333333336</v>
      </c>
      <c r="U66" s="18">
        <f t="shared" si="38"/>
        <v>39.845333333333322</v>
      </c>
      <c r="V66" s="18">
        <f t="shared" si="38"/>
        <v>51.875000000000007</v>
      </c>
      <c r="W66" s="18">
        <f t="shared" si="38"/>
        <v>39.547583333333328</v>
      </c>
      <c r="X66" s="18">
        <f t="shared" si="38"/>
        <v>47.241</v>
      </c>
      <c r="Y66" s="18">
        <f t="shared" si="38"/>
        <v>39.692500000000003</v>
      </c>
      <c r="Z66" s="18">
        <f t="shared" si="38"/>
        <v>35.680499999999995</v>
      </c>
      <c r="AA66" s="18">
        <f t="shared" si="38"/>
        <v>32.039250000000003</v>
      </c>
      <c r="AB66" s="18">
        <f t="shared" si="38"/>
        <v>52.055500000000002</v>
      </c>
      <c r="AC66" s="18">
        <f t="shared" si="38"/>
        <v>56.166916666666665</v>
      </c>
      <c r="AD66" s="18">
        <f t="shared" si="38"/>
        <v>55.231166666666667</v>
      </c>
      <c r="AE66" s="18">
        <f t="shared" si="38"/>
        <v>59.408583333333333</v>
      </c>
      <c r="AF66" s="18">
        <f t="shared" si="38"/>
        <v>46.179499999999997</v>
      </c>
      <c r="AG66" s="18">
        <f t="shared" si="38"/>
        <v>52.037416666666665</v>
      </c>
      <c r="AH66" s="18">
        <f t="shared" si="38"/>
        <v>29.946083333333338</v>
      </c>
      <c r="AI66" s="19">
        <f>+AI65*AI64</f>
        <v>50.371177419354837</v>
      </c>
      <c r="AJ66" s="6"/>
    </row>
    <row r="67" spans="1:36" x14ac:dyDescent="0.3">
      <c r="A67" s="2"/>
      <c r="B67" s="14"/>
      <c r="C67" s="15" t="s">
        <v>19</v>
      </c>
      <c r="D67" s="20">
        <v>3346.83</v>
      </c>
      <c r="E67" s="20">
        <v>4334.62</v>
      </c>
      <c r="F67" s="20">
        <v>2906.52</v>
      </c>
      <c r="G67" s="20">
        <v>4806.4799999999996</v>
      </c>
      <c r="H67" s="20">
        <v>6226.94</v>
      </c>
      <c r="I67" s="20">
        <v>6254.39</v>
      </c>
      <c r="J67" s="20">
        <v>5389.72</v>
      </c>
      <c r="K67" s="20">
        <v>4889.72</v>
      </c>
      <c r="L67" s="20">
        <v>5172.76</v>
      </c>
      <c r="M67" s="20">
        <v>4185.32</v>
      </c>
      <c r="N67" s="20">
        <v>9419.51</v>
      </c>
      <c r="O67" s="20">
        <v>8734.9599999999991</v>
      </c>
      <c r="P67" s="20">
        <v>9604.84</v>
      </c>
      <c r="Q67" s="20">
        <v>9546.57</v>
      </c>
      <c r="R67" s="20">
        <v>10247.9</v>
      </c>
      <c r="S67" s="20">
        <v>10206.74</v>
      </c>
      <c r="T67" s="20">
        <v>5673.4</v>
      </c>
      <c r="U67" s="20">
        <v>4781.4399999999996</v>
      </c>
      <c r="V67" s="20">
        <v>6225</v>
      </c>
      <c r="W67" s="20">
        <v>4745.71</v>
      </c>
      <c r="X67" s="20">
        <v>5668.92</v>
      </c>
      <c r="Y67" s="20">
        <v>4763.1000000000004</v>
      </c>
      <c r="Z67" s="20">
        <v>4281.66</v>
      </c>
      <c r="AA67" s="20">
        <v>3844.71</v>
      </c>
      <c r="AB67" s="20">
        <v>6246.66</v>
      </c>
      <c r="AC67" s="20">
        <v>6740.03</v>
      </c>
      <c r="AD67" s="20">
        <v>6627.74</v>
      </c>
      <c r="AE67" s="20">
        <v>7129.03</v>
      </c>
      <c r="AF67" s="20">
        <v>5541.54</v>
      </c>
      <c r="AG67" s="20">
        <v>6244.49</v>
      </c>
      <c r="AH67" s="20">
        <v>3593.53</v>
      </c>
      <c r="AI67" s="22">
        <f>SUM(D67:AH67)</f>
        <v>187380.78</v>
      </c>
      <c r="AJ67" s="6"/>
    </row>
    <row r="68" spans="1:36" ht="15" thickBot="1" x14ac:dyDescent="0.35">
      <c r="A68" s="23"/>
      <c r="B68" s="24"/>
      <c r="C68" s="15" t="s">
        <v>20</v>
      </c>
      <c r="D68" s="25">
        <f>2210.77/D67</f>
        <v>0.6605564071076212</v>
      </c>
      <c r="E68" s="26">
        <f>834.32/E67</f>
        <v>0.19247823338608691</v>
      </c>
      <c r="F68" s="72">
        <f>804.31/F67</f>
        <v>0.2767261192078499</v>
      </c>
      <c r="G68" s="26">
        <f>959.85/G67</f>
        <v>0.19969915613921208</v>
      </c>
      <c r="H68" s="26">
        <f>1338.26/H67</f>
        <v>0.21491454871895346</v>
      </c>
      <c r="I68" s="26">
        <f>1341.2/I67</f>
        <v>0.21444137637723262</v>
      </c>
      <c r="J68" s="26">
        <f>1084.19/J67</f>
        <v>0.20115887281714079</v>
      </c>
      <c r="K68" s="26">
        <f>973.17/K67</f>
        <v>0.19902366597678392</v>
      </c>
      <c r="L68" s="26">
        <f>934.15/L67</f>
        <v>0.18059024582621269</v>
      </c>
      <c r="M68" s="26">
        <f>852.9/M67</f>
        <v>0.20378370112679556</v>
      </c>
      <c r="N68" s="26">
        <f>1170.42/N67</f>
        <v>0.12425487100709061</v>
      </c>
      <c r="O68" s="26">
        <f>1458.18/O67</f>
        <v>0.16693608213432004</v>
      </c>
      <c r="P68" s="26">
        <f>1276.94/P67</f>
        <v>0.13294755560738128</v>
      </c>
      <c r="Q68" s="26">
        <f>1154.05/Q67</f>
        <v>0.12088634975703315</v>
      </c>
      <c r="R68" s="26">
        <f>1255.92/R67</f>
        <v>0.122553889089472</v>
      </c>
      <c r="S68" s="26">
        <f>1143.74/S67</f>
        <v>0.11205732682521549</v>
      </c>
      <c r="T68" s="26">
        <f>973.34/T67</f>
        <v>0.17156202629816339</v>
      </c>
      <c r="U68" s="26">
        <f>1159.77/U67</f>
        <v>0.24255663565787713</v>
      </c>
      <c r="V68" s="26">
        <f>1262.86/V67</f>
        <v>0.20286907630522086</v>
      </c>
      <c r="W68" s="26">
        <f>1338.13/W67</f>
        <v>0.28196623898215445</v>
      </c>
      <c r="X68" s="26">
        <f>1390.47/X67</f>
        <v>0.24527952414216464</v>
      </c>
      <c r="Y68" s="26">
        <f>1395.83/Y67</f>
        <v>0.29305074426318989</v>
      </c>
      <c r="Z68" s="26">
        <f>978.1/Z67</f>
        <v>0.22843943704077391</v>
      </c>
      <c r="AA68" s="26">
        <f>906.96/AA67</f>
        <v>0.23589815616782542</v>
      </c>
      <c r="AB68" s="26">
        <f>1151.29/AB67</f>
        <v>0.18430489253457047</v>
      </c>
      <c r="AC68" s="26">
        <f>1231.9/AC67</f>
        <v>0.18277366717952295</v>
      </c>
      <c r="AD68" s="26">
        <f>1332.49/AD67</f>
        <v>0.20104741586121364</v>
      </c>
      <c r="AE68" s="26">
        <f>1228.54/AE67</f>
        <v>0.17232919485540107</v>
      </c>
      <c r="AF68" s="26">
        <f>1496.88/AF67</f>
        <v>0.27011985837871783</v>
      </c>
      <c r="AG68" s="26">
        <f>1196.49/AG67</f>
        <v>0.19160732101420613</v>
      </c>
      <c r="AH68" s="92">
        <f>949.91/AH67</f>
        <v>0.26433896475053775</v>
      </c>
      <c r="AI68" s="27">
        <f>AVERAGE(D68:AG68)</f>
        <v>0.21422708632618009</v>
      </c>
      <c r="AJ68" s="6"/>
    </row>
    <row r="69" spans="1:36" ht="15" thickTop="1" x14ac:dyDescent="0.3">
      <c r="A69" s="2">
        <v>93</v>
      </c>
      <c r="B69" s="28" t="s">
        <v>38</v>
      </c>
      <c r="C69" s="29" t="s">
        <v>15</v>
      </c>
      <c r="D69" s="30">
        <v>41</v>
      </c>
      <c r="E69" s="31">
        <v>82</v>
      </c>
      <c r="F69" s="31">
        <v>76</v>
      </c>
      <c r="G69" s="31">
        <v>84</v>
      </c>
      <c r="H69" s="31">
        <v>84</v>
      </c>
      <c r="I69" s="31">
        <v>93</v>
      </c>
      <c r="J69" s="31">
        <v>92</v>
      </c>
      <c r="K69" s="31">
        <v>91</v>
      </c>
      <c r="L69" s="31">
        <v>92</v>
      </c>
      <c r="M69" s="31">
        <v>88</v>
      </c>
      <c r="N69" s="31">
        <v>93</v>
      </c>
      <c r="O69" s="31">
        <v>91</v>
      </c>
      <c r="P69" s="31">
        <v>93</v>
      </c>
      <c r="Q69" s="31">
        <v>91</v>
      </c>
      <c r="R69" s="31">
        <v>92</v>
      </c>
      <c r="S69" s="31">
        <v>93</v>
      </c>
      <c r="T69" s="31">
        <v>61</v>
      </c>
      <c r="U69" s="31">
        <v>90</v>
      </c>
      <c r="V69" s="31">
        <v>89</v>
      </c>
      <c r="W69" s="31">
        <v>90</v>
      </c>
      <c r="X69" s="31">
        <v>92</v>
      </c>
      <c r="Y69" s="31">
        <v>89</v>
      </c>
      <c r="Z69" s="31">
        <v>91</v>
      </c>
      <c r="AA69" s="31">
        <v>85</v>
      </c>
      <c r="AB69" s="31">
        <v>89</v>
      </c>
      <c r="AC69" s="31">
        <v>84</v>
      </c>
      <c r="AD69" s="31">
        <v>86</v>
      </c>
      <c r="AE69" s="31">
        <v>88</v>
      </c>
      <c r="AF69" s="31">
        <v>90</v>
      </c>
      <c r="AG69" s="31">
        <v>91</v>
      </c>
      <c r="AH69" s="31">
        <v>85</v>
      </c>
      <c r="AI69" s="32">
        <f>SUM(D69:AH69)</f>
        <v>2676</v>
      </c>
      <c r="AJ69" s="6"/>
    </row>
    <row r="70" spans="1:36" x14ac:dyDescent="0.3">
      <c r="A70" s="2"/>
      <c r="B70" s="33"/>
      <c r="C70" s="34" t="s">
        <v>16</v>
      </c>
      <c r="D70" s="35">
        <f t="shared" ref="D70:AH70" si="39">+D69/$A69</f>
        <v>0.44086021505376344</v>
      </c>
      <c r="E70" s="35">
        <f t="shared" si="39"/>
        <v>0.88172043010752688</v>
      </c>
      <c r="F70" s="35">
        <f t="shared" si="39"/>
        <v>0.81720430107526887</v>
      </c>
      <c r="G70" s="35">
        <f t="shared" si="39"/>
        <v>0.90322580645161288</v>
      </c>
      <c r="H70" s="35">
        <f t="shared" si="39"/>
        <v>0.90322580645161288</v>
      </c>
      <c r="I70" s="35">
        <f t="shared" si="39"/>
        <v>1</v>
      </c>
      <c r="J70" s="35">
        <f t="shared" si="39"/>
        <v>0.989247311827957</v>
      </c>
      <c r="K70" s="35">
        <f t="shared" si="39"/>
        <v>0.978494623655914</v>
      </c>
      <c r="L70" s="35">
        <f t="shared" si="39"/>
        <v>0.989247311827957</v>
      </c>
      <c r="M70" s="35">
        <f t="shared" si="39"/>
        <v>0.94623655913978499</v>
      </c>
      <c r="N70" s="35">
        <f t="shared" si="39"/>
        <v>1</v>
      </c>
      <c r="O70" s="35">
        <f t="shared" si="39"/>
        <v>0.978494623655914</v>
      </c>
      <c r="P70" s="35">
        <f t="shared" si="39"/>
        <v>1</v>
      </c>
      <c r="Q70" s="35">
        <f t="shared" si="39"/>
        <v>0.978494623655914</v>
      </c>
      <c r="R70" s="35">
        <f t="shared" si="39"/>
        <v>0.989247311827957</v>
      </c>
      <c r="S70" s="35">
        <f t="shared" si="39"/>
        <v>1</v>
      </c>
      <c r="T70" s="35">
        <f t="shared" si="39"/>
        <v>0.65591397849462363</v>
      </c>
      <c r="U70" s="35">
        <f t="shared" si="39"/>
        <v>0.967741935483871</v>
      </c>
      <c r="V70" s="35">
        <f t="shared" si="39"/>
        <v>0.956989247311828</v>
      </c>
      <c r="W70" s="35">
        <f t="shared" si="39"/>
        <v>0.967741935483871</v>
      </c>
      <c r="X70" s="35">
        <f t="shared" si="39"/>
        <v>0.989247311827957</v>
      </c>
      <c r="Y70" s="35">
        <f t="shared" si="39"/>
        <v>0.956989247311828</v>
      </c>
      <c r="Z70" s="35">
        <f t="shared" si="39"/>
        <v>0.978494623655914</v>
      </c>
      <c r="AA70" s="35">
        <f t="shared" si="39"/>
        <v>0.91397849462365588</v>
      </c>
      <c r="AB70" s="35">
        <f t="shared" si="39"/>
        <v>0.956989247311828</v>
      </c>
      <c r="AC70" s="35">
        <f t="shared" si="39"/>
        <v>0.90322580645161288</v>
      </c>
      <c r="AD70" s="35">
        <f t="shared" si="39"/>
        <v>0.92473118279569888</v>
      </c>
      <c r="AE70" s="35">
        <f t="shared" si="39"/>
        <v>0.94623655913978499</v>
      </c>
      <c r="AF70" s="35">
        <f t="shared" si="39"/>
        <v>0.967741935483871</v>
      </c>
      <c r="AG70" s="35">
        <f t="shared" si="39"/>
        <v>0.978494623655914</v>
      </c>
      <c r="AH70" s="35">
        <f t="shared" si="39"/>
        <v>0.91397849462365588</v>
      </c>
      <c r="AI70" s="36">
        <f>+AI69/(A69*A$1)</f>
        <v>0.92819979188345469</v>
      </c>
      <c r="AJ70" s="6"/>
    </row>
    <row r="71" spans="1:36" x14ac:dyDescent="0.3">
      <c r="A71" s="2"/>
      <c r="B71" s="33"/>
      <c r="C71" s="34" t="s">
        <v>17</v>
      </c>
      <c r="D71" s="37">
        <f>+IFERROR(D73/D69,0)</f>
        <v>75.745365853658541</v>
      </c>
      <c r="E71" s="37">
        <f t="shared" ref="E71:AH71" si="40">+IFERROR(E73/E69,0)</f>
        <v>75.020121951219508</v>
      </c>
      <c r="F71" s="37">
        <f t="shared" si="40"/>
        <v>74.16776315789474</v>
      </c>
      <c r="G71" s="37">
        <f t="shared" si="40"/>
        <v>74.87202380952381</v>
      </c>
      <c r="H71" s="37">
        <f t="shared" si="40"/>
        <v>75.18154761904762</v>
      </c>
      <c r="I71" s="37">
        <f t="shared" si="40"/>
        <v>77.089784946236563</v>
      </c>
      <c r="J71" s="37">
        <f t="shared" si="40"/>
        <v>76.938586956521746</v>
      </c>
      <c r="K71" s="37">
        <f t="shared" si="40"/>
        <v>77.160439560439571</v>
      </c>
      <c r="L71" s="37">
        <f t="shared" si="40"/>
        <v>76.618152173913046</v>
      </c>
      <c r="M71" s="37">
        <f t="shared" si="40"/>
        <v>76.802272727272737</v>
      </c>
      <c r="N71" s="37">
        <f t="shared" si="40"/>
        <v>77.674731182795696</v>
      </c>
      <c r="O71" s="37">
        <f t="shared" si="40"/>
        <v>78.315384615384616</v>
      </c>
      <c r="P71" s="37">
        <f t="shared" si="40"/>
        <v>78.652688172043014</v>
      </c>
      <c r="Q71" s="37">
        <f t="shared" si="40"/>
        <v>75.297802197802199</v>
      </c>
      <c r="R71" s="37">
        <f t="shared" si="40"/>
        <v>78.0554347826087</v>
      </c>
      <c r="S71" s="37">
        <f t="shared" si="40"/>
        <v>75.883870967741927</v>
      </c>
      <c r="T71" s="37">
        <f t="shared" si="40"/>
        <v>110.8377049180328</v>
      </c>
      <c r="U71" s="37">
        <f t="shared" si="40"/>
        <v>76.023333333333341</v>
      </c>
      <c r="V71" s="37">
        <f t="shared" si="40"/>
        <v>75.878651685393251</v>
      </c>
      <c r="W71" s="37">
        <f t="shared" si="40"/>
        <v>76.131666666666675</v>
      </c>
      <c r="X71" s="37">
        <f t="shared" si="40"/>
        <v>76.389673913043481</v>
      </c>
      <c r="Y71" s="37">
        <f t="shared" si="40"/>
        <v>76.458988764044946</v>
      </c>
      <c r="Z71" s="37">
        <f t="shared" si="40"/>
        <v>75.839450549450547</v>
      </c>
      <c r="AA71" s="37">
        <f t="shared" si="40"/>
        <v>75.989411764705892</v>
      </c>
      <c r="AB71" s="37">
        <f t="shared" si="40"/>
        <v>76.179438202247198</v>
      </c>
      <c r="AC71" s="37">
        <f t="shared" si="40"/>
        <v>76.811309523809513</v>
      </c>
      <c r="AD71" s="37">
        <f t="shared" si="40"/>
        <v>77.276162790697668</v>
      </c>
      <c r="AE71" s="37">
        <f t="shared" si="40"/>
        <v>77.724431818181813</v>
      </c>
      <c r="AF71" s="37">
        <f t="shared" si="40"/>
        <v>76.177888888888887</v>
      </c>
      <c r="AG71" s="37">
        <f t="shared" si="40"/>
        <v>78.890109890109883</v>
      </c>
      <c r="AH71" s="37">
        <f t="shared" si="40"/>
        <v>76.835176470588237</v>
      </c>
      <c r="AI71" s="38">
        <f>+AI73/AI69</f>
        <v>77.360179372197322</v>
      </c>
      <c r="AJ71" s="6"/>
    </row>
    <row r="72" spans="1:36" x14ac:dyDescent="0.3">
      <c r="A72" s="2"/>
      <c r="B72" s="14"/>
      <c r="C72" s="34" t="s">
        <v>18</v>
      </c>
      <c r="D72" s="37">
        <f>+D70*D71</f>
        <v>33.393118279569897</v>
      </c>
      <c r="E72" s="37">
        <f t="shared" ref="E72:AH72" si="41">+E70*E71</f>
        <v>66.146774193548382</v>
      </c>
      <c r="F72" s="37">
        <f t="shared" si="41"/>
        <v>60.610215053763447</v>
      </c>
      <c r="G72" s="37">
        <f t="shared" si="41"/>
        <v>67.626344086021504</v>
      </c>
      <c r="H72" s="37">
        <f t="shared" si="41"/>
        <v>67.905913978494624</v>
      </c>
      <c r="I72" s="37">
        <f t="shared" si="41"/>
        <v>77.089784946236563</v>
      </c>
      <c r="J72" s="37">
        <f t="shared" si="41"/>
        <v>76.111290322580658</v>
      </c>
      <c r="K72" s="37">
        <f t="shared" si="41"/>
        <v>75.501075268817218</v>
      </c>
      <c r="L72" s="37">
        <f t="shared" si="41"/>
        <v>75.79430107526882</v>
      </c>
      <c r="M72" s="37">
        <f t="shared" si="41"/>
        <v>72.673118279569906</v>
      </c>
      <c r="N72" s="37">
        <f t="shared" si="41"/>
        <v>77.674731182795696</v>
      </c>
      <c r="O72" s="37">
        <f t="shared" si="41"/>
        <v>76.631182795698933</v>
      </c>
      <c r="P72" s="37">
        <f t="shared" si="41"/>
        <v>78.652688172043014</v>
      </c>
      <c r="Q72" s="37">
        <f t="shared" si="41"/>
        <v>73.678494623655922</v>
      </c>
      <c r="R72" s="37">
        <f t="shared" si="41"/>
        <v>77.216129032258067</v>
      </c>
      <c r="S72" s="37">
        <f t="shared" si="41"/>
        <v>75.883870967741927</v>
      </c>
      <c r="T72" s="37">
        <f t="shared" si="41"/>
        <v>72.7</v>
      </c>
      <c r="U72" s="37">
        <f t="shared" si="41"/>
        <v>73.57096774193549</v>
      </c>
      <c r="V72" s="37">
        <f t="shared" si="41"/>
        <v>72.615053763440855</v>
      </c>
      <c r="W72" s="37">
        <f t="shared" si="41"/>
        <v>73.675806451612914</v>
      </c>
      <c r="X72" s="37">
        <f t="shared" si="41"/>
        <v>75.568279569892482</v>
      </c>
      <c r="Y72" s="37">
        <f t="shared" si="41"/>
        <v>73.170430107526883</v>
      </c>
      <c r="Z72" s="37">
        <f t="shared" si="41"/>
        <v>74.208494623655909</v>
      </c>
      <c r="AA72" s="37">
        <f t="shared" si="41"/>
        <v>69.452688172043011</v>
      </c>
      <c r="AB72" s="37">
        <f t="shared" si="41"/>
        <v>72.902903225806455</v>
      </c>
      <c r="AC72" s="37">
        <f t="shared" si="41"/>
        <v>69.377956989247295</v>
      </c>
      <c r="AD72" s="37">
        <f t="shared" si="41"/>
        <v>71.459677419354833</v>
      </c>
      <c r="AE72" s="37">
        <f t="shared" si="41"/>
        <v>73.545698924731184</v>
      </c>
      <c r="AF72" s="37">
        <f t="shared" si="41"/>
        <v>73.720537634408601</v>
      </c>
      <c r="AG72" s="37">
        <f t="shared" si="41"/>
        <v>77.193548387096769</v>
      </c>
      <c r="AH72" s="37">
        <f t="shared" si="41"/>
        <v>70.225698924731176</v>
      </c>
      <c r="AI72" s="38">
        <f>+AI71*AI70</f>
        <v>71.805702393340283</v>
      </c>
      <c r="AJ72" s="6"/>
    </row>
    <row r="73" spans="1:36" x14ac:dyDescent="0.3">
      <c r="A73" s="2"/>
      <c r="B73" s="33"/>
      <c r="C73" s="34" t="s">
        <v>19</v>
      </c>
      <c r="D73" s="20">
        <v>3105.56</v>
      </c>
      <c r="E73" s="20">
        <v>6151.65</v>
      </c>
      <c r="F73" s="20">
        <v>5636.75</v>
      </c>
      <c r="G73" s="20">
        <v>6289.25</v>
      </c>
      <c r="H73" s="20">
        <v>6315.25</v>
      </c>
      <c r="I73" s="20">
        <v>7169.35</v>
      </c>
      <c r="J73" s="20">
        <v>7078.35</v>
      </c>
      <c r="K73" s="20">
        <v>7021.6</v>
      </c>
      <c r="L73" s="20">
        <v>7048.87</v>
      </c>
      <c r="M73" s="20">
        <v>6758.6</v>
      </c>
      <c r="N73" s="20">
        <v>7223.75</v>
      </c>
      <c r="O73" s="20">
        <v>7126.7</v>
      </c>
      <c r="P73" s="20">
        <v>7314.7</v>
      </c>
      <c r="Q73" s="20">
        <v>6852.1</v>
      </c>
      <c r="R73" s="20">
        <v>7181.1</v>
      </c>
      <c r="S73" s="20">
        <v>7057.2</v>
      </c>
      <c r="T73" s="20">
        <v>6761.1</v>
      </c>
      <c r="U73" s="20">
        <v>6842.1</v>
      </c>
      <c r="V73" s="20">
        <v>6753.2</v>
      </c>
      <c r="W73" s="20">
        <v>6851.85</v>
      </c>
      <c r="X73" s="20">
        <v>7027.85</v>
      </c>
      <c r="Y73" s="20">
        <v>6804.85</v>
      </c>
      <c r="Z73" s="20">
        <v>6901.39</v>
      </c>
      <c r="AA73" s="20">
        <v>6459.1</v>
      </c>
      <c r="AB73" s="20">
        <v>6779.97</v>
      </c>
      <c r="AC73" s="20">
        <v>6452.15</v>
      </c>
      <c r="AD73" s="20">
        <v>6645.75</v>
      </c>
      <c r="AE73" s="20">
        <v>6839.75</v>
      </c>
      <c r="AF73" s="20">
        <v>6856.01</v>
      </c>
      <c r="AG73" s="20">
        <v>7179</v>
      </c>
      <c r="AH73" s="20">
        <v>6530.99</v>
      </c>
      <c r="AI73" s="39">
        <f>SUM(D73:AH73)</f>
        <v>207015.84000000003</v>
      </c>
      <c r="AJ73" s="6"/>
    </row>
    <row r="74" spans="1:36" ht="15" thickBot="1" x14ac:dyDescent="0.35">
      <c r="A74" s="23"/>
      <c r="B74" s="48"/>
      <c r="C74" s="41" t="s">
        <v>20</v>
      </c>
      <c r="D74" s="49">
        <f>1974.37/D73</f>
        <v>0.63575329409188674</v>
      </c>
      <c r="E74" s="50">
        <f>947.7/E73</f>
        <v>0.15405622881665895</v>
      </c>
      <c r="F74" s="73">
        <f>683.08/F73</f>
        <v>0.12118330598305763</v>
      </c>
      <c r="G74" s="50">
        <f>954.03/G73</f>
        <v>0.15169217315260167</v>
      </c>
      <c r="H74" s="50">
        <f>867.08/H73</f>
        <v>0.13729939432326513</v>
      </c>
      <c r="I74" s="50">
        <f>906.44/I73</f>
        <v>0.12643266125938893</v>
      </c>
      <c r="J74" s="50">
        <f>965.43/J73</f>
        <v>0.1363919557523999</v>
      </c>
      <c r="K74" s="50">
        <f>871.91/K73</f>
        <v>0.12417540161786486</v>
      </c>
      <c r="L74" s="50">
        <f>566.41/L73</f>
        <v>8.0354723523061139E-2</v>
      </c>
      <c r="M74" s="50">
        <f>474.34/M73</f>
        <v>7.018317403012457E-2</v>
      </c>
      <c r="N74" s="50">
        <f>623.53/N73</f>
        <v>8.6316663782661354E-2</v>
      </c>
      <c r="O74" s="50">
        <f>808.44/O73</f>
        <v>0.1134381972020711</v>
      </c>
      <c r="P74" s="50">
        <f>1105.1/P73</f>
        <v>0.15107933339713178</v>
      </c>
      <c r="Q74" s="50">
        <f>1250.92/Q73</f>
        <v>0.18256009106697216</v>
      </c>
      <c r="R74" s="50">
        <f>786.8/R73</f>
        <v>0.10956538691843867</v>
      </c>
      <c r="S74" s="50">
        <f>853.6/S73</f>
        <v>0.12095448619849232</v>
      </c>
      <c r="T74" s="50">
        <f>1007.83/T73</f>
        <v>0.14906302228927246</v>
      </c>
      <c r="U74" s="50">
        <f>947.3/U73</f>
        <v>0.13845164496280379</v>
      </c>
      <c r="V74" s="50">
        <f>1065.67/V73</f>
        <v>0.15780222709234143</v>
      </c>
      <c r="W74" s="50">
        <f>817.4/W73</f>
        <v>0.11929624845844553</v>
      </c>
      <c r="X74" s="50">
        <f>1087.26/X73</f>
        <v>0.15470734292849164</v>
      </c>
      <c r="Y74" s="50">
        <f>690.73/Y73</f>
        <v>0.10150554384005525</v>
      </c>
      <c r="Z74" s="50">
        <f>575.49/Z73</f>
        <v>8.3387549464673055E-2</v>
      </c>
      <c r="AA74" s="50">
        <f>974.97/AA73</f>
        <v>0.15094517812079081</v>
      </c>
      <c r="AB74" s="50">
        <f>1054.79/AB73</f>
        <v>0.15557443469513876</v>
      </c>
      <c r="AC74" s="50">
        <f>1023.58/AC73</f>
        <v>0.15864169307905118</v>
      </c>
      <c r="AD74" s="50">
        <f>1143.66/AD73</f>
        <v>0.1720889290147839</v>
      </c>
      <c r="AE74" s="50">
        <f>1067.97/AE73</f>
        <v>0.15614167184473118</v>
      </c>
      <c r="AF74" s="50">
        <f>793.08/AF73</f>
        <v>0.11567661074006602</v>
      </c>
      <c r="AG74" s="50">
        <f>723.85/AG73</f>
        <v>0.10082880624042347</v>
      </c>
      <c r="AH74" s="90">
        <f>654.3/AH73</f>
        <v>0.1001838924879689</v>
      </c>
      <c r="AI74" s="51">
        <f>AVERAGE(D74:AG74)</f>
        <v>0.14718491246290485</v>
      </c>
      <c r="AJ74" s="6"/>
    </row>
    <row r="75" spans="1:36" ht="15" thickTop="1" x14ac:dyDescent="0.3">
      <c r="A75" s="2">
        <v>118</v>
      </c>
      <c r="B75" s="45" t="s">
        <v>39</v>
      </c>
      <c r="C75" s="46" t="s">
        <v>15</v>
      </c>
      <c r="D75" s="11">
        <v>30</v>
      </c>
      <c r="E75" s="12">
        <v>42</v>
      </c>
      <c r="F75" s="12">
        <v>28</v>
      </c>
      <c r="G75" s="12">
        <v>29</v>
      </c>
      <c r="H75" s="12">
        <v>33</v>
      </c>
      <c r="I75" s="12">
        <v>29</v>
      </c>
      <c r="J75" s="12">
        <v>34</v>
      </c>
      <c r="K75" s="12">
        <v>81</v>
      </c>
      <c r="L75" s="12">
        <v>83</v>
      </c>
      <c r="M75" s="12">
        <v>33</v>
      </c>
      <c r="N75" s="12">
        <v>25</v>
      </c>
      <c r="O75" s="12">
        <v>42</v>
      </c>
      <c r="P75" s="12">
        <v>54</v>
      </c>
      <c r="Q75" s="12">
        <v>81</v>
      </c>
      <c r="R75" s="12">
        <v>80</v>
      </c>
      <c r="S75" s="12">
        <v>77</v>
      </c>
      <c r="T75" s="12">
        <v>54</v>
      </c>
      <c r="U75" s="12">
        <v>39</v>
      </c>
      <c r="V75" s="12">
        <v>39</v>
      </c>
      <c r="W75" s="12">
        <v>35</v>
      </c>
      <c r="X75" s="12">
        <v>34</v>
      </c>
      <c r="Y75" s="12">
        <v>37</v>
      </c>
      <c r="Z75" s="12">
        <v>67</v>
      </c>
      <c r="AA75" s="12">
        <v>41</v>
      </c>
      <c r="AB75" s="12">
        <v>33</v>
      </c>
      <c r="AC75" s="12">
        <v>35</v>
      </c>
      <c r="AD75" s="12">
        <v>39</v>
      </c>
      <c r="AE75" s="12">
        <v>44</v>
      </c>
      <c r="AF75" s="12">
        <v>64</v>
      </c>
      <c r="AG75" s="12">
        <v>59</v>
      </c>
      <c r="AH75" s="12">
        <v>49</v>
      </c>
      <c r="AI75" s="13">
        <f>SUM(D75:AH75)</f>
        <v>1450</v>
      </c>
      <c r="AJ75" s="6"/>
    </row>
    <row r="76" spans="1:36" x14ac:dyDescent="0.3">
      <c r="A76" s="2"/>
      <c r="B76" s="14"/>
      <c r="C76" s="15" t="s">
        <v>16</v>
      </c>
      <c r="D76" s="16">
        <f t="shared" ref="D76:AH76" si="42">+D75/$A75</f>
        <v>0.25423728813559321</v>
      </c>
      <c r="E76" s="16">
        <f t="shared" si="42"/>
        <v>0.3559322033898305</v>
      </c>
      <c r="F76" s="16">
        <f t="shared" si="42"/>
        <v>0.23728813559322035</v>
      </c>
      <c r="G76" s="16">
        <f t="shared" si="42"/>
        <v>0.24576271186440679</v>
      </c>
      <c r="H76" s="16">
        <f t="shared" si="42"/>
        <v>0.27966101694915252</v>
      </c>
      <c r="I76" s="16">
        <f t="shared" si="42"/>
        <v>0.24576271186440679</v>
      </c>
      <c r="J76" s="16">
        <f t="shared" si="42"/>
        <v>0.28813559322033899</v>
      </c>
      <c r="K76" s="16">
        <f t="shared" si="42"/>
        <v>0.68644067796610164</v>
      </c>
      <c r="L76" s="16">
        <f t="shared" si="42"/>
        <v>0.70338983050847459</v>
      </c>
      <c r="M76" s="16">
        <f t="shared" si="42"/>
        <v>0.27966101694915252</v>
      </c>
      <c r="N76" s="16">
        <f t="shared" si="42"/>
        <v>0.21186440677966101</v>
      </c>
      <c r="O76" s="16">
        <f t="shared" si="42"/>
        <v>0.3559322033898305</v>
      </c>
      <c r="P76" s="16">
        <f t="shared" si="42"/>
        <v>0.4576271186440678</v>
      </c>
      <c r="Q76" s="16">
        <f t="shared" si="42"/>
        <v>0.68644067796610164</v>
      </c>
      <c r="R76" s="16">
        <f t="shared" si="42"/>
        <v>0.67796610169491522</v>
      </c>
      <c r="S76" s="16">
        <f t="shared" si="42"/>
        <v>0.65254237288135597</v>
      </c>
      <c r="T76" s="16">
        <f t="shared" si="42"/>
        <v>0.4576271186440678</v>
      </c>
      <c r="U76" s="16">
        <f t="shared" si="42"/>
        <v>0.33050847457627119</v>
      </c>
      <c r="V76" s="16">
        <f t="shared" si="42"/>
        <v>0.33050847457627119</v>
      </c>
      <c r="W76" s="16">
        <f t="shared" si="42"/>
        <v>0.29661016949152541</v>
      </c>
      <c r="X76" s="16">
        <f t="shared" si="42"/>
        <v>0.28813559322033899</v>
      </c>
      <c r="Y76" s="16">
        <f t="shared" si="42"/>
        <v>0.3135593220338983</v>
      </c>
      <c r="Z76" s="16">
        <f t="shared" si="42"/>
        <v>0.56779661016949157</v>
      </c>
      <c r="AA76" s="16">
        <f t="shared" si="42"/>
        <v>0.34745762711864409</v>
      </c>
      <c r="AB76" s="16">
        <f t="shared" si="42"/>
        <v>0.27966101694915252</v>
      </c>
      <c r="AC76" s="16">
        <f t="shared" si="42"/>
        <v>0.29661016949152541</v>
      </c>
      <c r="AD76" s="16">
        <f t="shared" si="42"/>
        <v>0.33050847457627119</v>
      </c>
      <c r="AE76" s="16">
        <f t="shared" si="42"/>
        <v>0.3728813559322034</v>
      </c>
      <c r="AF76" s="16">
        <f t="shared" si="42"/>
        <v>0.5423728813559322</v>
      </c>
      <c r="AG76" s="16">
        <f t="shared" si="42"/>
        <v>0.5</v>
      </c>
      <c r="AH76" s="16">
        <f t="shared" si="42"/>
        <v>0.4152542372881356</v>
      </c>
      <c r="AI76" s="17">
        <f>+AI75/(A75*A$1)</f>
        <v>0.39639147074904318</v>
      </c>
      <c r="AJ76" s="6"/>
    </row>
    <row r="77" spans="1:36" x14ac:dyDescent="0.3">
      <c r="A77" s="2"/>
      <c r="B77" s="14"/>
      <c r="C77" s="15" t="s">
        <v>17</v>
      </c>
      <c r="D77" s="18">
        <f t="shared" ref="D77:AH77" si="43">+IFERROR(D79/D75,0)</f>
        <v>64.076999999999998</v>
      </c>
      <c r="E77" s="18">
        <f t="shared" si="43"/>
        <v>60.768809523809523</v>
      </c>
      <c r="F77" s="18">
        <f t="shared" si="43"/>
        <v>68.146428571428572</v>
      </c>
      <c r="G77" s="18">
        <f t="shared" si="43"/>
        <v>61.359655172413795</v>
      </c>
      <c r="H77" s="18">
        <f t="shared" si="43"/>
        <v>68.845151515151514</v>
      </c>
      <c r="I77" s="18">
        <f t="shared" si="43"/>
        <v>69.930000000000007</v>
      </c>
      <c r="J77" s="18">
        <f t="shared" si="43"/>
        <v>63.996764705882349</v>
      </c>
      <c r="K77" s="18">
        <f t="shared" si="43"/>
        <v>88.760617283950609</v>
      </c>
      <c r="L77" s="18">
        <f t="shared" si="43"/>
        <v>89.53</v>
      </c>
      <c r="M77" s="18">
        <f t="shared" si="43"/>
        <v>67.903636363636366</v>
      </c>
      <c r="N77" s="18">
        <f t="shared" si="43"/>
        <v>68.744</v>
      </c>
      <c r="O77" s="18">
        <f t="shared" si="43"/>
        <v>76.986904761904754</v>
      </c>
      <c r="P77" s="18">
        <f t="shared" si="43"/>
        <v>72.609074074074073</v>
      </c>
      <c r="Q77" s="18">
        <f t="shared" si="43"/>
        <v>77.176666666666677</v>
      </c>
      <c r="R77" s="18">
        <f t="shared" si="43"/>
        <v>74.820374999999999</v>
      </c>
      <c r="S77" s="18">
        <f t="shared" si="43"/>
        <v>60.177012987012986</v>
      </c>
      <c r="T77" s="18">
        <f t="shared" si="43"/>
        <v>57.03907407407408</v>
      </c>
      <c r="U77" s="18">
        <f t="shared" si="43"/>
        <v>71.235897435897428</v>
      </c>
      <c r="V77" s="18">
        <f t="shared" si="43"/>
        <v>69.082307692307694</v>
      </c>
      <c r="W77" s="18">
        <f t="shared" si="43"/>
        <v>83.762</v>
      </c>
      <c r="X77" s="18">
        <f t="shared" si="43"/>
        <v>71.570294117647052</v>
      </c>
      <c r="Y77" s="18">
        <f t="shared" si="43"/>
        <v>66.559459459459461</v>
      </c>
      <c r="Z77" s="18">
        <f t="shared" si="43"/>
        <v>67.316567164179105</v>
      </c>
      <c r="AA77" s="18">
        <f t="shared" si="43"/>
        <v>74.887560975609759</v>
      </c>
      <c r="AB77" s="18">
        <f t="shared" si="43"/>
        <v>72.964848484848488</v>
      </c>
      <c r="AC77" s="18">
        <f t="shared" si="43"/>
        <v>75.882285714285715</v>
      </c>
      <c r="AD77" s="18">
        <f t="shared" si="43"/>
        <v>75.017435897435888</v>
      </c>
      <c r="AE77" s="18">
        <f t="shared" si="43"/>
        <v>71.368409090909097</v>
      </c>
      <c r="AF77" s="18">
        <f t="shared" si="43"/>
        <v>69.461250000000007</v>
      </c>
      <c r="AG77" s="18">
        <f t="shared" si="43"/>
        <v>62.109152542372883</v>
      </c>
      <c r="AH77" s="18">
        <f t="shared" si="43"/>
        <v>61.173877551020411</v>
      </c>
      <c r="AI77" s="19">
        <f>+AI79/AI75</f>
        <v>71.338468965517237</v>
      </c>
      <c r="AJ77" s="6"/>
    </row>
    <row r="78" spans="1:36" x14ac:dyDescent="0.3">
      <c r="A78" s="2"/>
      <c r="B78" s="14"/>
      <c r="C78" s="15" t="s">
        <v>18</v>
      </c>
      <c r="D78" s="18">
        <f t="shared" ref="D78:AH78" si="44">+D76*D77</f>
        <v>16.290762711864406</v>
      </c>
      <c r="E78" s="18">
        <f t="shared" si="44"/>
        <v>21.629576271186441</v>
      </c>
      <c r="F78" s="18">
        <f t="shared" si="44"/>
        <v>16.170338983050847</v>
      </c>
      <c r="G78" s="18">
        <f t="shared" si="44"/>
        <v>15.079915254237289</v>
      </c>
      <c r="H78" s="18">
        <f t="shared" si="44"/>
        <v>19.253305084745762</v>
      </c>
      <c r="I78" s="18">
        <f t="shared" si="44"/>
        <v>17.186186440677968</v>
      </c>
      <c r="J78" s="18">
        <f t="shared" si="44"/>
        <v>18.439745762711865</v>
      </c>
      <c r="K78" s="18">
        <f t="shared" si="44"/>
        <v>60.928898305084736</v>
      </c>
      <c r="L78" s="18">
        <f t="shared" si="44"/>
        <v>62.97449152542373</v>
      </c>
      <c r="M78" s="18">
        <f t="shared" si="44"/>
        <v>18.989999999999998</v>
      </c>
      <c r="N78" s="18">
        <f t="shared" si="44"/>
        <v>14.564406779661017</v>
      </c>
      <c r="O78" s="18">
        <f t="shared" si="44"/>
        <v>27.402118644067794</v>
      </c>
      <c r="P78" s="18">
        <f t="shared" si="44"/>
        <v>33.227881355932205</v>
      </c>
      <c r="Q78" s="18">
        <f t="shared" si="44"/>
        <v>52.977203389830514</v>
      </c>
      <c r="R78" s="18">
        <f t="shared" si="44"/>
        <v>50.725677966101692</v>
      </c>
      <c r="S78" s="18">
        <f t="shared" si="44"/>
        <v>39.26805084745763</v>
      </c>
      <c r="T78" s="18">
        <f t="shared" si="44"/>
        <v>26.102627118644069</v>
      </c>
      <c r="U78" s="18">
        <f t="shared" si="44"/>
        <v>23.544067796610168</v>
      </c>
      <c r="V78" s="18">
        <f t="shared" si="44"/>
        <v>22.83228813559322</v>
      </c>
      <c r="W78" s="18">
        <f t="shared" si="44"/>
        <v>24.84466101694915</v>
      </c>
      <c r="X78" s="18">
        <f t="shared" si="44"/>
        <v>20.621949152542371</v>
      </c>
      <c r="Y78" s="18">
        <f t="shared" si="44"/>
        <v>20.870338983050846</v>
      </c>
      <c r="Z78" s="18">
        <f t="shared" si="44"/>
        <v>38.222118644067798</v>
      </c>
      <c r="AA78" s="18">
        <f t="shared" si="44"/>
        <v>26.020254237288139</v>
      </c>
      <c r="AB78" s="18">
        <f t="shared" si="44"/>
        <v>20.40542372881356</v>
      </c>
      <c r="AC78" s="18">
        <f t="shared" si="44"/>
        <v>22.507457627118644</v>
      </c>
      <c r="AD78" s="18">
        <f t="shared" si="44"/>
        <v>24.793898305084742</v>
      </c>
      <c r="AE78" s="18">
        <f t="shared" si="44"/>
        <v>26.611949152542376</v>
      </c>
      <c r="AF78" s="18">
        <f t="shared" si="44"/>
        <v>37.673898305084748</v>
      </c>
      <c r="AG78" s="18">
        <f t="shared" si="44"/>
        <v>31.054576271186441</v>
      </c>
      <c r="AH78" s="18">
        <f t="shared" si="44"/>
        <v>25.402711864406783</v>
      </c>
      <c r="AI78" s="19">
        <f>+AI77*AI76</f>
        <v>28.27796063422635</v>
      </c>
      <c r="AJ78" s="6"/>
    </row>
    <row r="79" spans="1:36" x14ac:dyDescent="0.3">
      <c r="A79" s="2"/>
      <c r="B79" s="14"/>
      <c r="C79" s="15" t="s">
        <v>19</v>
      </c>
      <c r="D79" s="20">
        <v>1922.31</v>
      </c>
      <c r="E79" s="20">
        <v>2552.29</v>
      </c>
      <c r="F79" s="20">
        <v>1908.1</v>
      </c>
      <c r="G79" s="20">
        <v>1779.43</v>
      </c>
      <c r="H79" s="20">
        <v>2271.89</v>
      </c>
      <c r="I79" s="20">
        <v>2027.97</v>
      </c>
      <c r="J79" s="20">
        <v>2175.89</v>
      </c>
      <c r="K79" s="20">
        <v>7189.61</v>
      </c>
      <c r="L79" s="20">
        <v>7430.99</v>
      </c>
      <c r="M79" s="20">
        <v>2240.8200000000002</v>
      </c>
      <c r="N79" s="20">
        <v>1718.6</v>
      </c>
      <c r="O79" s="20">
        <v>3233.45</v>
      </c>
      <c r="P79" s="20">
        <v>3920.89</v>
      </c>
      <c r="Q79" s="20">
        <v>6251.31</v>
      </c>
      <c r="R79" s="20">
        <v>5985.63</v>
      </c>
      <c r="S79" s="20">
        <v>4633.63</v>
      </c>
      <c r="T79" s="20">
        <v>3080.11</v>
      </c>
      <c r="U79" s="20">
        <v>2778.2</v>
      </c>
      <c r="V79" s="20">
        <v>2694.21</v>
      </c>
      <c r="W79" s="20">
        <v>2931.67</v>
      </c>
      <c r="X79" s="20">
        <v>2433.39</v>
      </c>
      <c r="Y79" s="20">
        <v>2462.6999999999998</v>
      </c>
      <c r="Z79" s="20">
        <v>4510.21</v>
      </c>
      <c r="AA79" s="20">
        <v>3070.39</v>
      </c>
      <c r="AB79" s="20">
        <v>2407.84</v>
      </c>
      <c r="AC79" s="20">
        <v>2655.88</v>
      </c>
      <c r="AD79" s="20">
        <v>2925.68</v>
      </c>
      <c r="AE79" s="20">
        <v>3140.21</v>
      </c>
      <c r="AF79" s="20">
        <v>4445.5200000000004</v>
      </c>
      <c r="AG79" s="20">
        <v>3664.44</v>
      </c>
      <c r="AH79" s="20">
        <v>2997.52</v>
      </c>
      <c r="AI79" s="22">
        <f>SUM(D79:AH79)</f>
        <v>103440.78</v>
      </c>
      <c r="AJ79" s="6"/>
    </row>
    <row r="80" spans="1:36" ht="15" thickBot="1" x14ac:dyDescent="0.35">
      <c r="A80" s="2"/>
      <c r="B80" s="14"/>
      <c r="C80" s="15" t="s">
        <v>20</v>
      </c>
      <c r="D80" s="74">
        <f>1254.96/D79</f>
        <v>0.65283955241350256</v>
      </c>
      <c r="E80" s="74">
        <f>440.83/E79</f>
        <v>0.17271940100850608</v>
      </c>
      <c r="F80" s="74">
        <f>596.47/F79</f>
        <v>0.31259892039201304</v>
      </c>
      <c r="G80" s="74">
        <f>766.27/G79</f>
        <v>0.43062666134661098</v>
      </c>
      <c r="H80" s="74">
        <f>516.35/H79</f>
        <v>0.22727772911540614</v>
      </c>
      <c r="I80" s="75">
        <f>703.16/I79</f>
        <v>0.34673096742062259</v>
      </c>
      <c r="J80" s="74">
        <f>699.43/J79</f>
        <v>0.32144547748277713</v>
      </c>
      <c r="K80" s="75">
        <f>966.09/K79</f>
        <v>0.13437307447830968</v>
      </c>
      <c r="L80" s="74">
        <f>618.22/L79</f>
        <v>8.319483675795554E-2</v>
      </c>
      <c r="M80" s="74">
        <f>264.65/M79</f>
        <v>0.11810408689676098</v>
      </c>
      <c r="N80" s="74">
        <f>509.95/N79</f>
        <v>0.29672407773769349</v>
      </c>
      <c r="O80" s="74">
        <f>617.19/O79</f>
        <v>0.19087661785399498</v>
      </c>
      <c r="P80" s="74">
        <f>798.51/P79</f>
        <v>0.2036552925483755</v>
      </c>
      <c r="Q80" s="74">
        <f>785.67/Q79</f>
        <v>0.12568085729231152</v>
      </c>
      <c r="R80" s="74">
        <f>792.51/R79</f>
        <v>0.13240210303677308</v>
      </c>
      <c r="S80" s="74">
        <f>730.17/S79</f>
        <v>0.15758055779162339</v>
      </c>
      <c r="T80" s="74">
        <f>584.75/T79</f>
        <v>0.18984711584975861</v>
      </c>
      <c r="U80" s="74">
        <f>565.39/U79</f>
        <v>0.20350946656108274</v>
      </c>
      <c r="V80" s="74">
        <f>490.51/V79</f>
        <v>0.18206078961922048</v>
      </c>
      <c r="W80" s="74">
        <f>603.08/W79</f>
        <v>0.20571210265821188</v>
      </c>
      <c r="X80" s="74">
        <f>744.85/X79</f>
        <v>0.30609561147206166</v>
      </c>
      <c r="Y80" s="74">
        <f>668.35/Y79</f>
        <v>0.27138912575628377</v>
      </c>
      <c r="Z80" s="74">
        <f>560.13/Z79</f>
        <v>0.12419155649071772</v>
      </c>
      <c r="AA80" s="74">
        <f>439.65/AA79</f>
        <v>0.14319027875937584</v>
      </c>
      <c r="AB80" s="74">
        <f>699.38/AB79</f>
        <v>0.2904594989700312</v>
      </c>
      <c r="AC80" s="26">
        <f>683.29/AC79</f>
        <v>0.25727442504932452</v>
      </c>
      <c r="AD80" s="26">
        <f>855.93/AD79</f>
        <v>0.29255762762844878</v>
      </c>
      <c r="AE80" s="26">
        <f>743.6/AE79</f>
        <v>0.23679944971833095</v>
      </c>
      <c r="AF80" s="26">
        <f>959.3/AF79</f>
        <v>0.21579027875254186</v>
      </c>
      <c r="AG80" s="26">
        <f>767.75/AG79</f>
        <v>0.20951359552892121</v>
      </c>
      <c r="AH80" s="92">
        <f>510.71/AH79</f>
        <v>0.17037751207665003</v>
      </c>
      <c r="AI80" s="76">
        <f>AVERAGE(D80:AG80)</f>
        <v>0.23450737121291831</v>
      </c>
      <c r="AJ80" s="6"/>
    </row>
    <row r="81" spans="1:36" ht="15" thickTop="1" x14ac:dyDescent="0.3">
      <c r="A81" s="2">
        <v>103</v>
      </c>
      <c r="B81" s="28" t="s">
        <v>40</v>
      </c>
      <c r="C81" s="29" t="s">
        <v>15</v>
      </c>
      <c r="D81" s="30">
        <v>44</v>
      </c>
      <c r="E81" s="31">
        <v>42</v>
      </c>
      <c r="F81" s="31">
        <v>24</v>
      </c>
      <c r="G81" s="31">
        <v>26</v>
      </c>
      <c r="H81" s="31">
        <v>35</v>
      </c>
      <c r="I81" s="31">
        <v>32</v>
      </c>
      <c r="J81" s="31">
        <v>33</v>
      </c>
      <c r="K81" s="31">
        <v>27</v>
      </c>
      <c r="L81" s="31">
        <v>26</v>
      </c>
      <c r="M81" s="31">
        <v>21</v>
      </c>
      <c r="N81" s="31">
        <v>27</v>
      </c>
      <c r="O81" s="31">
        <v>32</v>
      </c>
      <c r="P81" s="31">
        <v>35</v>
      </c>
      <c r="Q81" s="31">
        <v>22</v>
      </c>
      <c r="R81" s="31">
        <v>51</v>
      </c>
      <c r="S81" s="31">
        <v>62</v>
      </c>
      <c r="T81" s="31">
        <v>33</v>
      </c>
      <c r="U81" s="31">
        <v>28</v>
      </c>
      <c r="V81" s="31">
        <v>32</v>
      </c>
      <c r="W81" s="31">
        <v>33</v>
      </c>
      <c r="X81" s="31">
        <v>36</v>
      </c>
      <c r="Y81" s="31">
        <v>42</v>
      </c>
      <c r="Z81" s="31">
        <v>56</v>
      </c>
      <c r="AA81" s="31">
        <v>41</v>
      </c>
      <c r="AB81" s="31">
        <v>37</v>
      </c>
      <c r="AC81" s="31">
        <v>43</v>
      </c>
      <c r="AD81" s="31">
        <v>34</v>
      </c>
      <c r="AE81" s="31">
        <v>39</v>
      </c>
      <c r="AF81" s="31">
        <f>34</f>
        <v>34</v>
      </c>
      <c r="AG81" s="31">
        <v>42</v>
      </c>
      <c r="AH81" s="31">
        <v>40</v>
      </c>
      <c r="AI81" s="32">
        <f>SUM(D81:AH81)</f>
        <v>1109</v>
      </c>
      <c r="AJ81" s="6"/>
    </row>
    <row r="82" spans="1:36" x14ac:dyDescent="0.3">
      <c r="A82" s="2"/>
      <c r="B82" s="33"/>
      <c r="C82" s="34" t="s">
        <v>16</v>
      </c>
      <c r="D82" s="35">
        <f t="shared" ref="D82:AH82" si="45">+D81/$A81</f>
        <v>0.42718446601941745</v>
      </c>
      <c r="E82" s="35">
        <f t="shared" si="45"/>
        <v>0.40776699029126212</v>
      </c>
      <c r="F82" s="35">
        <f t="shared" si="45"/>
        <v>0.23300970873786409</v>
      </c>
      <c r="G82" s="35">
        <f t="shared" si="45"/>
        <v>0.25242718446601942</v>
      </c>
      <c r="H82" s="35">
        <f t="shared" si="45"/>
        <v>0.33980582524271846</v>
      </c>
      <c r="I82" s="35">
        <f t="shared" si="45"/>
        <v>0.31067961165048541</v>
      </c>
      <c r="J82" s="35">
        <f t="shared" si="45"/>
        <v>0.32038834951456313</v>
      </c>
      <c r="K82" s="35">
        <f t="shared" si="45"/>
        <v>0.26213592233009708</v>
      </c>
      <c r="L82" s="35">
        <f t="shared" si="45"/>
        <v>0.25242718446601942</v>
      </c>
      <c r="M82" s="35">
        <f t="shared" si="45"/>
        <v>0.20388349514563106</v>
      </c>
      <c r="N82" s="35">
        <f t="shared" si="45"/>
        <v>0.26213592233009708</v>
      </c>
      <c r="O82" s="35">
        <f t="shared" si="45"/>
        <v>0.31067961165048541</v>
      </c>
      <c r="P82" s="35">
        <f t="shared" si="45"/>
        <v>0.33980582524271846</v>
      </c>
      <c r="Q82" s="35">
        <f t="shared" si="45"/>
        <v>0.21359223300970873</v>
      </c>
      <c r="R82" s="35">
        <f t="shared" si="45"/>
        <v>0.49514563106796117</v>
      </c>
      <c r="S82" s="35">
        <f t="shared" si="45"/>
        <v>0.60194174757281549</v>
      </c>
      <c r="T82" s="35">
        <f t="shared" si="45"/>
        <v>0.32038834951456313</v>
      </c>
      <c r="U82" s="35">
        <f t="shared" si="45"/>
        <v>0.27184466019417475</v>
      </c>
      <c r="V82" s="35">
        <f t="shared" si="45"/>
        <v>0.31067961165048541</v>
      </c>
      <c r="W82" s="35">
        <f t="shared" si="45"/>
        <v>0.32038834951456313</v>
      </c>
      <c r="X82" s="35">
        <f t="shared" si="45"/>
        <v>0.34951456310679613</v>
      </c>
      <c r="Y82" s="35">
        <f t="shared" si="45"/>
        <v>0.40776699029126212</v>
      </c>
      <c r="Z82" s="35">
        <f t="shared" si="45"/>
        <v>0.5436893203883495</v>
      </c>
      <c r="AA82" s="35">
        <f t="shared" si="45"/>
        <v>0.39805825242718446</v>
      </c>
      <c r="AB82" s="35">
        <f t="shared" si="45"/>
        <v>0.35922330097087379</v>
      </c>
      <c r="AC82" s="35">
        <f t="shared" si="45"/>
        <v>0.41747572815533979</v>
      </c>
      <c r="AD82" s="35">
        <f t="shared" si="45"/>
        <v>0.3300970873786408</v>
      </c>
      <c r="AE82" s="35">
        <f t="shared" si="45"/>
        <v>0.37864077669902912</v>
      </c>
      <c r="AF82" s="35">
        <f t="shared" si="45"/>
        <v>0.3300970873786408</v>
      </c>
      <c r="AG82" s="35">
        <f t="shared" si="45"/>
        <v>0.40776699029126212</v>
      </c>
      <c r="AH82" s="35">
        <f t="shared" si="45"/>
        <v>0.38834951456310679</v>
      </c>
      <c r="AI82" s="36">
        <f>+AI81/(A81*A$1)</f>
        <v>0.34732226746006889</v>
      </c>
      <c r="AJ82" s="6"/>
    </row>
    <row r="83" spans="1:36" x14ac:dyDescent="0.3">
      <c r="A83" s="2"/>
      <c r="B83" s="33"/>
      <c r="C83" s="34" t="s">
        <v>17</v>
      </c>
      <c r="D83" s="37">
        <f t="shared" ref="D83:AH83" si="46">+IFERROR(D85/D81,0)</f>
        <v>75.221818181818193</v>
      </c>
      <c r="E83" s="37">
        <f t="shared" si="46"/>
        <v>71.651666666666671</v>
      </c>
      <c r="F83" s="37">
        <f t="shared" si="46"/>
        <v>79.506250000000009</v>
      </c>
      <c r="G83" s="37">
        <f t="shared" si="46"/>
        <v>68.869230769230768</v>
      </c>
      <c r="H83" s="37">
        <f t="shared" si="46"/>
        <v>74.012857142857143</v>
      </c>
      <c r="I83" s="37">
        <f t="shared" si="46"/>
        <v>65.934687499999995</v>
      </c>
      <c r="J83" s="37">
        <f t="shared" si="46"/>
        <v>76.106666666666669</v>
      </c>
      <c r="K83" s="37">
        <f t="shared" si="46"/>
        <v>81.294814814814814</v>
      </c>
      <c r="L83" s="37">
        <f t="shared" si="46"/>
        <v>76.222307692307695</v>
      </c>
      <c r="M83" s="37">
        <f t="shared" si="46"/>
        <v>60.818095238095239</v>
      </c>
      <c r="N83" s="37">
        <f t="shared" si="46"/>
        <v>67.821481481481484</v>
      </c>
      <c r="O83" s="37">
        <f t="shared" si="46"/>
        <v>65.604062499999998</v>
      </c>
      <c r="P83" s="37">
        <f t="shared" si="46"/>
        <v>66.861428571428576</v>
      </c>
      <c r="Q83" s="37">
        <f t="shared" si="46"/>
        <v>73.129090909090905</v>
      </c>
      <c r="R83" s="37">
        <f t="shared" si="46"/>
        <v>67.054901960784321</v>
      </c>
      <c r="S83" s="37">
        <f t="shared" si="46"/>
        <v>69.97370967741935</v>
      </c>
      <c r="T83" s="37">
        <f t="shared" si="46"/>
        <v>58.175757575757572</v>
      </c>
      <c r="U83" s="37">
        <f t="shared" si="46"/>
        <v>72.81</v>
      </c>
      <c r="V83" s="37">
        <f t="shared" si="46"/>
        <v>72.240312500000002</v>
      </c>
      <c r="W83" s="37">
        <f t="shared" si="46"/>
        <v>59.608787878787879</v>
      </c>
      <c r="X83" s="37">
        <f t="shared" si="46"/>
        <v>65.398611111111109</v>
      </c>
      <c r="Y83" s="37">
        <f t="shared" si="46"/>
        <v>71.197380952380954</v>
      </c>
      <c r="Z83" s="37">
        <f t="shared" si="46"/>
        <v>76.258392857142866</v>
      </c>
      <c r="AA83" s="37">
        <f t="shared" si="46"/>
        <v>64.698048780487795</v>
      </c>
      <c r="AB83" s="37">
        <f t="shared" si="46"/>
        <v>64.277027027027032</v>
      </c>
      <c r="AC83" s="37">
        <f t="shared" si="46"/>
        <v>64.308139534883722</v>
      </c>
      <c r="AD83" s="37">
        <f t="shared" si="46"/>
        <v>62.015882352941176</v>
      </c>
      <c r="AE83" s="37">
        <f t="shared" si="46"/>
        <v>65.353846153846163</v>
      </c>
      <c r="AF83" s="37">
        <f t="shared" si="46"/>
        <v>64.046176470588236</v>
      </c>
      <c r="AG83" s="37">
        <f t="shared" si="46"/>
        <v>63.194285714285712</v>
      </c>
      <c r="AH83" s="37">
        <f t="shared" si="46"/>
        <v>69.172249999999991</v>
      </c>
      <c r="AI83" s="38">
        <f>+AI85/AI81</f>
        <v>68.733814247069446</v>
      </c>
      <c r="AJ83" s="6"/>
    </row>
    <row r="84" spans="1:36" x14ac:dyDescent="0.3">
      <c r="A84" s="2"/>
      <c r="B84" s="33"/>
      <c r="C84" s="34" t="s">
        <v>18</v>
      </c>
      <c r="D84" s="37">
        <f t="shared" ref="D84:AH84" si="47">+D82*D83</f>
        <v>32.133592233009715</v>
      </c>
      <c r="E84" s="37">
        <f t="shared" si="47"/>
        <v>29.217184466019418</v>
      </c>
      <c r="F84" s="37">
        <f t="shared" si="47"/>
        <v>18.525728155339809</v>
      </c>
      <c r="G84" s="37">
        <f t="shared" si="47"/>
        <v>17.384466019417474</v>
      </c>
      <c r="H84" s="37">
        <f t="shared" si="47"/>
        <v>25.150000000000002</v>
      </c>
      <c r="I84" s="37">
        <f t="shared" si="47"/>
        <v>20.484563106796113</v>
      </c>
      <c r="J84" s="37">
        <f t="shared" si="47"/>
        <v>24.383689320388353</v>
      </c>
      <c r="K84" s="37">
        <f t="shared" si="47"/>
        <v>21.310291262135923</v>
      </c>
      <c r="L84" s="37">
        <f t="shared" si="47"/>
        <v>19.240582524271844</v>
      </c>
      <c r="M84" s="37">
        <f t="shared" si="47"/>
        <v>12.399805825242717</v>
      </c>
      <c r="N84" s="37">
        <f t="shared" si="47"/>
        <v>17.778446601941749</v>
      </c>
      <c r="O84" s="37">
        <f t="shared" si="47"/>
        <v>20.381844660194172</v>
      </c>
      <c r="P84" s="37">
        <f t="shared" si="47"/>
        <v>22.719902912621361</v>
      </c>
      <c r="Q84" s="37">
        <f t="shared" si="47"/>
        <v>15.619805825242716</v>
      </c>
      <c r="R84" s="37">
        <f t="shared" si="47"/>
        <v>33.201941747572818</v>
      </c>
      <c r="S84" s="37">
        <f t="shared" si="47"/>
        <v>42.120097087378632</v>
      </c>
      <c r="T84" s="37">
        <f t="shared" si="47"/>
        <v>18.63883495145631</v>
      </c>
      <c r="U84" s="37">
        <f t="shared" si="47"/>
        <v>19.793009708737863</v>
      </c>
      <c r="V84" s="37">
        <f t="shared" si="47"/>
        <v>22.443592233009706</v>
      </c>
      <c r="W84" s="37">
        <f t="shared" si="47"/>
        <v>19.097961165048545</v>
      </c>
      <c r="X84" s="37">
        <f t="shared" si="47"/>
        <v>22.85776699029126</v>
      </c>
      <c r="Y84" s="37">
        <f t="shared" si="47"/>
        <v>29.031941747572816</v>
      </c>
      <c r="Z84" s="37">
        <f t="shared" si="47"/>
        <v>41.460873786407767</v>
      </c>
      <c r="AA84" s="37">
        <f t="shared" si="47"/>
        <v>25.753592233009705</v>
      </c>
      <c r="AB84" s="37">
        <f t="shared" si="47"/>
        <v>23.089805825242721</v>
      </c>
      <c r="AC84" s="37">
        <f t="shared" si="47"/>
        <v>26.847087378640776</v>
      </c>
      <c r="AD84" s="37">
        <f t="shared" si="47"/>
        <v>20.471262135922331</v>
      </c>
      <c r="AE84" s="37">
        <f t="shared" si="47"/>
        <v>24.745631067961167</v>
      </c>
      <c r="AF84" s="37">
        <f t="shared" si="47"/>
        <v>21.141456310679612</v>
      </c>
      <c r="AG84" s="37">
        <f t="shared" si="47"/>
        <v>25.768543689320385</v>
      </c>
      <c r="AH84" s="37">
        <f t="shared" si="47"/>
        <v>26.863009708737859</v>
      </c>
      <c r="AI84" s="38">
        <f>+AI83*AI82</f>
        <v>23.872784215471349</v>
      </c>
      <c r="AJ84" s="6"/>
    </row>
    <row r="85" spans="1:36" x14ac:dyDescent="0.3">
      <c r="A85" s="2"/>
      <c r="B85" s="33"/>
      <c r="C85" s="34" t="s">
        <v>19</v>
      </c>
      <c r="D85" s="20">
        <v>3309.76</v>
      </c>
      <c r="E85" s="20">
        <v>3009.37</v>
      </c>
      <c r="F85" s="20">
        <v>1908.15</v>
      </c>
      <c r="G85" s="20">
        <v>1790.6</v>
      </c>
      <c r="H85" s="20">
        <v>2590.4499999999998</v>
      </c>
      <c r="I85" s="20">
        <v>2109.91</v>
      </c>
      <c r="J85" s="20">
        <v>2511.52</v>
      </c>
      <c r="K85" s="20">
        <v>2194.96</v>
      </c>
      <c r="L85" s="20">
        <v>1981.78</v>
      </c>
      <c r="M85" s="20">
        <v>1277.18</v>
      </c>
      <c r="N85" s="20">
        <v>1831.18</v>
      </c>
      <c r="O85" s="20">
        <v>2099.33</v>
      </c>
      <c r="P85" s="20">
        <v>2340.15</v>
      </c>
      <c r="Q85" s="20">
        <v>1608.84</v>
      </c>
      <c r="R85" s="20">
        <v>3419.8</v>
      </c>
      <c r="S85" s="20">
        <v>4338.37</v>
      </c>
      <c r="T85" s="20">
        <v>1919.8</v>
      </c>
      <c r="U85" s="20">
        <v>2038.68</v>
      </c>
      <c r="V85" s="20">
        <v>2311.69</v>
      </c>
      <c r="W85" s="20">
        <v>1967.09</v>
      </c>
      <c r="X85" s="20">
        <v>2354.35</v>
      </c>
      <c r="Y85" s="20">
        <v>2990.29</v>
      </c>
      <c r="Z85" s="20">
        <v>4270.47</v>
      </c>
      <c r="AA85" s="20">
        <v>2652.62</v>
      </c>
      <c r="AB85" s="20">
        <v>2378.25</v>
      </c>
      <c r="AC85" s="20">
        <v>2765.25</v>
      </c>
      <c r="AD85" s="20">
        <v>2108.54</v>
      </c>
      <c r="AE85" s="20">
        <v>2548.8000000000002</v>
      </c>
      <c r="AF85" s="20">
        <v>2177.5700000000002</v>
      </c>
      <c r="AG85" s="20">
        <v>2654.16</v>
      </c>
      <c r="AH85" s="20">
        <v>2766.89</v>
      </c>
      <c r="AI85" s="39">
        <f>SUM(D85:AH85)</f>
        <v>76225.800000000017</v>
      </c>
      <c r="AJ85" s="6"/>
    </row>
    <row r="86" spans="1:36" ht="15" thickBot="1" x14ac:dyDescent="0.35">
      <c r="A86" s="23"/>
      <c r="B86" s="48"/>
      <c r="C86" s="41" t="s">
        <v>20</v>
      </c>
      <c r="D86" s="49">
        <f>1647.83/D85</f>
        <v>0.4978699361887266</v>
      </c>
      <c r="E86" s="50">
        <f>796.22/E85</f>
        <v>0.26458029421440371</v>
      </c>
      <c r="F86" s="73">
        <f>787.4/F85</f>
        <v>0.41265099703901681</v>
      </c>
      <c r="G86" s="50">
        <f>878.04/G85</f>
        <v>0.49036077292527647</v>
      </c>
      <c r="H86" s="50">
        <f>889.17/H85</f>
        <v>0.34324924240961996</v>
      </c>
      <c r="I86" s="50">
        <f>818.09/I85</f>
        <v>0.38773691768843227</v>
      </c>
      <c r="J86" s="50">
        <f>903.33/J85</f>
        <v>0.35967461935401673</v>
      </c>
      <c r="K86" s="50">
        <f>945.11/K85</f>
        <v>0.43058187848525714</v>
      </c>
      <c r="L86" s="50">
        <f>465.63/L85</f>
        <v>0.23495544409571192</v>
      </c>
      <c r="M86" s="50">
        <f>416.03/M85</f>
        <v>0.32574108582971856</v>
      </c>
      <c r="N86" s="50">
        <f>940.11/N85</f>
        <v>0.51339027293876083</v>
      </c>
      <c r="O86" s="50">
        <f>487.61/O85</f>
        <v>0.23226934307612429</v>
      </c>
      <c r="P86" s="50">
        <f>798.14/P85</f>
        <v>0.34106360703373712</v>
      </c>
      <c r="Q86" s="50">
        <f>935.49/Q85</f>
        <v>0.58146863578727537</v>
      </c>
      <c r="R86" s="50">
        <f>983.86/R85</f>
        <v>0.2876951868530323</v>
      </c>
      <c r="S86" s="50">
        <f>703.33/S85</f>
        <v>0.16211849150717897</v>
      </c>
      <c r="T86" s="50">
        <f>860.73/T85</f>
        <v>0.44834357745598502</v>
      </c>
      <c r="U86" s="50">
        <f>931.99/U85</f>
        <v>0.45715364843918616</v>
      </c>
      <c r="V86" s="50">
        <f>688.67/V85</f>
        <v>0.29790759141580397</v>
      </c>
      <c r="W86" s="50">
        <f>1085.13/W85</f>
        <v>0.55164227361229035</v>
      </c>
      <c r="X86" s="50">
        <f>1180.69/X85</f>
        <v>0.50149298107757989</v>
      </c>
      <c r="Y86" s="50">
        <f>1053.14/Y85</f>
        <v>0.35218657722160729</v>
      </c>
      <c r="Z86" s="50">
        <f>722.75/Z85</f>
        <v>0.16924366638800881</v>
      </c>
      <c r="AA86" s="50">
        <f>781.69/AA85</f>
        <v>0.29468600855003735</v>
      </c>
      <c r="AB86" s="50">
        <f>1204.58/AB85</f>
        <v>0.50649847576999896</v>
      </c>
      <c r="AC86" s="50">
        <f>1014.4/AC85</f>
        <v>0.3668384413705813</v>
      </c>
      <c r="AD86" s="50">
        <f>934.77/AD85</f>
        <v>0.44332571352689537</v>
      </c>
      <c r="AE86" s="50">
        <f>981.32/AE85</f>
        <v>0.38501255492780917</v>
      </c>
      <c r="AF86" s="50">
        <f>1107.16/AF85</f>
        <v>0.5084383050831891</v>
      </c>
      <c r="AG86" s="26" t="s">
        <v>83</v>
      </c>
      <c r="AH86" s="50">
        <f>734.67/AH85</f>
        <v>0.26552193979522137</v>
      </c>
      <c r="AI86" s="51">
        <f>AVERAGE(D86:AG86)</f>
        <v>0.38441988069880212</v>
      </c>
      <c r="AJ86" s="6"/>
    </row>
    <row r="87" spans="1:36" ht="15" thickTop="1" x14ac:dyDescent="0.3">
      <c r="A87" s="2">
        <v>115</v>
      </c>
      <c r="B87" s="45" t="s">
        <v>41</v>
      </c>
      <c r="C87" s="46" t="s">
        <v>15</v>
      </c>
      <c r="D87" s="11">
        <v>69</v>
      </c>
      <c r="E87" s="12">
        <v>85</v>
      </c>
      <c r="F87" s="12">
        <v>18</v>
      </c>
      <c r="G87" s="12">
        <v>24</v>
      </c>
      <c r="H87" s="12">
        <v>30</v>
      </c>
      <c r="I87" s="12">
        <v>29</v>
      </c>
      <c r="J87" s="12">
        <v>30</v>
      </c>
      <c r="K87" s="12">
        <v>55</v>
      </c>
      <c r="L87" s="12">
        <v>63</v>
      </c>
      <c r="M87" s="12">
        <v>23</v>
      </c>
      <c r="N87" s="12">
        <v>25</v>
      </c>
      <c r="O87" s="12">
        <v>25</v>
      </c>
      <c r="P87" s="12">
        <v>25</v>
      </c>
      <c r="Q87" s="12">
        <v>38</v>
      </c>
      <c r="R87" s="12">
        <v>55</v>
      </c>
      <c r="S87" s="12">
        <v>76</v>
      </c>
      <c r="T87" s="12">
        <v>37</v>
      </c>
      <c r="U87" s="12">
        <v>23</v>
      </c>
      <c r="V87" s="12">
        <v>33</v>
      </c>
      <c r="W87" s="12">
        <v>37</v>
      </c>
      <c r="X87" s="12">
        <v>31</v>
      </c>
      <c r="Y87" s="12">
        <v>55</v>
      </c>
      <c r="Z87" s="12">
        <v>70</v>
      </c>
      <c r="AA87" s="12">
        <v>28</v>
      </c>
      <c r="AB87" s="12">
        <v>35</v>
      </c>
      <c r="AC87" s="12">
        <v>42</v>
      </c>
      <c r="AD87" s="12">
        <v>25</v>
      </c>
      <c r="AE87" s="12">
        <v>37</v>
      </c>
      <c r="AF87" s="12">
        <v>69</v>
      </c>
      <c r="AG87" s="12">
        <v>91</v>
      </c>
      <c r="AH87" s="12">
        <v>32</v>
      </c>
      <c r="AI87" s="13">
        <f>SUM(D87:AH87)</f>
        <v>1315</v>
      </c>
      <c r="AJ87" s="6"/>
    </row>
    <row r="88" spans="1:36" x14ac:dyDescent="0.3">
      <c r="A88" s="2"/>
      <c r="B88" s="14"/>
      <c r="C88" s="15" t="s">
        <v>16</v>
      </c>
      <c r="D88" s="16">
        <f t="shared" ref="D88:AH88" si="48">+D87/$A87</f>
        <v>0.6</v>
      </c>
      <c r="E88" s="16">
        <f t="shared" si="48"/>
        <v>0.73913043478260865</v>
      </c>
      <c r="F88" s="16">
        <f t="shared" si="48"/>
        <v>0.15652173913043479</v>
      </c>
      <c r="G88" s="16">
        <f t="shared" si="48"/>
        <v>0.20869565217391303</v>
      </c>
      <c r="H88" s="16">
        <f t="shared" si="48"/>
        <v>0.2608695652173913</v>
      </c>
      <c r="I88" s="16">
        <f t="shared" si="48"/>
        <v>0.25217391304347825</v>
      </c>
      <c r="J88" s="16">
        <f t="shared" si="48"/>
        <v>0.2608695652173913</v>
      </c>
      <c r="K88" s="16">
        <f t="shared" si="48"/>
        <v>0.47826086956521741</v>
      </c>
      <c r="L88" s="16">
        <f t="shared" si="48"/>
        <v>0.54782608695652169</v>
      </c>
      <c r="M88" s="16">
        <f t="shared" si="48"/>
        <v>0.2</v>
      </c>
      <c r="N88" s="16">
        <f t="shared" si="48"/>
        <v>0.21739130434782608</v>
      </c>
      <c r="O88" s="16">
        <f t="shared" si="48"/>
        <v>0.21739130434782608</v>
      </c>
      <c r="P88" s="16">
        <f t="shared" si="48"/>
        <v>0.21739130434782608</v>
      </c>
      <c r="Q88" s="16">
        <f t="shared" si="48"/>
        <v>0.33043478260869563</v>
      </c>
      <c r="R88" s="16">
        <f t="shared" si="48"/>
        <v>0.47826086956521741</v>
      </c>
      <c r="S88" s="16">
        <f t="shared" si="48"/>
        <v>0.66086956521739126</v>
      </c>
      <c r="T88" s="16">
        <f t="shared" si="48"/>
        <v>0.32173913043478258</v>
      </c>
      <c r="U88" s="16">
        <f t="shared" si="48"/>
        <v>0.2</v>
      </c>
      <c r="V88" s="16">
        <f t="shared" si="48"/>
        <v>0.28695652173913044</v>
      </c>
      <c r="W88" s="16">
        <f t="shared" si="48"/>
        <v>0.32173913043478258</v>
      </c>
      <c r="X88" s="16">
        <f t="shared" si="48"/>
        <v>0.26956521739130435</v>
      </c>
      <c r="Y88" s="16">
        <f t="shared" si="48"/>
        <v>0.47826086956521741</v>
      </c>
      <c r="Z88" s="16">
        <f t="shared" si="48"/>
        <v>0.60869565217391308</v>
      </c>
      <c r="AA88" s="16">
        <f t="shared" si="48"/>
        <v>0.24347826086956523</v>
      </c>
      <c r="AB88" s="16">
        <f t="shared" si="48"/>
        <v>0.30434782608695654</v>
      </c>
      <c r="AC88" s="16">
        <f t="shared" si="48"/>
        <v>0.36521739130434783</v>
      </c>
      <c r="AD88" s="16">
        <f t="shared" si="48"/>
        <v>0.21739130434782608</v>
      </c>
      <c r="AE88" s="16">
        <f t="shared" si="48"/>
        <v>0.32173913043478258</v>
      </c>
      <c r="AF88" s="16">
        <f t="shared" si="48"/>
        <v>0.6</v>
      </c>
      <c r="AG88" s="16">
        <f t="shared" si="48"/>
        <v>0.79130434782608694</v>
      </c>
      <c r="AH88" s="16">
        <f t="shared" si="48"/>
        <v>0.27826086956521739</v>
      </c>
      <c r="AI88" s="17">
        <f>+AI87/(A87*A$1)</f>
        <v>0.3688639551192146</v>
      </c>
      <c r="AJ88" s="6"/>
    </row>
    <row r="89" spans="1:36" x14ac:dyDescent="0.3">
      <c r="A89" s="2"/>
      <c r="B89" s="14"/>
      <c r="C89" s="15" t="s">
        <v>17</v>
      </c>
      <c r="D89" s="18">
        <f t="shared" ref="D89:AH89" si="49">+IFERROR(D91/D87,0)</f>
        <v>70.311884057971014</v>
      </c>
      <c r="E89" s="18">
        <f t="shared" si="49"/>
        <v>72.041529411764699</v>
      </c>
      <c r="F89" s="18">
        <f t="shared" si="49"/>
        <v>62.818333333333335</v>
      </c>
      <c r="G89" s="18">
        <f t="shared" si="49"/>
        <v>65.277083333333337</v>
      </c>
      <c r="H89" s="18">
        <f t="shared" si="49"/>
        <v>69.192666666666668</v>
      </c>
      <c r="I89" s="18">
        <f t="shared" si="49"/>
        <v>71.914482758620693</v>
      </c>
      <c r="J89" s="18">
        <f t="shared" si="49"/>
        <v>69.904333333333341</v>
      </c>
      <c r="K89" s="18">
        <f t="shared" si="49"/>
        <v>64.105090909090919</v>
      </c>
      <c r="L89" s="18">
        <f t="shared" si="49"/>
        <v>64.529206349206348</v>
      </c>
      <c r="M89" s="18">
        <f t="shared" si="49"/>
        <v>66.613913043478263</v>
      </c>
      <c r="N89" s="18">
        <f t="shared" si="49"/>
        <v>67.988399999999999</v>
      </c>
      <c r="O89" s="18">
        <f t="shared" si="49"/>
        <v>67.988399999999999</v>
      </c>
      <c r="P89" s="18">
        <f t="shared" si="49"/>
        <v>66.464799999999997</v>
      </c>
      <c r="Q89" s="18">
        <f t="shared" si="49"/>
        <v>68.45</v>
      </c>
      <c r="R89" s="18">
        <f t="shared" si="49"/>
        <v>70.352181818181819</v>
      </c>
      <c r="S89" s="18">
        <f t="shared" si="49"/>
        <v>64.223684210526315</v>
      </c>
      <c r="T89" s="18">
        <f t="shared" si="49"/>
        <v>65.110810810810804</v>
      </c>
      <c r="U89" s="18">
        <f t="shared" si="49"/>
        <v>65.307826086956524</v>
      </c>
      <c r="V89" s="18">
        <f t="shared" si="49"/>
        <v>74.761818181818171</v>
      </c>
      <c r="W89" s="18">
        <f t="shared" si="49"/>
        <v>64.008108108108118</v>
      </c>
      <c r="X89" s="18">
        <f t="shared" si="49"/>
        <v>62.387096774193552</v>
      </c>
      <c r="Y89" s="18">
        <f t="shared" si="49"/>
        <v>66.123272727272735</v>
      </c>
      <c r="Z89" s="18">
        <f t="shared" si="49"/>
        <v>62.176428571428573</v>
      </c>
      <c r="AA89" s="18">
        <f t="shared" si="49"/>
        <v>64.345357142857139</v>
      </c>
      <c r="AB89" s="18">
        <f t="shared" si="49"/>
        <v>66.236857142857147</v>
      </c>
      <c r="AC89" s="18">
        <f t="shared" si="49"/>
        <v>65.627619047619049</v>
      </c>
      <c r="AD89" s="18">
        <f t="shared" si="49"/>
        <v>75.228000000000009</v>
      </c>
      <c r="AE89" s="18">
        <f t="shared" si="49"/>
        <v>66.007027027027036</v>
      </c>
      <c r="AF89" s="18">
        <f t="shared" si="49"/>
        <v>65.488550724637676</v>
      </c>
      <c r="AG89" s="18">
        <f t="shared" si="49"/>
        <v>61.466813186813184</v>
      </c>
      <c r="AH89" s="18">
        <f t="shared" si="49"/>
        <v>55.7421875</v>
      </c>
      <c r="AI89" s="19">
        <f>+AI91/AI87</f>
        <v>66.335802281368814</v>
      </c>
      <c r="AJ89" s="6"/>
    </row>
    <row r="90" spans="1:36" x14ac:dyDescent="0.3">
      <c r="A90" s="2"/>
      <c r="B90" s="14"/>
      <c r="C90" s="15" t="s">
        <v>18</v>
      </c>
      <c r="D90" s="18">
        <f t="shared" ref="D90:AH90" si="50">+D88*D89</f>
        <v>42.18713043478261</v>
      </c>
      <c r="E90" s="18">
        <f t="shared" si="50"/>
        <v>53.248086956521732</v>
      </c>
      <c r="F90" s="18">
        <f t="shared" si="50"/>
        <v>9.8324347826086971</v>
      </c>
      <c r="G90" s="18">
        <f t="shared" si="50"/>
        <v>13.62304347826087</v>
      </c>
      <c r="H90" s="18">
        <f t="shared" si="50"/>
        <v>18.050260869565218</v>
      </c>
      <c r="I90" s="18">
        <f t="shared" si="50"/>
        <v>18.134956521739131</v>
      </c>
      <c r="J90" s="18">
        <f t="shared" si="50"/>
        <v>18.235913043478263</v>
      </c>
      <c r="K90" s="18">
        <f t="shared" si="50"/>
        <v>30.658956521739135</v>
      </c>
      <c r="L90" s="18">
        <f t="shared" si="50"/>
        <v>35.350782608695646</v>
      </c>
      <c r="M90" s="18">
        <f t="shared" si="50"/>
        <v>13.322782608695654</v>
      </c>
      <c r="N90" s="18">
        <f t="shared" si="50"/>
        <v>14.780086956521739</v>
      </c>
      <c r="O90" s="18">
        <f t="shared" si="50"/>
        <v>14.780086956521739</v>
      </c>
      <c r="P90" s="18">
        <f t="shared" si="50"/>
        <v>14.44886956521739</v>
      </c>
      <c r="Q90" s="18">
        <f t="shared" si="50"/>
        <v>22.618260869565216</v>
      </c>
      <c r="R90" s="18">
        <f t="shared" si="50"/>
        <v>33.646695652173918</v>
      </c>
      <c r="S90" s="18">
        <f t="shared" si="50"/>
        <v>42.443478260869561</v>
      </c>
      <c r="T90" s="18">
        <f t="shared" si="50"/>
        <v>20.94869565217391</v>
      </c>
      <c r="U90" s="18">
        <f t="shared" si="50"/>
        <v>13.061565217391305</v>
      </c>
      <c r="V90" s="18">
        <f t="shared" si="50"/>
        <v>21.453391304347825</v>
      </c>
      <c r="W90" s="18">
        <f t="shared" si="50"/>
        <v>20.593913043478263</v>
      </c>
      <c r="X90" s="18">
        <f t="shared" si="50"/>
        <v>16.817391304347826</v>
      </c>
      <c r="Y90" s="18">
        <f t="shared" si="50"/>
        <v>31.624173913043482</v>
      </c>
      <c r="Z90" s="18">
        <f t="shared" si="50"/>
        <v>37.846521739130438</v>
      </c>
      <c r="AA90" s="18">
        <f t="shared" si="50"/>
        <v>15.666695652173912</v>
      </c>
      <c r="AB90" s="18">
        <f t="shared" si="50"/>
        <v>20.159043478260873</v>
      </c>
      <c r="AC90" s="18">
        <f t="shared" si="50"/>
        <v>23.968347826086958</v>
      </c>
      <c r="AD90" s="18">
        <f t="shared" si="50"/>
        <v>16.353913043478261</v>
      </c>
      <c r="AE90" s="18">
        <f t="shared" si="50"/>
        <v>21.237043478260869</v>
      </c>
      <c r="AF90" s="18">
        <f t="shared" si="50"/>
        <v>39.293130434782604</v>
      </c>
      <c r="AG90" s="18">
        <f t="shared" si="50"/>
        <v>48.638956521739125</v>
      </c>
      <c r="AH90" s="18">
        <f t="shared" si="50"/>
        <v>15.510869565217391</v>
      </c>
      <c r="AI90" s="19">
        <f>+AI89*AI88</f>
        <v>24.46888639551192</v>
      </c>
      <c r="AJ90" s="6"/>
    </row>
    <row r="91" spans="1:36" x14ac:dyDescent="0.3">
      <c r="A91" s="2"/>
      <c r="B91" s="14"/>
      <c r="C91" s="15" t="s">
        <v>19</v>
      </c>
      <c r="D91" s="21">
        <v>4851.5200000000004</v>
      </c>
      <c r="E91" s="21">
        <v>6123.53</v>
      </c>
      <c r="F91" s="21">
        <v>1130.73</v>
      </c>
      <c r="G91" s="21">
        <v>1566.65</v>
      </c>
      <c r="H91" s="21">
        <v>2075.7800000000002</v>
      </c>
      <c r="I91" s="21">
        <v>2085.52</v>
      </c>
      <c r="J91" s="21">
        <v>2097.13</v>
      </c>
      <c r="K91" s="21">
        <v>3525.78</v>
      </c>
      <c r="L91" s="21">
        <v>4065.34</v>
      </c>
      <c r="M91" s="21">
        <v>1532.12</v>
      </c>
      <c r="N91" s="21">
        <v>1699.71</v>
      </c>
      <c r="O91" s="21">
        <v>1699.71</v>
      </c>
      <c r="P91" s="21">
        <v>1661.62</v>
      </c>
      <c r="Q91" s="21">
        <v>2601.1</v>
      </c>
      <c r="R91" s="21">
        <v>3869.37</v>
      </c>
      <c r="S91" s="21">
        <v>4881</v>
      </c>
      <c r="T91" s="21">
        <v>2409.1</v>
      </c>
      <c r="U91" s="21">
        <v>1502.08</v>
      </c>
      <c r="V91" s="21">
        <v>2467.14</v>
      </c>
      <c r="W91" s="21">
        <v>2368.3000000000002</v>
      </c>
      <c r="X91" s="21">
        <v>1934</v>
      </c>
      <c r="Y91" s="21">
        <v>3636.78</v>
      </c>
      <c r="Z91" s="21">
        <v>4352.3500000000004</v>
      </c>
      <c r="AA91" s="21">
        <v>1801.67</v>
      </c>
      <c r="AB91" s="21">
        <v>2318.29</v>
      </c>
      <c r="AC91" s="21">
        <v>2756.36</v>
      </c>
      <c r="AD91" s="21">
        <v>1880.7</v>
      </c>
      <c r="AE91" s="21">
        <v>2442.2600000000002</v>
      </c>
      <c r="AF91" s="21">
        <v>4518.71</v>
      </c>
      <c r="AG91" s="21">
        <v>5593.48</v>
      </c>
      <c r="AH91" s="21">
        <v>1783.75</v>
      </c>
      <c r="AI91" s="22">
        <f>SUM(D91:AH91)</f>
        <v>87231.579999999987</v>
      </c>
      <c r="AJ91" s="6"/>
    </row>
    <row r="92" spans="1:36" ht="15" thickBot="1" x14ac:dyDescent="0.35">
      <c r="A92" s="23"/>
      <c r="B92" s="24"/>
      <c r="C92" s="77" t="s">
        <v>79</v>
      </c>
      <c r="D92" s="25">
        <f>1444.74/D91</f>
        <v>0.29779120770397727</v>
      </c>
      <c r="E92" s="26">
        <f>483.83/E91</f>
        <v>7.9011615849028258E-2</v>
      </c>
      <c r="F92" s="72">
        <f>473.57/F91</f>
        <v>0.41881793177858551</v>
      </c>
      <c r="G92" s="26">
        <f>868.16/G91</f>
        <v>0.5541505760699581</v>
      </c>
      <c r="H92" s="26">
        <f>706.56/H91</f>
        <v>0.34038289221401108</v>
      </c>
      <c r="I92" s="26">
        <f>971.28/I91</f>
        <v>0.46572557443707086</v>
      </c>
      <c r="J92" s="26">
        <f>732.82/J91</f>
        <v>0.34943947204035991</v>
      </c>
      <c r="K92" s="26">
        <f>671.88/K91</f>
        <v>0.19056208838895222</v>
      </c>
      <c r="L92" s="26">
        <f>280.56/L91</f>
        <v>6.9012677906398964E-2</v>
      </c>
      <c r="M92" s="26">
        <f>582.9/M91</f>
        <v>0.38045322820666788</v>
      </c>
      <c r="N92" s="78">
        <f>771.41/N91</f>
        <v>0.45384800936630365</v>
      </c>
      <c r="O92" s="78">
        <f>1280.75/O91</f>
        <v>0.7535108930346941</v>
      </c>
      <c r="P92" s="26">
        <f>1208.21/P91</f>
        <v>0.72712774280521431</v>
      </c>
      <c r="Q92" s="26">
        <f>1051.84/Q91</f>
        <v>0.40438276113951788</v>
      </c>
      <c r="R92" s="26">
        <f>988.52/R91</f>
        <v>0.25547311319413757</v>
      </c>
      <c r="S92" s="26">
        <f>383.89/S91</f>
        <v>7.8649866830567502E-2</v>
      </c>
      <c r="T92" s="26">
        <f>662.43/T91</f>
        <v>0.27496990577394048</v>
      </c>
      <c r="U92" s="26">
        <f>1233.63/U91</f>
        <v>0.82128115679590974</v>
      </c>
      <c r="V92" s="26">
        <f>874.52/V91</f>
        <v>0.35446711576967666</v>
      </c>
      <c r="W92" s="26">
        <f>1103.19/W91</f>
        <v>0.46581514166279608</v>
      </c>
      <c r="X92" s="26">
        <f>1044.34/X91</f>
        <v>0.53998965873836602</v>
      </c>
      <c r="Y92" s="26">
        <f>936/Y91</f>
        <v>0.257370531074192</v>
      </c>
      <c r="Z92" s="26">
        <f>526.73/Z91</f>
        <v>0.12102197663331303</v>
      </c>
      <c r="AA92" s="26">
        <f>723.53/AA91</f>
        <v>0.40158852620069158</v>
      </c>
      <c r="AB92" s="26">
        <f>696.62/AB91</f>
        <v>0.30048872229099899</v>
      </c>
      <c r="AC92" s="26">
        <f>563.88/AC91</f>
        <v>0.20457414851470779</v>
      </c>
      <c r="AD92" s="26">
        <f>1091.12/AD91</f>
        <v>0.58016695911096927</v>
      </c>
      <c r="AE92" s="26">
        <f>1092.4/AE91</f>
        <v>0.44729062425785954</v>
      </c>
      <c r="AF92" s="26">
        <f>1042.32/AF91</f>
        <v>0.23066760203686448</v>
      </c>
      <c r="AG92" s="26">
        <f>474.93/AG91</f>
        <v>8.4907785493109844E-2</v>
      </c>
      <c r="AH92" s="26">
        <f>567.53/AH91</f>
        <v>0.31816678346180799</v>
      </c>
      <c r="AI92" s="79">
        <f>AVERAGE(D92:AG92)</f>
        <v>0.36343131684396141</v>
      </c>
      <c r="AJ92" s="6"/>
    </row>
    <row r="93" spans="1:36" ht="15" thickTop="1" x14ac:dyDescent="0.3">
      <c r="A93" s="2">
        <v>100</v>
      </c>
      <c r="B93" s="28" t="s">
        <v>42</v>
      </c>
      <c r="C93" s="29" t="s">
        <v>15</v>
      </c>
      <c r="D93" s="30">
        <v>53</v>
      </c>
      <c r="E93" s="31">
        <v>37</v>
      </c>
      <c r="F93" s="31">
        <v>37</v>
      </c>
      <c r="G93" s="31">
        <v>49</v>
      </c>
      <c r="H93" s="31">
        <v>59</v>
      </c>
      <c r="I93" s="31">
        <v>61</v>
      </c>
      <c r="J93" s="31">
        <v>55</v>
      </c>
      <c r="K93" s="31">
        <v>57</v>
      </c>
      <c r="L93" s="31">
        <v>66</v>
      </c>
      <c r="M93" s="31">
        <v>61</v>
      </c>
      <c r="N93" s="31">
        <v>64</v>
      </c>
      <c r="O93" s="31">
        <v>55</v>
      </c>
      <c r="P93" s="31">
        <v>60</v>
      </c>
      <c r="Q93" s="31">
        <v>61</v>
      </c>
      <c r="R93" s="31">
        <v>55</v>
      </c>
      <c r="S93" s="31">
        <v>51</v>
      </c>
      <c r="T93" s="31">
        <v>47</v>
      </c>
      <c r="U93" s="31">
        <v>55</v>
      </c>
      <c r="V93" s="31">
        <v>51</v>
      </c>
      <c r="W93" s="31">
        <v>53</v>
      </c>
      <c r="X93" s="31">
        <v>54</v>
      </c>
      <c r="Y93" s="31">
        <v>55</v>
      </c>
      <c r="Z93" s="31">
        <v>55</v>
      </c>
      <c r="AA93" s="31">
        <v>48</v>
      </c>
      <c r="AB93" s="31">
        <v>52</v>
      </c>
      <c r="AC93" s="31">
        <v>51</v>
      </c>
      <c r="AD93" s="31">
        <v>59</v>
      </c>
      <c r="AE93" s="31">
        <v>56</v>
      </c>
      <c r="AF93" s="31">
        <v>56</v>
      </c>
      <c r="AG93" s="31">
        <v>64</v>
      </c>
      <c r="AH93" s="31">
        <v>52</v>
      </c>
      <c r="AI93" s="32">
        <f>SUM(D93:AH93)</f>
        <v>1689</v>
      </c>
      <c r="AJ93" s="6"/>
    </row>
    <row r="94" spans="1:36" x14ac:dyDescent="0.3">
      <c r="A94" s="2"/>
      <c r="B94" s="33"/>
      <c r="C94" s="34" t="s">
        <v>16</v>
      </c>
      <c r="D94" s="35">
        <f t="shared" ref="D94:AH94" si="51">+D93/$A93</f>
        <v>0.53</v>
      </c>
      <c r="E94" s="35">
        <f t="shared" si="51"/>
        <v>0.37</v>
      </c>
      <c r="F94" s="35">
        <f t="shared" si="51"/>
        <v>0.37</v>
      </c>
      <c r="G94" s="35">
        <f t="shared" si="51"/>
        <v>0.49</v>
      </c>
      <c r="H94" s="35">
        <f t="shared" si="51"/>
        <v>0.59</v>
      </c>
      <c r="I94" s="35">
        <f t="shared" si="51"/>
        <v>0.61</v>
      </c>
      <c r="J94" s="35">
        <f t="shared" si="51"/>
        <v>0.55000000000000004</v>
      </c>
      <c r="K94" s="35">
        <f t="shared" si="51"/>
        <v>0.56999999999999995</v>
      </c>
      <c r="L94" s="35">
        <f t="shared" si="51"/>
        <v>0.66</v>
      </c>
      <c r="M94" s="35">
        <f t="shared" si="51"/>
        <v>0.61</v>
      </c>
      <c r="N94" s="35">
        <f t="shared" si="51"/>
        <v>0.64</v>
      </c>
      <c r="O94" s="35">
        <f t="shared" si="51"/>
        <v>0.55000000000000004</v>
      </c>
      <c r="P94" s="35">
        <f t="shared" si="51"/>
        <v>0.6</v>
      </c>
      <c r="Q94" s="35">
        <f t="shared" si="51"/>
        <v>0.61</v>
      </c>
      <c r="R94" s="35">
        <f t="shared" si="51"/>
        <v>0.55000000000000004</v>
      </c>
      <c r="S94" s="35">
        <f t="shared" si="51"/>
        <v>0.51</v>
      </c>
      <c r="T94" s="35">
        <f t="shared" si="51"/>
        <v>0.47</v>
      </c>
      <c r="U94" s="35">
        <f t="shared" si="51"/>
        <v>0.55000000000000004</v>
      </c>
      <c r="V94" s="35">
        <f t="shared" si="51"/>
        <v>0.51</v>
      </c>
      <c r="W94" s="35">
        <f t="shared" si="51"/>
        <v>0.53</v>
      </c>
      <c r="X94" s="35">
        <f t="shared" si="51"/>
        <v>0.54</v>
      </c>
      <c r="Y94" s="35">
        <f t="shared" si="51"/>
        <v>0.55000000000000004</v>
      </c>
      <c r="Z94" s="35">
        <f t="shared" si="51"/>
        <v>0.55000000000000004</v>
      </c>
      <c r="AA94" s="35">
        <f t="shared" si="51"/>
        <v>0.48</v>
      </c>
      <c r="AB94" s="35">
        <f t="shared" si="51"/>
        <v>0.52</v>
      </c>
      <c r="AC94" s="35">
        <f t="shared" si="51"/>
        <v>0.51</v>
      </c>
      <c r="AD94" s="35">
        <f t="shared" si="51"/>
        <v>0.59</v>
      </c>
      <c r="AE94" s="35">
        <f t="shared" si="51"/>
        <v>0.56000000000000005</v>
      </c>
      <c r="AF94" s="35">
        <f t="shared" si="51"/>
        <v>0.56000000000000005</v>
      </c>
      <c r="AG94" s="35">
        <f t="shared" si="51"/>
        <v>0.64</v>
      </c>
      <c r="AH94" s="35">
        <f t="shared" si="51"/>
        <v>0.52</v>
      </c>
      <c r="AI94" s="36">
        <f>+AI93/(A93*A$1)</f>
        <v>0.54483870967741932</v>
      </c>
      <c r="AJ94" s="6"/>
    </row>
    <row r="95" spans="1:36" x14ac:dyDescent="0.3">
      <c r="A95" s="2"/>
      <c r="B95" s="33"/>
      <c r="C95" s="34" t="s">
        <v>17</v>
      </c>
      <c r="D95" s="37">
        <f t="shared" ref="D95:AH95" si="52">+IFERROR(D97/D93,0)</f>
        <v>70.627547169811322</v>
      </c>
      <c r="E95" s="37">
        <f t="shared" si="52"/>
        <v>72.447027027027019</v>
      </c>
      <c r="F95" s="37">
        <f t="shared" si="52"/>
        <v>65.991891891891882</v>
      </c>
      <c r="G95" s="37">
        <f t="shared" si="52"/>
        <v>73.122040816326532</v>
      </c>
      <c r="H95" s="37">
        <f t="shared" si="52"/>
        <v>73.091355932203399</v>
      </c>
      <c r="I95" s="37">
        <f t="shared" si="52"/>
        <v>76.394098360655732</v>
      </c>
      <c r="J95" s="37">
        <f t="shared" si="52"/>
        <v>78.762363636363645</v>
      </c>
      <c r="K95" s="37">
        <f t="shared" si="52"/>
        <v>70.894035087719303</v>
      </c>
      <c r="L95" s="37">
        <f t="shared" si="52"/>
        <v>71.417272727272731</v>
      </c>
      <c r="M95" s="37">
        <f t="shared" si="52"/>
        <v>72.250983606557384</v>
      </c>
      <c r="N95" s="37">
        <f t="shared" si="52"/>
        <v>76.581718749999993</v>
      </c>
      <c r="O95" s="37">
        <f t="shared" si="52"/>
        <v>76.175818181818187</v>
      </c>
      <c r="P95" s="37">
        <f t="shared" si="52"/>
        <v>76.906833333333324</v>
      </c>
      <c r="Q95" s="37">
        <f t="shared" si="52"/>
        <v>78.337540983606559</v>
      </c>
      <c r="R95" s="37">
        <f t="shared" si="52"/>
        <v>47.510727272727273</v>
      </c>
      <c r="S95" s="37">
        <f t="shared" si="52"/>
        <v>68.245294117647063</v>
      </c>
      <c r="T95" s="37">
        <f t="shared" si="52"/>
        <v>67.032127659574471</v>
      </c>
      <c r="U95" s="37">
        <f t="shared" si="52"/>
        <v>77.190909090909088</v>
      </c>
      <c r="V95" s="37">
        <f t="shared" si="52"/>
        <v>75.476078431372557</v>
      </c>
      <c r="W95" s="37">
        <f t="shared" si="52"/>
        <v>73.300754716981132</v>
      </c>
      <c r="X95" s="37">
        <f t="shared" si="52"/>
        <v>70.559629629629626</v>
      </c>
      <c r="Y95" s="37">
        <f t="shared" si="52"/>
        <v>70.338909090909084</v>
      </c>
      <c r="Z95" s="37">
        <f t="shared" si="52"/>
        <v>72.73745454545454</v>
      </c>
      <c r="AA95" s="37">
        <f t="shared" si="52"/>
        <v>71.370833333333337</v>
      </c>
      <c r="AB95" s="37">
        <f t="shared" si="52"/>
        <v>76.712884615384624</v>
      </c>
      <c r="AC95" s="37">
        <f t="shared" si="52"/>
        <v>75.399411764705874</v>
      </c>
      <c r="AD95" s="37">
        <f t="shared" si="52"/>
        <v>73.775423728813564</v>
      </c>
      <c r="AE95" s="37">
        <f t="shared" si="52"/>
        <v>71.553928571428571</v>
      </c>
      <c r="AF95" s="37">
        <f t="shared" si="52"/>
        <v>66.791607142857146</v>
      </c>
      <c r="AG95" s="37">
        <f t="shared" si="52"/>
        <v>68.611093749999995</v>
      </c>
      <c r="AH95" s="37">
        <f t="shared" si="52"/>
        <v>70.136730769230766</v>
      </c>
      <c r="AI95" s="38">
        <f>+AI97/AI93</f>
        <v>72.054683244523389</v>
      </c>
      <c r="AJ95" s="6"/>
    </row>
    <row r="96" spans="1:36" x14ac:dyDescent="0.3">
      <c r="A96" s="2"/>
      <c r="B96" s="33"/>
      <c r="C96" s="34" t="s">
        <v>18</v>
      </c>
      <c r="D96" s="37">
        <f t="shared" ref="D96:AH96" si="53">+D94*D95</f>
        <v>37.432600000000001</v>
      </c>
      <c r="E96" s="37">
        <f t="shared" si="53"/>
        <v>26.805399999999995</v>
      </c>
      <c r="F96" s="37">
        <f t="shared" si="53"/>
        <v>24.416999999999994</v>
      </c>
      <c r="G96" s="37">
        <f t="shared" si="53"/>
        <v>35.829799999999999</v>
      </c>
      <c r="H96" s="37">
        <f t="shared" si="53"/>
        <v>43.123900000000006</v>
      </c>
      <c r="I96" s="37">
        <f t="shared" si="53"/>
        <v>46.600399999999993</v>
      </c>
      <c r="J96" s="37">
        <f t="shared" si="53"/>
        <v>43.319300000000005</v>
      </c>
      <c r="K96" s="37">
        <f t="shared" si="53"/>
        <v>40.409599999999998</v>
      </c>
      <c r="L96" s="37">
        <f t="shared" si="53"/>
        <v>47.135400000000004</v>
      </c>
      <c r="M96" s="37">
        <f t="shared" si="53"/>
        <v>44.073100000000004</v>
      </c>
      <c r="N96" s="37">
        <f t="shared" si="53"/>
        <v>49.012299999999996</v>
      </c>
      <c r="O96" s="37">
        <f t="shared" si="53"/>
        <v>41.896700000000003</v>
      </c>
      <c r="P96" s="37">
        <f t="shared" si="53"/>
        <v>46.144099999999995</v>
      </c>
      <c r="Q96" s="37">
        <f t="shared" si="53"/>
        <v>47.785899999999998</v>
      </c>
      <c r="R96" s="37">
        <f t="shared" si="53"/>
        <v>26.1309</v>
      </c>
      <c r="S96" s="37">
        <f t="shared" si="53"/>
        <v>34.805100000000003</v>
      </c>
      <c r="T96" s="37">
        <f t="shared" si="53"/>
        <v>31.505099999999999</v>
      </c>
      <c r="U96" s="37">
        <f t="shared" si="53"/>
        <v>42.454999999999998</v>
      </c>
      <c r="V96" s="37">
        <f t="shared" si="53"/>
        <v>38.492800000000003</v>
      </c>
      <c r="W96" s="37">
        <f t="shared" si="53"/>
        <v>38.849400000000003</v>
      </c>
      <c r="X96" s="37">
        <f t="shared" si="53"/>
        <v>38.102200000000003</v>
      </c>
      <c r="Y96" s="37">
        <f t="shared" si="53"/>
        <v>38.686399999999999</v>
      </c>
      <c r="Z96" s="37">
        <f t="shared" si="53"/>
        <v>40.005600000000001</v>
      </c>
      <c r="AA96" s="37">
        <f t="shared" si="53"/>
        <v>34.258000000000003</v>
      </c>
      <c r="AB96" s="37">
        <f t="shared" si="53"/>
        <v>39.890700000000002</v>
      </c>
      <c r="AC96" s="37">
        <f t="shared" si="53"/>
        <v>38.453699999999998</v>
      </c>
      <c r="AD96" s="37">
        <f t="shared" si="53"/>
        <v>43.527500000000003</v>
      </c>
      <c r="AE96" s="37">
        <f t="shared" si="53"/>
        <v>40.070200000000007</v>
      </c>
      <c r="AF96" s="37">
        <f t="shared" si="53"/>
        <v>37.403300000000009</v>
      </c>
      <c r="AG96" s="37">
        <f t="shared" si="53"/>
        <v>43.911099999999998</v>
      </c>
      <c r="AH96" s="37">
        <f t="shared" si="53"/>
        <v>36.4711</v>
      </c>
      <c r="AI96" s="38">
        <f>+AI95*AI94</f>
        <v>39.258180645161289</v>
      </c>
      <c r="AJ96" s="6"/>
    </row>
    <row r="97" spans="1:36" x14ac:dyDescent="0.3">
      <c r="A97" s="2"/>
      <c r="B97" s="14"/>
      <c r="C97" s="15" t="s">
        <v>19</v>
      </c>
      <c r="D97" s="21">
        <v>3743.26</v>
      </c>
      <c r="E97" s="21">
        <v>2680.54</v>
      </c>
      <c r="F97" s="21">
        <v>2441.6999999999998</v>
      </c>
      <c r="G97" s="21">
        <v>3582.98</v>
      </c>
      <c r="H97" s="21">
        <v>4312.3900000000003</v>
      </c>
      <c r="I97" s="21">
        <v>4660.04</v>
      </c>
      <c r="J97" s="21">
        <v>4331.93</v>
      </c>
      <c r="K97" s="21">
        <v>4040.96</v>
      </c>
      <c r="L97" s="21">
        <v>4713.54</v>
      </c>
      <c r="M97" s="21">
        <v>4407.3100000000004</v>
      </c>
      <c r="N97" s="21">
        <v>4901.2299999999996</v>
      </c>
      <c r="O97" s="21">
        <v>4189.67</v>
      </c>
      <c r="P97" s="21">
        <v>4614.41</v>
      </c>
      <c r="Q97" s="21">
        <v>4778.59</v>
      </c>
      <c r="R97" s="21">
        <v>2613.09</v>
      </c>
      <c r="S97" s="21">
        <v>3480.51</v>
      </c>
      <c r="T97" s="21">
        <v>3150.51</v>
      </c>
      <c r="U97" s="21">
        <v>4245.5</v>
      </c>
      <c r="V97" s="21">
        <v>3849.28</v>
      </c>
      <c r="W97" s="21">
        <v>3884.94</v>
      </c>
      <c r="X97" s="21">
        <v>3810.22</v>
      </c>
      <c r="Y97" s="21">
        <v>3868.64</v>
      </c>
      <c r="Z97" s="21">
        <v>4000.56</v>
      </c>
      <c r="AA97" s="21">
        <v>3425.8</v>
      </c>
      <c r="AB97" s="21">
        <v>3989.07</v>
      </c>
      <c r="AC97" s="21">
        <v>3845.37</v>
      </c>
      <c r="AD97" s="21">
        <v>4352.75</v>
      </c>
      <c r="AE97" s="21">
        <v>4007.02</v>
      </c>
      <c r="AF97" s="21">
        <v>3740.33</v>
      </c>
      <c r="AG97" s="21">
        <v>4391.1099999999997</v>
      </c>
      <c r="AH97" s="21">
        <v>3647.11</v>
      </c>
      <c r="AI97" s="22">
        <f>SUM(D97:AH97)</f>
        <v>121700.36</v>
      </c>
      <c r="AJ97" s="6"/>
    </row>
    <row r="98" spans="1:36" ht="15" thickBot="1" x14ac:dyDescent="0.35">
      <c r="A98" s="23"/>
      <c r="B98" s="48"/>
      <c r="C98" s="41" t="s">
        <v>20</v>
      </c>
      <c r="D98" s="49">
        <f>1541.46/D97</f>
        <v>0.41179613491982925</v>
      </c>
      <c r="E98" s="50">
        <f>443.73/E97</f>
        <v>0.1655375409432428</v>
      </c>
      <c r="F98" s="73">
        <f>376.5/F97</f>
        <v>0.15419584715567025</v>
      </c>
      <c r="G98" s="50">
        <f>618.67/G97</f>
        <v>0.17266911900150153</v>
      </c>
      <c r="H98" s="50">
        <f>731.71/H97</f>
        <v>0.16967621203091557</v>
      </c>
      <c r="I98" s="50">
        <f>427.14/I97</f>
        <v>9.166015742354143E-2</v>
      </c>
      <c r="J98" s="50">
        <f>1120.42/J97</f>
        <v>0.25864222182722252</v>
      </c>
      <c r="K98" s="50">
        <f>532.91/K97</f>
        <v>0.13187707871396895</v>
      </c>
      <c r="L98" s="50">
        <f>286.05/L97</f>
        <v>6.068687228707087E-2</v>
      </c>
      <c r="M98" s="50">
        <f>279.91/M97</f>
        <v>6.3510395229743319E-2</v>
      </c>
      <c r="N98" s="50">
        <f>677.81/N97</f>
        <v>0.13829385684817894</v>
      </c>
      <c r="O98" s="50">
        <f>228.97/O97</f>
        <v>5.4651082304811596E-2</v>
      </c>
      <c r="P98" s="50">
        <f>422.69/P97</f>
        <v>9.1602176659637963E-2</v>
      </c>
      <c r="Q98" s="50">
        <f>744.45/Q97</f>
        <v>0.15578863221159381</v>
      </c>
      <c r="R98" s="50">
        <f>505.02/R97</f>
        <v>0.19326544435897727</v>
      </c>
      <c r="S98" s="50">
        <f>368.89/S97</f>
        <v>0.10598734093566746</v>
      </c>
      <c r="T98" s="50">
        <f>436.8/T97</f>
        <v>0.13864421950731787</v>
      </c>
      <c r="U98" s="50">
        <f>515.43/U97</f>
        <v>0.12140619479448828</v>
      </c>
      <c r="V98" s="50">
        <f>379.25/V97</f>
        <v>9.8524918945880779E-2</v>
      </c>
      <c r="W98" s="50">
        <f>566.49/W97</f>
        <v>0.1458169238134952</v>
      </c>
      <c r="X98" s="50">
        <f>1101.05/X97</f>
        <v>0.28897281521801893</v>
      </c>
      <c r="Y98" s="50">
        <f>558.36/Y97</f>
        <v>0.14432979031390877</v>
      </c>
      <c r="Z98" s="50">
        <f>548.98/Z97</f>
        <v>0.13722578838962546</v>
      </c>
      <c r="AA98" s="50">
        <f>530.71/AA97</f>
        <v>0.15491564014244849</v>
      </c>
      <c r="AB98" s="50">
        <f>430.9/AB97</f>
        <v>0.10802016510113885</v>
      </c>
      <c r="AC98" s="50">
        <f>303.57/AC97</f>
        <v>7.8944288846066829E-2</v>
      </c>
      <c r="AD98" s="50">
        <f>683/AD97</f>
        <v>0.156912296823847</v>
      </c>
      <c r="AE98" s="50">
        <f>479.4/AE97</f>
        <v>0.11964003174428876</v>
      </c>
      <c r="AF98" s="50">
        <f>817.6/AF97</f>
        <v>0.2185903382856593</v>
      </c>
      <c r="AG98" s="50">
        <f>175.68/AG97</f>
        <v>4.0008107289500834E-2</v>
      </c>
      <c r="AH98" s="50">
        <f>578.35/AH97</f>
        <v>0.15857761350768143</v>
      </c>
      <c r="AI98" s="51">
        <f>AVERAGE(D98:AG98)</f>
        <v>0.14572638773557531</v>
      </c>
      <c r="AJ98" s="6"/>
    </row>
    <row r="99" spans="1:36" ht="15" thickTop="1" x14ac:dyDescent="0.3">
      <c r="A99" s="2">
        <v>107</v>
      </c>
      <c r="B99" s="45" t="s">
        <v>43</v>
      </c>
      <c r="C99" s="46" t="s">
        <v>15</v>
      </c>
      <c r="D99" s="11">
        <v>72</v>
      </c>
      <c r="E99" s="12">
        <f>90</f>
        <v>90</v>
      </c>
      <c r="F99" s="12">
        <v>47</v>
      </c>
      <c r="G99" s="12">
        <v>54</v>
      </c>
      <c r="H99" s="12">
        <v>56</v>
      </c>
      <c r="I99" s="12">
        <v>50</v>
      </c>
      <c r="J99" s="12">
        <v>54</v>
      </c>
      <c r="K99" s="12">
        <v>56</v>
      </c>
      <c r="L99" s="12">
        <v>58</v>
      </c>
      <c r="M99" s="12">
        <v>50</v>
      </c>
      <c r="N99" s="12">
        <v>65</v>
      </c>
      <c r="O99" s="12">
        <v>67</v>
      </c>
      <c r="P99" s="12">
        <v>67</v>
      </c>
      <c r="Q99" s="12">
        <v>64</v>
      </c>
      <c r="R99" s="12">
        <v>83</v>
      </c>
      <c r="S99" s="12">
        <v>98</v>
      </c>
      <c r="T99" s="12">
        <v>63</v>
      </c>
      <c r="U99" s="12">
        <v>64</v>
      </c>
      <c r="V99" s="12">
        <v>72</v>
      </c>
      <c r="W99" s="12">
        <v>64</v>
      </c>
      <c r="X99" s="12">
        <v>66</v>
      </c>
      <c r="Y99" s="12">
        <v>68</v>
      </c>
      <c r="Z99" s="12">
        <v>69</v>
      </c>
      <c r="AA99" s="12">
        <v>60</v>
      </c>
      <c r="AB99" s="12">
        <v>70</v>
      </c>
      <c r="AC99" s="12">
        <v>76</v>
      </c>
      <c r="AD99" s="12">
        <v>76</v>
      </c>
      <c r="AE99" s="12">
        <v>70</v>
      </c>
      <c r="AF99" s="12">
        <v>75</v>
      </c>
      <c r="AG99" s="12">
        <v>76</v>
      </c>
      <c r="AH99" s="12">
        <v>44</v>
      </c>
      <c r="AI99" s="13">
        <f>SUM(D99:AH99)</f>
        <v>2044</v>
      </c>
      <c r="AJ99" s="6"/>
    </row>
    <row r="100" spans="1:36" x14ac:dyDescent="0.3">
      <c r="A100" s="2"/>
      <c r="B100" s="14"/>
      <c r="C100" s="15" t="s">
        <v>16</v>
      </c>
      <c r="D100" s="16">
        <f t="shared" ref="D100:AH100" si="54">+D99/$A99</f>
        <v>0.67289719626168221</v>
      </c>
      <c r="E100" s="16">
        <f t="shared" si="54"/>
        <v>0.84112149532710279</v>
      </c>
      <c r="F100" s="16">
        <f t="shared" si="54"/>
        <v>0.43925233644859812</v>
      </c>
      <c r="G100" s="16">
        <f t="shared" si="54"/>
        <v>0.50467289719626163</v>
      </c>
      <c r="H100" s="16">
        <f t="shared" si="54"/>
        <v>0.52336448598130836</v>
      </c>
      <c r="I100" s="16">
        <f t="shared" si="54"/>
        <v>0.46728971962616822</v>
      </c>
      <c r="J100" s="16">
        <f t="shared" si="54"/>
        <v>0.50467289719626163</v>
      </c>
      <c r="K100" s="16">
        <f t="shared" si="54"/>
        <v>0.52336448598130836</v>
      </c>
      <c r="L100" s="16">
        <f t="shared" si="54"/>
        <v>0.54205607476635509</v>
      </c>
      <c r="M100" s="16">
        <f t="shared" si="54"/>
        <v>0.46728971962616822</v>
      </c>
      <c r="N100" s="16">
        <f t="shared" si="54"/>
        <v>0.60747663551401865</v>
      </c>
      <c r="O100" s="16">
        <f t="shared" si="54"/>
        <v>0.62616822429906538</v>
      </c>
      <c r="P100" s="16">
        <f t="shared" si="54"/>
        <v>0.62616822429906538</v>
      </c>
      <c r="Q100" s="16">
        <f t="shared" si="54"/>
        <v>0.59813084112149528</v>
      </c>
      <c r="R100" s="16">
        <f t="shared" si="54"/>
        <v>0.77570093457943923</v>
      </c>
      <c r="S100" s="16">
        <f t="shared" si="54"/>
        <v>0.91588785046728971</v>
      </c>
      <c r="T100" s="16">
        <f t="shared" si="54"/>
        <v>0.58878504672897192</v>
      </c>
      <c r="U100" s="16">
        <f t="shared" si="54"/>
        <v>0.59813084112149528</v>
      </c>
      <c r="V100" s="16">
        <f t="shared" si="54"/>
        <v>0.67289719626168221</v>
      </c>
      <c r="W100" s="16">
        <f t="shared" si="54"/>
        <v>0.59813084112149528</v>
      </c>
      <c r="X100" s="16">
        <f t="shared" si="54"/>
        <v>0.61682242990654201</v>
      </c>
      <c r="Y100" s="16">
        <f t="shared" si="54"/>
        <v>0.63551401869158874</v>
      </c>
      <c r="Z100" s="16">
        <f t="shared" si="54"/>
        <v>0.64485981308411211</v>
      </c>
      <c r="AA100" s="16">
        <f t="shared" si="54"/>
        <v>0.56074766355140182</v>
      </c>
      <c r="AB100" s="16">
        <f t="shared" si="54"/>
        <v>0.65420560747663548</v>
      </c>
      <c r="AC100" s="16">
        <f t="shared" si="54"/>
        <v>0.71028037383177567</v>
      </c>
      <c r="AD100" s="16">
        <f t="shared" si="54"/>
        <v>0.71028037383177567</v>
      </c>
      <c r="AE100" s="16">
        <f t="shared" si="54"/>
        <v>0.65420560747663548</v>
      </c>
      <c r="AF100" s="16">
        <f t="shared" si="54"/>
        <v>0.7009345794392523</v>
      </c>
      <c r="AG100" s="16">
        <f t="shared" si="54"/>
        <v>0.71028037383177567</v>
      </c>
      <c r="AH100" s="16">
        <f t="shared" si="54"/>
        <v>0.41121495327102803</v>
      </c>
      <c r="AI100" s="17">
        <f>+AI99/(A99*A$1)</f>
        <v>0.61621947542960509</v>
      </c>
      <c r="AJ100" s="6"/>
    </row>
    <row r="101" spans="1:36" x14ac:dyDescent="0.3">
      <c r="A101" s="2"/>
      <c r="B101" s="14"/>
      <c r="C101" s="15" t="s">
        <v>17</v>
      </c>
      <c r="D101" s="18">
        <f>+IFERROR(D103/D99,0)</f>
        <v>82.45430555555555</v>
      </c>
      <c r="E101" s="18">
        <f t="shared" ref="E101:AH101" si="55">+IFERROR(E103/E99,0)</f>
        <v>88.194111111111113</v>
      </c>
      <c r="F101" s="18">
        <f t="shared" si="55"/>
        <v>76.189574468085098</v>
      </c>
      <c r="G101" s="18">
        <f t="shared" si="55"/>
        <v>76.995925925925917</v>
      </c>
      <c r="H101" s="18">
        <f t="shared" si="55"/>
        <v>78.374285714285719</v>
      </c>
      <c r="I101" s="18">
        <f t="shared" si="55"/>
        <v>72.591400000000007</v>
      </c>
      <c r="J101" s="18">
        <f t="shared" si="55"/>
        <v>71.746296296296293</v>
      </c>
      <c r="K101" s="18">
        <f t="shared" si="55"/>
        <v>75.717500000000001</v>
      </c>
      <c r="L101" s="18">
        <f t="shared" si="55"/>
        <v>74.684999999999988</v>
      </c>
      <c r="M101" s="18">
        <f t="shared" si="55"/>
        <v>76.510000000000005</v>
      </c>
      <c r="N101" s="18">
        <f t="shared" si="55"/>
        <v>75.22446153846154</v>
      </c>
      <c r="O101" s="18">
        <f t="shared" si="55"/>
        <v>78.226865671641789</v>
      </c>
      <c r="P101" s="18">
        <f t="shared" si="55"/>
        <v>74.162238805970148</v>
      </c>
      <c r="Q101" s="18">
        <f t="shared" si="55"/>
        <v>75.605937499999996</v>
      </c>
      <c r="R101" s="18">
        <f t="shared" si="55"/>
        <v>79.418433734939754</v>
      </c>
      <c r="S101" s="18">
        <f t="shared" si="55"/>
        <v>82.094795918367353</v>
      </c>
      <c r="T101" s="18">
        <f t="shared" si="55"/>
        <v>72.290317460317453</v>
      </c>
      <c r="U101" s="18">
        <f t="shared" si="55"/>
        <v>76.503281250000001</v>
      </c>
      <c r="V101" s="18">
        <f t="shared" si="55"/>
        <v>71.369861111111106</v>
      </c>
      <c r="W101" s="18">
        <f t="shared" si="55"/>
        <v>78.025625000000005</v>
      </c>
      <c r="X101" s="18">
        <f t="shared" si="55"/>
        <v>79.208787878787874</v>
      </c>
      <c r="Y101" s="18">
        <f t="shared" si="55"/>
        <v>79.018676470588247</v>
      </c>
      <c r="Z101" s="18">
        <f t="shared" si="55"/>
        <v>77.604927536231884</v>
      </c>
      <c r="AA101" s="18">
        <f t="shared" si="55"/>
        <v>79.386166666666668</v>
      </c>
      <c r="AB101" s="18">
        <f t="shared" si="55"/>
        <v>82.235428571428571</v>
      </c>
      <c r="AC101" s="18">
        <f t="shared" si="55"/>
        <v>83.150921052631588</v>
      </c>
      <c r="AD101" s="18">
        <f t="shared" si="55"/>
        <v>82.593289473684209</v>
      </c>
      <c r="AE101" s="18">
        <f t="shared" si="55"/>
        <v>75.957142857142856</v>
      </c>
      <c r="AF101" s="18">
        <f t="shared" si="55"/>
        <v>76.815866666666665</v>
      </c>
      <c r="AG101" s="18">
        <f t="shared" si="55"/>
        <v>79.297236842105264</v>
      </c>
      <c r="AH101" s="18">
        <f t="shared" si="55"/>
        <v>76.572727272727263</v>
      </c>
      <c r="AI101" s="19">
        <f>+AI103/AI99</f>
        <v>78.085772994129158</v>
      </c>
      <c r="AJ101" s="6"/>
    </row>
    <row r="102" spans="1:36" x14ac:dyDescent="0.3">
      <c r="A102" s="2"/>
      <c r="B102" s="14"/>
      <c r="C102" s="15" t="s">
        <v>18</v>
      </c>
      <c r="D102" s="18">
        <f>+D100*D101</f>
        <v>55.483271028037379</v>
      </c>
      <c r="E102" s="18">
        <f t="shared" ref="E102:AH102" si="56">+E100*E101</f>
        <v>74.181962616822432</v>
      </c>
      <c r="F102" s="18">
        <f t="shared" si="56"/>
        <v>33.466448598130839</v>
      </c>
      <c r="G102" s="18">
        <f t="shared" si="56"/>
        <v>38.857757009345782</v>
      </c>
      <c r="H102" s="18">
        <f t="shared" si="56"/>
        <v>41.018317757009342</v>
      </c>
      <c r="I102" s="18">
        <f t="shared" si="56"/>
        <v>33.921214953271033</v>
      </c>
      <c r="J102" s="18">
        <f t="shared" si="56"/>
        <v>36.208411214953266</v>
      </c>
      <c r="K102" s="18">
        <f t="shared" si="56"/>
        <v>39.627850467289718</v>
      </c>
      <c r="L102" s="18">
        <f t="shared" si="56"/>
        <v>40.483457943925224</v>
      </c>
      <c r="M102" s="18">
        <f t="shared" si="56"/>
        <v>35.752336448598136</v>
      </c>
      <c r="N102" s="18">
        <f t="shared" si="56"/>
        <v>45.697102803738318</v>
      </c>
      <c r="O102" s="18">
        <f t="shared" si="56"/>
        <v>48.983177570093453</v>
      </c>
      <c r="P102" s="18">
        <f t="shared" si="56"/>
        <v>46.438037383177566</v>
      </c>
      <c r="Q102" s="18">
        <f t="shared" si="56"/>
        <v>45.222242990654202</v>
      </c>
      <c r="R102" s="18">
        <f t="shared" si="56"/>
        <v>61.60495327102803</v>
      </c>
      <c r="S102" s="18">
        <f t="shared" si="56"/>
        <v>75.189626168224308</v>
      </c>
      <c r="T102" s="18">
        <f t="shared" si="56"/>
        <v>42.563457943925229</v>
      </c>
      <c r="U102" s="18">
        <f t="shared" si="56"/>
        <v>45.758971962616819</v>
      </c>
      <c r="V102" s="18">
        <f t="shared" si="56"/>
        <v>48.024579439252328</v>
      </c>
      <c r="W102" s="18">
        <f t="shared" si="56"/>
        <v>46.669532710280372</v>
      </c>
      <c r="X102" s="18">
        <f t="shared" si="56"/>
        <v>48.857757009345789</v>
      </c>
      <c r="Y102" s="18">
        <f t="shared" si="56"/>
        <v>50.217476635514025</v>
      </c>
      <c r="Z102" s="18">
        <f t="shared" si="56"/>
        <v>50.04429906542056</v>
      </c>
      <c r="AA102" s="18">
        <f t="shared" si="56"/>
        <v>44.515607476635509</v>
      </c>
      <c r="AB102" s="18">
        <f t="shared" si="56"/>
        <v>53.798878504672892</v>
      </c>
      <c r="AC102" s="18">
        <f t="shared" si="56"/>
        <v>59.060467289719632</v>
      </c>
      <c r="AD102" s="18">
        <f t="shared" si="56"/>
        <v>58.664392523364484</v>
      </c>
      <c r="AE102" s="18">
        <f t="shared" si="56"/>
        <v>49.691588785046726</v>
      </c>
      <c r="AF102" s="18">
        <f t="shared" si="56"/>
        <v>53.842897196261681</v>
      </c>
      <c r="AG102" s="18">
        <f t="shared" si="56"/>
        <v>56.323271028037382</v>
      </c>
      <c r="AH102" s="18">
        <f t="shared" si="56"/>
        <v>31.487850467289714</v>
      </c>
      <c r="AI102" s="19">
        <f>+AI101*AI100</f>
        <v>48.117974072957495</v>
      </c>
      <c r="AJ102" s="6"/>
    </row>
    <row r="103" spans="1:36" x14ac:dyDescent="0.3">
      <c r="A103" s="2"/>
      <c r="B103" s="14"/>
      <c r="C103" s="15" t="s">
        <v>19</v>
      </c>
      <c r="D103" s="21">
        <v>5936.71</v>
      </c>
      <c r="E103" s="21">
        <v>7937.47</v>
      </c>
      <c r="F103" s="21">
        <v>3580.91</v>
      </c>
      <c r="G103" s="21">
        <v>4157.78</v>
      </c>
      <c r="H103" s="21">
        <v>4388.96</v>
      </c>
      <c r="I103" s="21">
        <v>3629.57</v>
      </c>
      <c r="J103" s="21">
        <v>3874.3</v>
      </c>
      <c r="K103" s="21">
        <v>4240.18</v>
      </c>
      <c r="L103" s="21">
        <v>4331.7299999999996</v>
      </c>
      <c r="M103" s="21">
        <v>3825.5</v>
      </c>
      <c r="N103" s="21">
        <v>4889.59</v>
      </c>
      <c r="O103" s="21">
        <v>5241.2</v>
      </c>
      <c r="P103" s="21">
        <v>4968.87</v>
      </c>
      <c r="Q103" s="21">
        <v>4838.78</v>
      </c>
      <c r="R103" s="21">
        <v>6591.73</v>
      </c>
      <c r="S103" s="21">
        <v>8045.29</v>
      </c>
      <c r="T103" s="21">
        <v>4554.29</v>
      </c>
      <c r="U103" s="21">
        <v>4896.21</v>
      </c>
      <c r="V103" s="21">
        <v>5138.63</v>
      </c>
      <c r="W103" s="21">
        <v>4993.6400000000003</v>
      </c>
      <c r="X103" s="21">
        <v>5227.78</v>
      </c>
      <c r="Y103" s="21">
        <v>5373.27</v>
      </c>
      <c r="Z103" s="21">
        <v>5354.74</v>
      </c>
      <c r="AA103" s="21">
        <v>4763.17</v>
      </c>
      <c r="AB103" s="21">
        <v>5756.48</v>
      </c>
      <c r="AC103" s="21">
        <v>6319.47</v>
      </c>
      <c r="AD103" s="21">
        <v>6277.09</v>
      </c>
      <c r="AE103" s="21">
        <v>5317</v>
      </c>
      <c r="AF103" s="21">
        <v>5761.19</v>
      </c>
      <c r="AG103" s="21">
        <v>6026.59</v>
      </c>
      <c r="AH103" s="21">
        <v>3369.2</v>
      </c>
      <c r="AI103" s="22">
        <f>SUM(D103:AH103)</f>
        <v>159607.32</v>
      </c>
      <c r="AJ103" s="6"/>
    </row>
    <row r="104" spans="1:36" ht="15" thickBot="1" x14ac:dyDescent="0.35">
      <c r="A104" s="23"/>
      <c r="B104" s="24"/>
      <c r="C104" s="15" t="s">
        <v>20</v>
      </c>
      <c r="D104" s="25">
        <f>1073.74/D103</f>
        <v>0.18086448554839296</v>
      </c>
      <c r="E104" s="26">
        <f>471.2/E103</f>
        <v>5.9364003895447791E-2</v>
      </c>
      <c r="F104" s="72">
        <f>331.39/F103</f>
        <v>9.2543515475116661E-2</v>
      </c>
      <c r="G104" s="26">
        <f>707.54/G103</f>
        <v>0.17017254400184714</v>
      </c>
      <c r="H104" s="26">
        <f>619.31/H103</f>
        <v>0.14110632131530018</v>
      </c>
      <c r="I104" s="26">
        <f>809.45/I103</f>
        <v>0.22301539851828178</v>
      </c>
      <c r="J104" s="26">
        <f>873.48/J103</f>
        <v>0.22545492088893476</v>
      </c>
      <c r="K104" s="26">
        <f>811.79/K103</f>
        <v>0.19145177799055699</v>
      </c>
      <c r="L104" s="26">
        <f>475.18/L103</f>
        <v>0.10969751115605082</v>
      </c>
      <c r="M104" s="26">
        <f>374.06/M103</f>
        <v>9.7780682263756372E-2</v>
      </c>
      <c r="N104" s="26" t="s">
        <v>84</v>
      </c>
      <c r="O104" s="26">
        <f>710.02/O103</f>
        <v>0.13546897657025109</v>
      </c>
      <c r="P104" s="26">
        <f>1049.96/P103</f>
        <v>0.21130760112460178</v>
      </c>
      <c r="Q104" s="26" t="s">
        <v>84</v>
      </c>
      <c r="R104" s="26">
        <f>820.32/R103</f>
        <v>0.12444684475850802</v>
      </c>
      <c r="S104" s="26">
        <f>626.87/S103</f>
        <v>7.7917638767527331E-2</v>
      </c>
      <c r="T104" s="26">
        <f>541.8/T103</f>
        <v>0.11896475630669104</v>
      </c>
      <c r="U104" s="26">
        <f>700.64/U103</f>
        <v>0.1430984373627765</v>
      </c>
      <c r="V104" s="26">
        <f>808.34/V103</f>
        <v>0.15730651944195242</v>
      </c>
      <c r="W104" s="26">
        <f>766.95/W103</f>
        <v>0.15358536057865604</v>
      </c>
      <c r="X104" s="26">
        <f>1046.17/X103</f>
        <v>0.20011744947185997</v>
      </c>
      <c r="Y104" s="26">
        <f>732.92/Y103</f>
        <v>0.13640111142749201</v>
      </c>
      <c r="Z104" s="26">
        <f>633.29/Z103</f>
        <v>0.11826718010585015</v>
      </c>
      <c r="AA104" s="26">
        <f>495.95/AA103</f>
        <v>0.10412183482848607</v>
      </c>
      <c r="AB104" s="26">
        <f>482.22/AB103</f>
        <v>8.3769942742787276E-2</v>
      </c>
      <c r="AC104" s="26">
        <f>872.84/AC103</f>
        <v>0.13811917771585275</v>
      </c>
      <c r="AD104" s="26">
        <f>726.65/AD103</f>
        <v>0.11576224014630983</v>
      </c>
      <c r="AE104" s="26">
        <f>990.53/AE103</f>
        <v>0.18629490314086891</v>
      </c>
      <c r="AF104" s="26">
        <f>599.68/AF103</f>
        <v>0.10408960648754857</v>
      </c>
      <c r="AG104" s="26" t="s">
        <v>83</v>
      </c>
      <c r="AH104" s="26" t="s">
        <v>83</v>
      </c>
      <c r="AI104" s="27">
        <f>AVERAGE(D104:AG104)</f>
        <v>0.14075891637154461</v>
      </c>
      <c r="AJ104" s="6"/>
    </row>
    <row r="105" spans="1:36" ht="15" thickTop="1" x14ac:dyDescent="0.3">
      <c r="A105" s="2">
        <v>125</v>
      </c>
      <c r="B105" s="28" t="s">
        <v>44</v>
      </c>
      <c r="C105" s="29" t="s">
        <v>15</v>
      </c>
      <c r="D105" s="30">
        <v>97</v>
      </c>
      <c r="E105" s="31">
        <v>91</v>
      </c>
      <c r="F105" s="31">
        <v>29</v>
      </c>
      <c r="G105" s="31">
        <v>34</v>
      </c>
      <c r="H105" s="31">
        <v>40</v>
      </c>
      <c r="I105" s="31">
        <v>35</v>
      </c>
      <c r="J105" s="31">
        <v>44</v>
      </c>
      <c r="K105" s="31">
        <v>58</v>
      </c>
      <c r="L105" s="31">
        <v>53</v>
      </c>
      <c r="M105" s="31">
        <v>16</v>
      </c>
      <c r="N105" s="31">
        <v>30</v>
      </c>
      <c r="O105" s="31">
        <v>56</v>
      </c>
      <c r="P105" s="31">
        <v>59</v>
      </c>
      <c r="Q105" s="31">
        <v>62</v>
      </c>
      <c r="R105" s="31">
        <v>123</v>
      </c>
      <c r="S105" s="31">
        <v>124</v>
      </c>
      <c r="T105" s="31">
        <v>107</v>
      </c>
      <c r="U105" s="31">
        <v>84</v>
      </c>
      <c r="V105" s="31">
        <v>56</v>
      </c>
      <c r="W105" s="31">
        <v>54</v>
      </c>
      <c r="X105" s="31">
        <v>37</v>
      </c>
      <c r="Y105" s="31">
        <v>41</v>
      </c>
      <c r="Z105" s="31">
        <v>56</v>
      </c>
      <c r="AA105" s="31">
        <v>28</v>
      </c>
      <c r="AB105" s="31">
        <v>41</v>
      </c>
      <c r="AC105" s="31">
        <v>48</v>
      </c>
      <c r="AD105" s="31">
        <v>51</v>
      </c>
      <c r="AE105" s="31">
        <v>71</v>
      </c>
      <c r="AF105" s="31">
        <v>77</v>
      </c>
      <c r="AG105" s="31">
        <v>78</v>
      </c>
      <c r="AH105" s="31">
        <v>42</v>
      </c>
      <c r="AI105" s="32">
        <f>SUM(D105:AH105)</f>
        <v>1822</v>
      </c>
      <c r="AJ105" s="6"/>
    </row>
    <row r="106" spans="1:36" x14ac:dyDescent="0.3">
      <c r="A106" s="2"/>
      <c r="B106" s="33"/>
      <c r="C106" s="34" t="s">
        <v>16</v>
      </c>
      <c r="D106" s="35">
        <f t="shared" ref="D106:AH106" si="57">+D105/$A105</f>
        <v>0.77600000000000002</v>
      </c>
      <c r="E106" s="35">
        <f t="shared" si="57"/>
        <v>0.72799999999999998</v>
      </c>
      <c r="F106" s="35">
        <f t="shared" si="57"/>
        <v>0.23200000000000001</v>
      </c>
      <c r="G106" s="35">
        <f t="shared" si="57"/>
        <v>0.27200000000000002</v>
      </c>
      <c r="H106" s="35">
        <f t="shared" si="57"/>
        <v>0.32</v>
      </c>
      <c r="I106" s="35">
        <f t="shared" si="57"/>
        <v>0.28000000000000003</v>
      </c>
      <c r="J106" s="35">
        <f t="shared" si="57"/>
        <v>0.35199999999999998</v>
      </c>
      <c r="K106" s="35">
        <f t="shared" si="57"/>
        <v>0.46400000000000002</v>
      </c>
      <c r="L106" s="35">
        <f t="shared" si="57"/>
        <v>0.42399999999999999</v>
      </c>
      <c r="M106" s="35">
        <f t="shared" si="57"/>
        <v>0.128</v>
      </c>
      <c r="N106" s="35">
        <f t="shared" si="57"/>
        <v>0.24</v>
      </c>
      <c r="O106" s="35">
        <f t="shared" si="57"/>
        <v>0.44800000000000001</v>
      </c>
      <c r="P106" s="35">
        <f t="shared" si="57"/>
        <v>0.47199999999999998</v>
      </c>
      <c r="Q106" s="35">
        <f t="shared" si="57"/>
        <v>0.496</v>
      </c>
      <c r="R106" s="35">
        <f t="shared" si="57"/>
        <v>0.98399999999999999</v>
      </c>
      <c r="S106" s="35">
        <f t="shared" si="57"/>
        <v>0.99199999999999999</v>
      </c>
      <c r="T106" s="35">
        <f t="shared" si="57"/>
        <v>0.85599999999999998</v>
      </c>
      <c r="U106" s="35">
        <f t="shared" si="57"/>
        <v>0.67200000000000004</v>
      </c>
      <c r="V106" s="35">
        <f t="shared" si="57"/>
        <v>0.44800000000000001</v>
      </c>
      <c r="W106" s="35">
        <f t="shared" si="57"/>
        <v>0.432</v>
      </c>
      <c r="X106" s="35">
        <f t="shared" si="57"/>
        <v>0.29599999999999999</v>
      </c>
      <c r="Y106" s="35">
        <f t="shared" si="57"/>
        <v>0.32800000000000001</v>
      </c>
      <c r="Z106" s="35">
        <f t="shared" si="57"/>
        <v>0.44800000000000001</v>
      </c>
      <c r="AA106" s="35">
        <f t="shared" si="57"/>
        <v>0.224</v>
      </c>
      <c r="AB106" s="35">
        <f t="shared" si="57"/>
        <v>0.32800000000000001</v>
      </c>
      <c r="AC106" s="35">
        <f t="shared" si="57"/>
        <v>0.38400000000000001</v>
      </c>
      <c r="AD106" s="35">
        <f t="shared" si="57"/>
        <v>0.40799999999999997</v>
      </c>
      <c r="AE106" s="35">
        <f t="shared" si="57"/>
        <v>0.56799999999999995</v>
      </c>
      <c r="AF106" s="35">
        <f t="shared" si="57"/>
        <v>0.61599999999999999</v>
      </c>
      <c r="AG106" s="35">
        <f t="shared" si="57"/>
        <v>0.624</v>
      </c>
      <c r="AH106" s="35">
        <f t="shared" si="57"/>
        <v>0.33600000000000002</v>
      </c>
      <c r="AI106" s="36">
        <f>+AI105/(A105*A$1)</f>
        <v>0.47019354838709676</v>
      </c>
      <c r="AJ106" s="6"/>
    </row>
    <row r="107" spans="1:36" x14ac:dyDescent="0.3">
      <c r="A107" s="2"/>
      <c r="B107" s="33"/>
      <c r="C107" s="34" t="s">
        <v>17</v>
      </c>
      <c r="D107" s="37">
        <f t="shared" ref="D107:AH107" si="58">+IFERROR(D109/D105,0)</f>
        <v>76.712474226804119</v>
      </c>
      <c r="E107" s="37">
        <f t="shared" si="58"/>
        <v>79.569340659340668</v>
      </c>
      <c r="F107" s="37">
        <f t="shared" si="58"/>
        <v>71.445172413793102</v>
      </c>
      <c r="G107" s="37">
        <f t="shared" si="58"/>
        <v>78.860588235294131</v>
      </c>
      <c r="H107" s="37">
        <f t="shared" si="58"/>
        <v>82.669000000000011</v>
      </c>
      <c r="I107" s="37">
        <f t="shared" si="58"/>
        <v>81.190285714285707</v>
      </c>
      <c r="J107" s="37">
        <f t="shared" si="58"/>
        <v>74.230909090909094</v>
      </c>
      <c r="K107" s="37">
        <f t="shared" si="58"/>
        <v>94.889482758620687</v>
      </c>
      <c r="L107" s="37">
        <f t="shared" si="58"/>
        <v>91.985849056603769</v>
      </c>
      <c r="M107" s="37">
        <f t="shared" si="58"/>
        <v>69.6875</v>
      </c>
      <c r="N107" s="37">
        <f t="shared" si="58"/>
        <v>77.3</v>
      </c>
      <c r="O107" s="37">
        <f t="shared" si="58"/>
        <v>78.414285714285711</v>
      </c>
      <c r="P107" s="37">
        <f t="shared" si="58"/>
        <v>77.003389830508468</v>
      </c>
      <c r="Q107" s="37">
        <f t="shared" si="58"/>
        <v>77.534032258064514</v>
      </c>
      <c r="R107" s="37">
        <f t="shared" si="58"/>
        <v>88.565447154471542</v>
      </c>
      <c r="S107" s="37">
        <f t="shared" si="58"/>
        <v>88.168387096774183</v>
      </c>
      <c r="T107" s="37">
        <f t="shared" si="58"/>
        <v>82.942990654205602</v>
      </c>
      <c r="U107" s="37">
        <f t="shared" si="58"/>
        <v>85.925476190476189</v>
      </c>
      <c r="V107" s="37">
        <f t="shared" si="58"/>
        <v>77.998750000000001</v>
      </c>
      <c r="W107" s="37">
        <f t="shared" si="58"/>
        <v>81.516481481481492</v>
      </c>
      <c r="X107" s="37">
        <f t="shared" si="58"/>
        <v>78.86486486486487</v>
      </c>
      <c r="Y107" s="37">
        <f t="shared" si="58"/>
        <v>80.494390243902444</v>
      </c>
      <c r="Z107" s="37">
        <f t="shared" si="58"/>
        <v>78.337678571428569</v>
      </c>
      <c r="AA107" s="37">
        <f t="shared" si="58"/>
        <v>68.428571428571431</v>
      </c>
      <c r="AB107" s="37">
        <f t="shared" si="58"/>
        <v>77.357073170731709</v>
      </c>
      <c r="AC107" s="37">
        <f t="shared" si="58"/>
        <v>78.617499999999993</v>
      </c>
      <c r="AD107" s="37">
        <f t="shared" si="58"/>
        <v>80.470588235294116</v>
      </c>
      <c r="AE107" s="37">
        <f t="shared" si="58"/>
        <v>84.220281690140851</v>
      </c>
      <c r="AF107" s="37">
        <f t="shared" si="58"/>
        <v>79.957012987012988</v>
      </c>
      <c r="AG107" s="37">
        <f t="shared" si="58"/>
        <v>80.883205128205134</v>
      </c>
      <c r="AH107" s="37">
        <f t="shared" si="58"/>
        <v>75.305952380952377</v>
      </c>
      <c r="AI107" s="38">
        <f>+AI109/AI105</f>
        <v>81.378397365532422</v>
      </c>
      <c r="AJ107" s="6"/>
    </row>
    <row r="108" spans="1:36" x14ac:dyDescent="0.3">
      <c r="A108" s="2"/>
      <c r="B108" s="33"/>
      <c r="C108" s="34" t="s">
        <v>18</v>
      </c>
      <c r="D108" s="37">
        <f t="shared" ref="D108:AH108" si="59">+D106*D107</f>
        <v>59.528880000000001</v>
      </c>
      <c r="E108" s="37">
        <f t="shared" si="59"/>
        <v>57.926480000000005</v>
      </c>
      <c r="F108" s="37">
        <f t="shared" si="59"/>
        <v>16.575279999999999</v>
      </c>
      <c r="G108" s="37">
        <f t="shared" si="59"/>
        <v>21.450080000000003</v>
      </c>
      <c r="H108" s="37">
        <f t="shared" si="59"/>
        <v>26.454080000000005</v>
      </c>
      <c r="I108" s="37">
        <f t="shared" si="59"/>
        <v>22.733280000000001</v>
      </c>
      <c r="J108" s="37">
        <f t="shared" si="59"/>
        <v>26.129279999999998</v>
      </c>
      <c r="K108" s="37">
        <f t="shared" si="59"/>
        <v>44.02872</v>
      </c>
      <c r="L108" s="37">
        <f t="shared" si="59"/>
        <v>39.001999999999995</v>
      </c>
      <c r="M108" s="37">
        <f t="shared" si="59"/>
        <v>8.92</v>
      </c>
      <c r="N108" s="37">
        <f t="shared" si="59"/>
        <v>18.552</v>
      </c>
      <c r="O108" s="37">
        <f t="shared" si="59"/>
        <v>35.129599999999996</v>
      </c>
      <c r="P108" s="37">
        <f t="shared" si="59"/>
        <v>36.345599999999997</v>
      </c>
      <c r="Q108" s="37">
        <f t="shared" si="59"/>
        <v>38.456879999999998</v>
      </c>
      <c r="R108" s="37">
        <f t="shared" si="59"/>
        <v>87.148399999999995</v>
      </c>
      <c r="S108" s="37">
        <f t="shared" si="59"/>
        <v>87.463039999999992</v>
      </c>
      <c r="T108" s="37">
        <f t="shared" si="59"/>
        <v>70.999199999999988</v>
      </c>
      <c r="U108" s="37">
        <f t="shared" si="59"/>
        <v>57.74192</v>
      </c>
      <c r="V108" s="37">
        <f t="shared" si="59"/>
        <v>34.943440000000002</v>
      </c>
      <c r="W108" s="37">
        <f t="shared" si="59"/>
        <v>35.215120000000006</v>
      </c>
      <c r="X108" s="37">
        <f t="shared" si="59"/>
        <v>23.344000000000001</v>
      </c>
      <c r="Y108" s="37">
        <f t="shared" si="59"/>
        <v>26.402160000000002</v>
      </c>
      <c r="Z108" s="37">
        <f t="shared" si="59"/>
        <v>35.095280000000002</v>
      </c>
      <c r="AA108" s="37">
        <f t="shared" si="59"/>
        <v>15.328000000000001</v>
      </c>
      <c r="AB108" s="37">
        <f t="shared" si="59"/>
        <v>25.37312</v>
      </c>
      <c r="AC108" s="37">
        <f t="shared" si="59"/>
        <v>30.189119999999999</v>
      </c>
      <c r="AD108" s="37">
        <f t="shared" si="59"/>
        <v>32.832000000000001</v>
      </c>
      <c r="AE108" s="37">
        <f t="shared" si="59"/>
        <v>47.837119999999999</v>
      </c>
      <c r="AF108" s="37">
        <f t="shared" si="59"/>
        <v>49.253520000000002</v>
      </c>
      <c r="AG108" s="37">
        <f t="shared" si="59"/>
        <v>50.471120000000006</v>
      </c>
      <c r="AH108" s="37">
        <f t="shared" si="59"/>
        <v>25.302800000000001</v>
      </c>
      <c r="AI108" s="38">
        <f>+AI107*AI106</f>
        <v>38.263597419354859</v>
      </c>
      <c r="AJ108" s="6"/>
    </row>
    <row r="109" spans="1:36" x14ac:dyDescent="0.3">
      <c r="A109" s="2"/>
      <c r="B109" s="33"/>
      <c r="C109" s="34" t="s">
        <v>19</v>
      </c>
      <c r="D109" s="20">
        <v>7441.11</v>
      </c>
      <c r="E109" s="21">
        <v>7240.81</v>
      </c>
      <c r="F109" s="21">
        <v>2071.91</v>
      </c>
      <c r="G109" s="21">
        <v>2681.26</v>
      </c>
      <c r="H109" s="21">
        <v>3306.76</v>
      </c>
      <c r="I109" s="21">
        <v>2841.66</v>
      </c>
      <c r="J109" s="21">
        <v>3266.16</v>
      </c>
      <c r="K109" s="21">
        <v>5503.59</v>
      </c>
      <c r="L109" s="21">
        <v>4875.25</v>
      </c>
      <c r="M109" s="21">
        <v>1115</v>
      </c>
      <c r="N109" s="21">
        <v>2319</v>
      </c>
      <c r="O109" s="21">
        <v>4391.2</v>
      </c>
      <c r="P109" s="21">
        <v>4543.2</v>
      </c>
      <c r="Q109" s="21">
        <v>4807.1099999999997</v>
      </c>
      <c r="R109" s="21">
        <v>10893.55</v>
      </c>
      <c r="S109" s="21">
        <v>10932.88</v>
      </c>
      <c r="T109" s="21">
        <v>8874.9</v>
      </c>
      <c r="U109" s="21">
        <v>7217.74</v>
      </c>
      <c r="V109" s="21">
        <v>4367.93</v>
      </c>
      <c r="W109" s="21">
        <v>4401.8900000000003</v>
      </c>
      <c r="X109" s="21">
        <v>2918</v>
      </c>
      <c r="Y109" s="21">
        <v>3300.27</v>
      </c>
      <c r="Z109" s="21">
        <v>4386.91</v>
      </c>
      <c r="AA109" s="21">
        <v>1916</v>
      </c>
      <c r="AB109" s="21">
        <v>3171.64</v>
      </c>
      <c r="AC109" s="21">
        <v>3773.64</v>
      </c>
      <c r="AD109" s="21">
        <v>4104</v>
      </c>
      <c r="AE109" s="21">
        <v>5979.64</v>
      </c>
      <c r="AF109" s="21">
        <v>6156.69</v>
      </c>
      <c r="AG109" s="21">
        <v>6308.89</v>
      </c>
      <c r="AH109" s="21">
        <v>3162.85</v>
      </c>
      <c r="AI109" s="39">
        <f>SUM(D109:AH109)</f>
        <v>148271.44000000006</v>
      </c>
      <c r="AJ109" s="6"/>
    </row>
    <row r="110" spans="1:36" ht="15" thickBot="1" x14ac:dyDescent="0.35">
      <c r="A110" s="23"/>
      <c r="B110" s="40"/>
      <c r="C110" s="41" t="s">
        <v>20</v>
      </c>
      <c r="D110" s="49">
        <f>1618.72/D109</f>
        <v>0.21753743729094183</v>
      </c>
      <c r="E110" s="50">
        <f>357.7/E109</f>
        <v>4.9400550490898115E-2</v>
      </c>
      <c r="F110" s="73">
        <f>968.86/F109</f>
        <v>0.46761683663865711</v>
      </c>
      <c r="G110" s="50">
        <f>1442.48/G109</f>
        <v>0.53798587231376294</v>
      </c>
      <c r="H110" s="50">
        <f>986.79/H109</f>
        <v>0.29841597212981891</v>
      </c>
      <c r="I110" s="50">
        <f>962.01/I109</f>
        <v>0.33853803762589474</v>
      </c>
      <c r="J110" s="50">
        <f>400.77/J109</f>
        <v>0.12270372547578808</v>
      </c>
      <c r="K110" s="50">
        <f>709.57/K109</f>
        <v>0.1289285720774985</v>
      </c>
      <c r="L110" s="50">
        <f>456.69/L109</f>
        <v>9.3675196143787498E-2</v>
      </c>
      <c r="M110" s="50">
        <f>646.38/M109</f>
        <v>0.57971300448430496</v>
      </c>
      <c r="N110" s="50">
        <f>1267.28/N109</f>
        <v>0.5464769297110823</v>
      </c>
      <c r="O110" s="50">
        <f>948.12/O109</f>
        <v>0.21591364547276373</v>
      </c>
      <c r="P110" s="50" t="s">
        <v>84</v>
      </c>
      <c r="Q110" s="50">
        <f>1090.2/Q109</f>
        <v>0.226789068692</v>
      </c>
      <c r="R110" s="50">
        <f>1069.98/R109</f>
        <v>9.8221424604467783E-2</v>
      </c>
      <c r="S110" s="50">
        <f>531.94/S109</f>
        <v>4.8655066185671121E-2</v>
      </c>
      <c r="T110" s="50">
        <f>731.41/T109</f>
        <v>8.2413322967019351E-2</v>
      </c>
      <c r="U110" s="50">
        <f>1263.98/U109</f>
        <v>0.1751212983565493</v>
      </c>
      <c r="V110" s="50">
        <f>1388.5/V109</f>
        <v>0.3178851309430325</v>
      </c>
      <c r="W110" s="50">
        <f>1006.23/W109</f>
        <v>0.22859044637644282</v>
      </c>
      <c r="X110" s="50">
        <f>674.41/X109</f>
        <v>0.2311206305688828</v>
      </c>
      <c r="Y110" s="50">
        <f>1079.23/Y109</f>
        <v>0.32701263835989175</v>
      </c>
      <c r="Z110" s="50">
        <f>355.32/Z109</f>
        <v>8.0995507088132648E-2</v>
      </c>
      <c r="AA110" s="50">
        <f>885.82/AA109</f>
        <v>0.46232776617954074</v>
      </c>
      <c r="AB110" s="50">
        <f>1280.19/AB109</f>
        <v>0.40363660440655313</v>
      </c>
      <c r="AC110" s="50">
        <f>1023.9/AC109</f>
        <v>0.2713295385887366</v>
      </c>
      <c r="AD110" s="50">
        <f>1087.38/AD109</f>
        <v>0.26495614035087722</v>
      </c>
      <c r="AE110" s="50">
        <f>1074.88/AE109</f>
        <v>0.17975664086801213</v>
      </c>
      <c r="AF110" s="50">
        <f>783.51/AF109</f>
        <v>0.12726156424962115</v>
      </c>
      <c r="AG110" s="50">
        <f>482.05/AG109</f>
        <v>7.6408052763639878E-2</v>
      </c>
      <c r="AH110" s="50">
        <f>744.43/AH109</f>
        <v>0.23536683687180865</v>
      </c>
      <c r="AI110" s="51">
        <f>AVERAGE(D110:AG110)</f>
        <v>0.24825471108290587</v>
      </c>
      <c r="AJ110" s="6"/>
    </row>
    <row r="111" spans="1:36" ht="15" thickTop="1" x14ac:dyDescent="0.3">
      <c r="A111" s="2">
        <v>98</v>
      </c>
      <c r="B111" s="9" t="s">
        <v>46</v>
      </c>
      <c r="C111" s="10" t="s">
        <v>15</v>
      </c>
      <c r="D111" s="11">
        <v>33</v>
      </c>
      <c r="E111" s="12">
        <v>39</v>
      </c>
      <c r="F111" s="12">
        <v>35</v>
      </c>
      <c r="G111" s="12">
        <v>39</v>
      </c>
      <c r="H111" s="12">
        <v>45</v>
      </c>
      <c r="I111" s="12">
        <v>55</v>
      </c>
      <c r="J111" s="12">
        <v>34</v>
      </c>
      <c r="K111" s="12">
        <v>46</v>
      </c>
      <c r="L111" s="12">
        <v>38</v>
      </c>
      <c r="M111" s="12">
        <v>26</v>
      </c>
      <c r="N111" s="12">
        <v>46</v>
      </c>
      <c r="O111" s="12">
        <v>44</v>
      </c>
      <c r="P111" s="12">
        <v>45</v>
      </c>
      <c r="Q111" s="12">
        <v>45</v>
      </c>
      <c r="R111" s="12">
        <v>67</v>
      </c>
      <c r="S111" s="12">
        <v>63</v>
      </c>
      <c r="T111" s="12">
        <v>46</v>
      </c>
      <c r="U111" s="12">
        <v>56</v>
      </c>
      <c r="V111" s="12">
        <v>52</v>
      </c>
      <c r="W111" s="12">
        <v>66</v>
      </c>
      <c r="X111" s="12">
        <v>49</v>
      </c>
      <c r="Y111" s="12">
        <v>42</v>
      </c>
      <c r="Z111" s="12">
        <v>49</v>
      </c>
      <c r="AA111" s="12">
        <v>44</v>
      </c>
      <c r="AB111" s="12">
        <v>52</v>
      </c>
      <c r="AC111" s="12">
        <v>67</v>
      </c>
      <c r="AD111" s="12">
        <v>59</v>
      </c>
      <c r="AE111" s="12">
        <v>59</v>
      </c>
      <c r="AF111" s="12">
        <v>78</v>
      </c>
      <c r="AG111" s="12">
        <v>69</v>
      </c>
      <c r="AH111" s="12">
        <v>48</v>
      </c>
      <c r="AI111" s="13">
        <f>SUM(D111:AH111)</f>
        <v>1536</v>
      </c>
      <c r="AJ111" s="6"/>
    </row>
    <row r="112" spans="1:36" x14ac:dyDescent="0.3">
      <c r="A112" s="2"/>
      <c r="B112" s="14"/>
      <c r="C112" s="15" t="s">
        <v>16</v>
      </c>
      <c r="D112" s="16">
        <f t="shared" ref="D112:AH112" si="60">+D111/$A111</f>
        <v>0.33673469387755101</v>
      </c>
      <c r="E112" s="16">
        <f t="shared" si="60"/>
        <v>0.39795918367346939</v>
      </c>
      <c r="F112" s="16">
        <f t="shared" si="60"/>
        <v>0.35714285714285715</v>
      </c>
      <c r="G112" s="16">
        <f t="shared" si="60"/>
        <v>0.39795918367346939</v>
      </c>
      <c r="H112" s="16">
        <f t="shared" si="60"/>
        <v>0.45918367346938777</v>
      </c>
      <c r="I112" s="16">
        <f t="shared" si="60"/>
        <v>0.56122448979591832</v>
      </c>
      <c r="J112" s="16">
        <f t="shared" si="60"/>
        <v>0.34693877551020408</v>
      </c>
      <c r="K112" s="16">
        <f t="shared" si="60"/>
        <v>0.46938775510204084</v>
      </c>
      <c r="L112" s="16">
        <f t="shared" si="60"/>
        <v>0.38775510204081631</v>
      </c>
      <c r="M112" s="16">
        <f t="shared" si="60"/>
        <v>0.26530612244897961</v>
      </c>
      <c r="N112" s="16">
        <f t="shared" si="60"/>
        <v>0.46938775510204084</v>
      </c>
      <c r="O112" s="16">
        <f t="shared" si="60"/>
        <v>0.44897959183673469</v>
      </c>
      <c r="P112" s="16">
        <f t="shared" si="60"/>
        <v>0.45918367346938777</v>
      </c>
      <c r="Q112" s="16">
        <f t="shared" si="60"/>
        <v>0.45918367346938777</v>
      </c>
      <c r="R112" s="16">
        <f t="shared" si="60"/>
        <v>0.68367346938775508</v>
      </c>
      <c r="S112" s="16">
        <f t="shared" si="60"/>
        <v>0.6428571428571429</v>
      </c>
      <c r="T112" s="16">
        <f t="shared" si="60"/>
        <v>0.46938775510204084</v>
      </c>
      <c r="U112" s="16">
        <f t="shared" si="60"/>
        <v>0.5714285714285714</v>
      </c>
      <c r="V112" s="16">
        <f t="shared" si="60"/>
        <v>0.53061224489795922</v>
      </c>
      <c r="W112" s="16">
        <f t="shared" si="60"/>
        <v>0.67346938775510201</v>
      </c>
      <c r="X112" s="16">
        <f t="shared" si="60"/>
        <v>0.5</v>
      </c>
      <c r="Y112" s="16">
        <f t="shared" si="60"/>
        <v>0.42857142857142855</v>
      </c>
      <c r="Z112" s="16">
        <f t="shared" si="60"/>
        <v>0.5</v>
      </c>
      <c r="AA112" s="16">
        <f t="shared" si="60"/>
        <v>0.44897959183673469</v>
      </c>
      <c r="AB112" s="16">
        <f t="shared" si="60"/>
        <v>0.53061224489795922</v>
      </c>
      <c r="AC112" s="16">
        <f t="shared" si="60"/>
        <v>0.68367346938775508</v>
      </c>
      <c r="AD112" s="16">
        <f t="shared" si="60"/>
        <v>0.60204081632653061</v>
      </c>
      <c r="AE112" s="16">
        <f t="shared" si="60"/>
        <v>0.60204081632653061</v>
      </c>
      <c r="AF112" s="16">
        <f t="shared" si="60"/>
        <v>0.79591836734693877</v>
      </c>
      <c r="AG112" s="16">
        <f t="shared" si="60"/>
        <v>0.70408163265306123</v>
      </c>
      <c r="AH112" s="16">
        <f t="shared" si="60"/>
        <v>0.48979591836734693</v>
      </c>
      <c r="AI112" s="17">
        <f>+AI111/(A111*A$1)</f>
        <v>0.50559578670177752</v>
      </c>
      <c r="AJ112" s="6"/>
    </row>
    <row r="113" spans="1:36" x14ac:dyDescent="0.3">
      <c r="A113" s="2"/>
      <c r="B113" s="14"/>
      <c r="C113" s="15" t="s">
        <v>17</v>
      </c>
      <c r="D113" s="18">
        <f t="shared" ref="D113:AH113" si="61">+IFERROR(D115/D111,0)</f>
        <v>83.879393939393935</v>
      </c>
      <c r="E113" s="18">
        <f t="shared" si="61"/>
        <v>90.779487179487177</v>
      </c>
      <c r="F113" s="18">
        <f t="shared" si="61"/>
        <v>92.263999999999996</v>
      </c>
      <c r="G113" s="18">
        <f t="shared" si="61"/>
        <v>90.090769230769226</v>
      </c>
      <c r="H113" s="18">
        <f t="shared" si="61"/>
        <v>85.024444444444441</v>
      </c>
      <c r="I113" s="18">
        <f t="shared" si="61"/>
        <v>82.138909090909095</v>
      </c>
      <c r="J113" s="18">
        <f t="shared" si="61"/>
        <v>81.417058823529402</v>
      </c>
      <c r="K113" s="18">
        <f t="shared" si="61"/>
        <v>83.866956521739127</v>
      </c>
      <c r="L113" s="18">
        <f t="shared" si="61"/>
        <v>82.698684210526324</v>
      </c>
      <c r="M113" s="18">
        <f t="shared" si="61"/>
        <v>87.326153846153844</v>
      </c>
      <c r="N113" s="18">
        <f t="shared" si="61"/>
        <v>86.636521739130444</v>
      </c>
      <c r="O113" s="18">
        <f t="shared" si="61"/>
        <v>79.188636363636363</v>
      </c>
      <c r="P113" s="18">
        <f t="shared" si="61"/>
        <v>79.972444444444449</v>
      </c>
      <c r="Q113" s="18">
        <f t="shared" si="61"/>
        <v>89.847111111111104</v>
      </c>
      <c r="R113" s="18">
        <f t="shared" si="61"/>
        <v>96.080597014925374</v>
      </c>
      <c r="S113" s="18">
        <f t="shared" si="61"/>
        <v>92.43492063492063</v>
      </c>
      <c r="T113" s="18">
        <f t="shared" si="61"/>
        <v>81.297826086956519</v>
      </c>
      <c r="U113" s="18">
        <f t="shared" si="61"/>
        <v>80.19285714285715</v>
      </c>
      <c r="V113" s="18">
        <f t="shared" si="61"/>
        <v>79.281153846153842</v>
      </c>
      <c r="W113" s="18">
        <f t="shared" si="61"/>
        <v>80.241363636363644</v>
      </c>
      <c r="X113" s="18">
        <f t="shared" si="61"/>
        <v>76.247551020408167</v>
      </c>
      <c r="Y113" s="18">
        <f t="shared" si="61"/>
        <v>81.716904761904772</v>
      </c>
      <c r="Z113" s="18">
        <f t="shared" si="61"/>
        <v>78.400612244897957</v>
      </c>
      <c r="AA113" s="18">
        <f t="shared" si="61"/>
        <v>75.026136363636368</v>
      </c>
      <c r="AB113" s="18">
        <f t="shared" si="61"/>
        <v>73.733269230769238</v>
      </c>
      <c r="AC113" s="18">
        <f t="shared" si="61"/>
        <v>76.325373134328359</v>
      </c>
      <c r="AD113" s="18">
        <f t="shared" si="61"/>
        <v>77.147118644067803</v>
      </c>
      <c r="AE113" s="18">
        <f t="shared" si="61"/>
        <v>75.721864406779659</v>
      </c>
      <c r="AF113" s="18">
        <f t="shared" si="61"/>
        <v>84.282435897435889</v>
      </c>
      <c r="AG113" s="18">
        <f t="shared" si="61"/>
        <v>85.552753623188408</v>
      </c>
      <c r="AH113" s="18">
        <f t="shared" si="61"/>
        <v>76.535833333333329</v>
      </c>
      <c r="AI113" s="19">
        <f>+AI115/AI111</f>
        <v>82.607063802083331</v>
      </c>
      <c r="AJ113" s="6"/>
    </row>
    <row r="114" spans="1:36" x14ac:dyDescent="0.3">
      <c r="A114" s="2"/>
      <c r="B114" s="14"/>
      <c r="C114" s="15" t="s">
        <v>18</v>
      </c>
      <c r="D114" s="18">
        <f t="shared" ref="D114:AH114" si="62">+D112*D113</f>
        <v>28.245102040816324</v>
      </c>
      <c r="E114" s="18">
        <f t="shared" si="62"/>
        <v>36.126530612244899</v>
      </c>
      <c r="F114" s="18">
        <f t="shared" si="62"/>
        <v>32.951428571428572</v>
      </c>
      <c r="G114" s="18">
        <f t="shared" si="62"/>
        <v>35.852448979591834</v>
      </c>
      <c r="H114" s="18">
        <f t="shared" si="62"/>
        <v>39.041836734693874</v>
      </c>
      <c r="I114" s="18">
        <f t="shared" si="62"/>
        <v>46.098367346938772</v>
      </c>
      <c r="J114" s="18">
        <f t="shared" si="62"/>
        <v>28.246734693877546</v>
      </c>
      <c r="K114" s="18">
        <f t="shared" si="62"/>
        <v>39.366122448979588</v>
      </c>
      <c r="L114" s="18">
        <f t="shared" si="62"/>
        <v>32.066836734693879</v>
      </c>
      <c r="M114" s="18">
        <f t="shared" si="62"/>
        <v>23.168163265306124</v>
      </c>
      <c r="N114" s="18">
        <f t="shared" si="62"/>
        <v>40.6661224489796</v>
      </c>
      <c r="O114" s="18">
        <f t="shared" si="62"/>
        <v>35.554081632653059</v>
      </c>
      <c r="P114" s="18">
        <f t="shared" si="62"/>
        <v>36.722040816326533</v>
      </c>
      <c r="Q114" s="18">
        <f t="shared" si="62"/>
        <v>41.256326530612242</v>
      </c>
      <c r="R114" s="18">
        <f t="shared" si="62"/>
        <v>65.687755102040811</v>
      </c>
      <c r="S114" s="18">
        <f t="shared" si="62"/>
        <v>59.422448979591834</v>
      </c>
      <c r="T114" s="18">
        <f t="shared" si="62"/>
        <v>38.160204081632656</v>
      </c>
      <c r="U114" s="18">
        <f t="shared" si="62"/>
        <v>45.824489795918367</v>
      </c>
      <c r="V114" s="18">
        <f t="shared" si="62"/>
        <v>42.06755102040816</v>
      </c>
      <c r="W114" s="18">
        <f t="shared" si="62"/>
        <v>54.040102040816329</v>
      </c>
      <c r="X114" s="18">
        <f t="shared" si="62"/>
        <v>38.123775510204084</v>
      </c>
      <c r="Y114" s="18">
        <f t="shared" si="62"/>
        <v>35.021530612244902</v>
      </c>
      <c r="Z114" s="18">
        <f t="shared" si="62"/>
        <v>39.200306122448978</v>
      </c>
      <c r="AA114" s="18">
        <f t="shared" si="62"/>
        <v>33.685204081632655</v>
      </c>
      <c r="AB114" s="18">
        <f t="shared" si="62"/>
        <v>39.123775510204091</v>
      </c>
      <c r="AC114" s="18">
        <f t="shared" si="62"/>
        <v>52.181632653061222</v>
      </c>
      <c r="AD114" s="18">
        <f t="shared" si="62"/>
        <v>46.445714285714288</v>
      </c>
      <c r="AE114" s="18">
        <f t="shared" si="62"/>
        <v>45.587653061224486</v>
      </c>
      <c r="AF114" s="18">
        <f t="shared" si="62"/>
        <v>67.081938775510196</v>
      </c>
      <c r="AG114" s="18">
        <f t="shared" si="62"/>
        <v>60.236122448979593</v>
      </c>
      <c r="AH114" s="18">
        <f t="shared" si="62"/>
        <v>37.486938775510204</v>
      </c>
      <c r="AI114" s="19">
        <f>+AI113*AI112</f>
        <v>41.765783410138248</v>
      </c>
      <c r="AJ114" s="6"/>
    </row>
    <row r="115" spans="1:36" x14ac:dyDescent="0.3">
      <c r="A115" s="2"/>
      <c r="B115" s="33"/>
      <c r="C115" s="34" t="s">
        <v>19</v>
      </c>
      <c r="D115" s="20">
        <v>2768.02</v>
      </c>
      <c r="E115" s="21">
        <v>3540.4</v>
      </c>
      <c r="F115" s="21">
        <v>3229.24</v>
      </c>
      <c r="G115" s="21">
        <v>3513.54</v>
      </c>
      <c r="H115" s="21">
        <v>3826.1</v>
      </c>
      <c r="I115" s="21">
        <v>4517.6400000000003</v>
      </c>
      <c r="J115" s="21">
        <v>2768.18</v>
      </c>
      <c r="K115" s="21">
        <v>3857.88</v>
      </c>
      <c r="L115" s="21">
        <v>3142.55</v>
      </c>
      <c r="M115" s="21">
        <v>2270.48</v>
      </c>
      <c r="N115" s="21">
        <v>3985.28</v>
      </c>
      <c r="O115" s="21">
        <v>3484.3</v>
      </c>
      <c r="P115" s="21">
        <v>3598.76</v>
      </c>
      <c r="Q115" s="21">
        <v>4043.12</v>
      </c>
      <c r="R115" s="21">
        <v>6437.4</v>
      </c>
      <c r="S115" s="21">
        <v>5823.4</v>
      </c>
      <c r="T115" s="21">
        <v>3739.7</v>
      </c>
      <c r="U115" s="21">
        <v>4490.8</v>
      </c>
      <c r="V115" s="21">
        <v>4122.62</v>
      </c>
      <c r="W115" s="21">
        <v>5295.93</v>
      </c>
      <c r="X115" s="21">
        <v>3736.13</v>
      </c>
      <c r="Y115" s="21">
        <v>3432.11</v>
      </c>
      <c r="Z115" s="21">
        <v>3841.63</v>
      </c>
      <c r="AA115" s="21">
        <v>3301.15</v>
      </c>
      <c r="AB115" s="21">
        <v>3834.13</v>
      </c>
      <c r="AC115" s="21">
        <v>5113.8</v>
      </c>
      <c r="AD115" s="21">
        <v>4551.68</v>
      </c>
      <c r="AE115" s="21">
        <v>4467.59</v>
      </c>
      <c r="AF115" s="21">
        <v>6574.03</v>
      </c>
      <c r="AG115" s="21">
        <v>5903.14</v>
      </c>
      <c r="AH115" s="21">
        <v>3673.72</v>
      </c>
      <c r="AI115" s="39">
        <f>SUM(D115:AH115)</f>
        <v>126884.45</v>
      </c>
      <c r="AJ115" s="6"/>
    </row>
    <row r="116" spans="1:36" ht="15" thickBot="1" x14ac:dyDescent="0.35">
      <c r="A116" s="23"/>
      <c r="B116" s="80"/>
      <c r="C116" s="81" t="s">
        <v>20</v>
      </c>
      <c r="D116" s="82">
        <f>2617.1/D115</f>
        <v>0.94547727256305947</v>
      </c>
      <c r="E116" s="83">
        <f>626.72/E115</f>
        <v>0.17701954581403231</v>
      </c>
      <c r="F116" s="83">
        <f>564.67/F115</f>
        <v>0.17486157733708241</v>
      </c>
      <c r="G116" s="83">
        <f>1014.87/G115</f>
        <v>0.28884543793439094</v>
      </c>
      <c r="H116" s="83">
        <f>992.77/H115</f>
        <v>0.25947309270536578</v>
      </c>
      <c r="I116" s="83">
        <f>1166.93/I115</f>
        <v>0.25830522131024164</v>
      </c>
      <c r="J116" s="83">
        <f>1096.89/J115</f>
        <v>0.39624952134615532</v>
      </c>
      <c r="K116" s="83">
        <f>964.3/K115</f>
        <v>0.24995593434736174</v>
      </c>
      <c r="L116" s="83">
        <f>699.83/L115</f>
        <v>0.22269494518782518</v>
      </c>
      <c r="M116" s="83">
        <f>714.68/M115</f>
        <v>0.31477044501603185</v>
      </c>
      <c r="N116" s="83">
        <f>812.7/N115</f>
        <v>0.20392544563995504</v>
      </c>
      <c r="O116" s="83">
        <f>780.11/O115</f>
        <v>0.2238928909680567</v>
      </c>
      <c r="P116" s="83">
        <f>1021.18/P115</f>
        <v>0.28375885027064873</v>
      </c>
      <c r="Q116" s="83">
        <f>1144.77/Q115</f>
        <v>0.28314024812521021</v>
      </c>
      <c r="R116" s="83">
        <f>1108.63/R115</f>
        <v>0.17221704414825864</v>
      </c>
      <c r="S116" s="83">
        <f>932.91/S115</f>
        <v>0.16020022667170383</v>
      </c>
      <c r="T116" s="83">
        <f>746.42/T115</f>
        <v>0.19959355028478221</v>
      </c>
      <c r="U116" s="83">
        <f>827.14/U115</f>
        <v>0.18418544580030283</v>
      </c>
      <c r="V116" s="83">
        <f>1076.07/V115</f>
        <v>0.26101605289839958</v>
      </c>
      <c r="W116" s="83">
        <f>1076.07/W115</f>
        <v>0.20318810860415448</v>
      </c>
      <c r="X116" s="83">
        <f>1210.09/X115</f>
        <v>0.32388862271923086</v>
      </c>
      <c r="Y116" s="83">
        <f>1274.18/Y115</f>
        <v>0.37125266964054182</v>
      </c>
      <c r="Z116" s="83">
        <f>704.3/Z115</f>
        <v>0.18333363702386746</v>
      </c>
      <c r="AA116" s="83">
        <f>588.28/AA115</f>
        <v>0.1782045650758069</v>
      </c>
      <c r="AB116" s="83">
        <f>1229.69/AB115</f>
        <v>0.32072204124534121</v>
      </c>
      <c r="AC116" s="83">
        <f>1155.04/AC115</f>
        <v>0.22586726113653249</v>
      </c>
      <c r="AD116" s="83">
        <f>1125.76/AD115</f>
        <v>0.24732845894263214</v>
      </c>
      <c r="AE116" s="83">
        <f>1027.29/AE115</f>
        <v>0.22994276556264115</v>
      </c>
      <c r="AF116" s="83">
        <f>894.92/AF115</f>
        <v>0.13612958869977776</v>
      </c>
      <c r="AG116" s="83">
        <f>593.58/AG115</f>
        <v>0.10055326487259324</v>
      </c>
      <c r="AH116" s="91">
        <f>602.79/AH115</f>
        <v>0.16408163931927311</v>
      </c>
      <c r="AI116" s="84">
        <f>AVERAGE(D116:AG116)</f>
        <v>0.25933312439639944</v>
      </c>
      <c r="AJ116" s="6"/>
    </row>
    <row r="117" spans="1:36" ht="15.6" thickTop="1" thickBot="1" x14ac:dyDescent="0.35">
      <c r="A117" s="2"/>
      <c r="B117" s="2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85">
        <f>+AI115+AI109+AI103+AI97+AI91+AI85+AI79+AI73+AI67+AI62+AI53+AI45+AI39+AI33+AI27+AI20+AI14</f>
        <v>2371202.1</v>
      </c>
    </row>
    <row r="118" spans="1:36" ht="15" thickTop="1" x14ac:dyDescent="0.3">
      <c r="A118" s="2"/>
      <c r="B118" s="2"/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86"/>
    </row>
    <row r="119" spans="1:36" ht="43.2" x14ac:dyDescent="0.3">
      <c r="A119" s="2"/>
      <c r="B119" s="2"/>
      <c r="C119" s="3"/>
      <c r="D119" s="3">
        <v>1</v>
      </c>
      <c r="E119" s="4">
        <v>2</v>
      </c>
      <c r="F119" s="4">
        <v>3</v>
      </c>
      <c r="G119" s="4">
        <v>4</v>
      </c>
      <c r="H119" s="4">
        <v>5</v>
      </c>
      <c r="I119" s="4">
        <v>6</v>
      </c>
      <c r="J119" s="4">
        <v>7</v>
      </c>
      <c r="K119" s="4">
        <v>8</v>
      </c>
      <c r="L119" s="4">
        <v>9</v>
      </c>
      <c r="M119" s="4">
        <v>10</v>
      </c>
      <c r="N119" s="4">
        <v>11</v>
      </c>
      <c r="O119" s="4">
        <v>12</v>
      </c>
      <c r="P119" s="4">
        <v>13</v>
      </c>
      <c r="Q119" s="4">
        <v>14</v>
      </c>
      <c r="R119" s="4">
        <v>15</v>
      </c>
      <c r="S119" s="4">
        <v>16</v>
      </c>
      <c r="T119" s="4">
        <v>17</v>
      </c>
      <c r="U119" s="4">
        <v>18</v>
      </c>
      <c r="V119" s="4">
        <v>19</v>
      </c>
      <c r="W119" s="4">
        <v>20</v>
      </c>
      <c r="X119" s="4">
        <v>21</v>
      </c>
      <c r="Y119" s="4">
        <v>22</v>
      </c>
      <c r="Z119" s="4">
        <v>23</v>
      </c>
      <c r="AA119" s="4">
        <v>24</v>
      </c>
      <c r="AB119" s="4">
        <v>25</v>
      </c>
      <c r="AC119" s="4">
        <v>26</v>
      </c>
      <c r="AD119" s="4">
        <v>27</v>
      </c>
      <c r="AE119" s="4">
        <v>28</v>
      </c>
      <c r="AF119" s="4">
        <v>29</v>
      </c>
      <c r="AG119" s="4">
        <v>30</v>
      </c>
      <c r="AH119" s="4">
        <v>31</v>
      </c>
      <c r="AI119" s="87" t="s">
        <v>47</v>
      </c>
      <c r="AJ119" s="87" t="s">
        <v>48</v>
      </c>
    </row>
    <row r="120" spans="1:36" x14ac:dyDescent="0.3">
      <c r="A120" s="2"/>
      <c r="B120" s="2" t="s">
        <v>61</v>
      </c>
      <c r="C120" s="4"/>
      <c r="D120" s="20">
        <f>D14+D20+D27+D33+D39+D45+D55+D62+D67+D73+D79+D91+D97+D103+D109+D115+D85</f>
        <v>82854.86</v>
      </c>
      <c r="E120" s="20">
        <f t="shared" ref="E120:AH120" si="63">E14+E20+E27+E33+E39+E45+E55+E62+E67+E73+E79+E91+E97+E103+E109+E115+E85</f>
        <v>80638.539999999994</v>
      </c>
      <c r="F120" s="20">
        <f t="shared" si="63"/>
        <v>60554.259999999995</v>
      </c>
      <c r="G120" s="20">
        <f t="shared" si="63"/>
        <v>64807.009999999995</v>
      </c>
      <c r="H120" s="20">
        <f t="shared" si="63"/>
        <v>76514.759999999995</v>
      </c>
      <c r="I120" s="20">
        <f t="shared" si="63"/>
        <v>83320.000000000015</v>
      </c>
      <c r="J120" s="20">
        <f t="shared" si="63"/>
        <v>71398.990000000005</v>
      </c>
      <c r="K120" s="20">
        <f t="shared" si="63"/>
        <v>79576.290000000008</v>
      </c>
      <c r="L120" s="20">
        <f t="shared" si="63"/>
        <v>79602.19</v>
      </c>
      <c r="M120" s="20">
        <f t="shared" si="63"/>
        <v>62180.97</v>
      </c>
      <c r="N120" s="20">
        <f t="shared" si="63"/>
        <v>72936.51999999999</v>
      </c>
      <c r="O120" s="20">
        <f t="shared" si="63"/>
        <v>77463.539999999994</v>
      </c>
      <c r="P120" s="20">
        <f t="shared" si="63"/>
        <v>82155.279999999984</v>
      </c>
      <c r="Q120" s="20">
        <f t="shared" si="63"/>
        <v>87161.51999999999</v>
      </c>
      <c r="R120" s="20">
        <f t="shared" si="63"/>
        <v>100886.34999999999</v>
      </c>
      <c r="S120" s="20">
        <f t="shared" si="63"/>
        <v>107066.53999999998</v>
      </c>
      <c r="T120" s="20">
        <f t="shared" si="63"/>
        <v>74252.77</v>
      </c>
      <c r="U120" s="20">
        <f t="shared" si="63"/>
        <v>74107.56</v>
      </c>
      <c r="V120" s="20">
        <f t="shared" si="63"/>
        <v>83657.62</v>
      </c>
      <c r="W120" s="20">
        <f t="shared" si="63"/>
        <v>75423.94</v>
      </c>
      <c r="X120" s="20">
        <f t="shared" si="63"/>
        <v>70802.810000000012</v>
      </c>
      <c r="Y120" s="20">
        <f t="shared" si="63"/>
        <v>77494.189999999988</v>
      </c>
      <c r="Z120" s="20">
        <f t="shared" si="63"/>
        <v>84626.680000000008</v>
      </c>
      <c r="AA120" s="20">
        <f t="shared" si="63"/>
        <v>65300.72</v>
      </c>
      <c r="AB120" s="20">
        <f t="shared" si="63"/>
        <v>77262.150000000009</v>
      </c>
      <c r="AC120" s="20">
        <f t="shared" si="63"/>
        <v>78740.91</v>
      </c>
      <c r="AD120" s="20">
        <f t="shared" si="63"/>
        <v>81055.740000000005</v>
      </c>
      <c r="AE120" s="20">
        <f t="shared" si="63"/>
        <v>80039.549999999988</v>
      </c>
      <c r="AF120" s="20">
        <f t="shared" si="63"/>
        <v>84612.52</v>
      </c>
      <c r="AG120" s="20">
        <f t="shared" si="63"/>
        <v>87320.98</v>
      </c>
      <c r="AH120" s="20">
        <f t="shared" si="63"/>
        <v>65515.239999999991</v>
      </c>
      <c r="AI120" s="86">
        <f>AVERAGE(D120:AH120)</f>
        <v>78365.516129032258</v>
      </c>
      <c r="AJ120" s="6" t="e">
        <f>+AI120/AI121-1</f>
        <v>#DIV/0!</v>
      </c>
    </row>
  </sheetData>
  <mergeCells count="4">
    <mergeCell ref="B22:C22"/>
    <mergeCell ref="B47:C47"/>
    <mergeCell ref="B48:C48"/>
    <mergeCell ref="B57:C57"/>
  </mergeCells>
  <conditionalFormatting sqref="D14:AB14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B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B2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AB2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B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AB3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B3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AB3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B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B4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B4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AB5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B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AH6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AH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AH7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9:AH7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AH9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:AH9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AB10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B1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AD10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D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AD1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D2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D3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D3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D4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D5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:Y62 AA62:AC6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:Y62 AA62:AC6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H1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0:AH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H2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H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9:AH3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H4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H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7:AH6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9:AH7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:AH9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H10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Y62 AA62:AH6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5:AH5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5:AH4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9:AH3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AH6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9">
      <colorScale>
        <cfvo type="min"/>
        <cfvo type="max"/>
        <color rgb="FFF8696B"/>
        <color rgb="FFFCFCFF"/>
      </colorScale>
    </cfRule>
  </conditionalFormatting>
  <conditionalFormatting sqref="D79:AH7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:AH9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H4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H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H5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H10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H2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H3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2:AH6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:AH1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:AH1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B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B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D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H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3:AH7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3:AH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H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H7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D85:AH8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5:AH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:AG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AH8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AH9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AH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:AH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H9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AH10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AH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:AH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AH10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B1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B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AD1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5:AH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AH1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Janurary!D91:AG91</xm:f>
              <xm:sqref>B91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Janurary!D14:AG14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Janurary!D20:AG20</xm:f>
              <xm:sqref>B20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Janurary!D27:AG27</xm:f>
              <xm:sqref>B27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Janurary!D33:AG33</xm:f>
              <xm:sqref>B33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Janurary!D39:AG39</xm:f>
              <xm:sqref>B39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Janurary!D45:AG45</xm:f>
              <xm:sqref>B45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Janurary!D55:AG55</xm:f>
              <xm:sqref>B55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Janurary!D62:AG62</xm:f>
              <xm:sqref>B62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Janurary!D67:AG67</xm:f>
              <xm:sqref>B67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Janurary!D72:AG72</xm:f>
              <xm:sqref>B72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Janurary!D79:AG79</xm:f>
              <xm:sqref>B79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Janurary!D85:AG85</xm:f>
              <xm:sqref>B85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Janurary!D97:AG97</xm:f>
              <xm:sqref>B97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Janurary!D103:AG103</xm:f>
              <xm:sqref>B103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Janurary!D109:AG109</xm:f>
              <xm:sqref>B109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Janurary!D115:AG115</xm:f>
              <xm:sqref>B115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45"/>
  <sheetViews>
    <sheetView zoomScaleNormal="100" workbookViewId="0">
      <pane xSplit="3" ySplit="9" topLeftCell="D55" activePane="bottomRight" state="frozen"/>
      <selection pane="topRight" activeCell="D1" sqref="D1"/>
      <selection pane="bottomLeft" activeCell="A10" sqref="A10"/>
      <selection pane="bottomRight" activeCell="F11" sqref="F11"/>
    </sheetView>
  </sheetViews>
  <sheetFormatPr defaultColWidth="8.88671875" defaultRowHeight="14.4" x14ac:dyDescent="0.3"/>
  <cols>
    <col min="1" max="1" width="8.88671875" style="239"/>
    <col min="2" max="2" width="30.44140625" style="239" bestFit="1" customWidth="1"/>
    <col min="3" max="3" width="9.44140625" style="239" customWidth="1"/>
    <col min="4" max="33" width="11.6640625" style="239" customWidth="1"/>
    <col min="34" max="34" width="11.33203125" style="239" customWidth="1"/>
    <col min="35" max="35" width="16.44140625" style="322" bestFit="1" customWidth="1"/>
    <col min="36" max="36" width="19.33203125" style="322" bestFit="1" customWidth="1"/>
    <col min="37" max="37" width="13.33203125" style="239" bestFit="1" customWidth="1"/>
    <col min="38" max="38" width="12.6640625" style="239" bestFit="1" customWidth="1"/>
    <col min="39" max="16384" width="8.88671875" style="239"/>
  </cols>
  <sheetData>
    <row r="1" spans="1:38" x14ac:dyDescent="0.3">
      <c r="A1" s="1">
        <v>31</v>
      </c>
      <c r="B1" s="203" t="s">
        <v>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76">
        <f>+AI14+AI22+AI30+AI35+AI40+AI45+AI57+AI64+AI69+AI74+AI82+AI87+AI92+AI97+AI102+AI107+AI117+AI112</f>
        <v>4778218.6999999993</v>
      </c>
      <c r="AJ1" s="277">
        <f>+AI1/$A$1</f>
        <v>154136.08709677416</v>
      </c>
      <c r="AK1" s="324">
        <v>31</v>
      </c>
    </row>
    <row r="2" spans="1:38" x14ac:dyDescent="0.3">
      <c r="A2" s="203" t="s">
        <v>1</v>
      </c>
      <c r="B2" s="203"/>
      <c r="C2" s="240"/>
      <c r="D2" s="236" t="s">
        <v>7</v>
      </c>
      <c r="E2" s="236" t="s">
        <v>8</v>
      </c>
      <c r="F2" s="236" t="s">
        <v>2</v>
      </c>
      <c r="G2" s="236" t="s">
        <v>3</v>
      </c>
      <c r="H2" s="236" t="s">
        <v>4</v>
      </c>
      <c r="I2" s="236" t="s">
        <v>5</v>
      </c>
      <c r="J2" s="236" t="s">
        <v>6</v>
      </c>
      <c r="K2" s="236" t="s">
        <v>7</v>
      </c>
      <c r="L2" s="236" t="s">
        <v>8</v>
      </c>
      <c r="M2" s="236" t="s">
        <v>2</v>
      </c>
      <c r="N2" s="236" t="s">
        <v>3</v>
      </c>
      <c r="O2" s="236" t="s">
        <v>4</v>
      </c>
      <c r="P2" s="236" t="s">
        <v>5</v>
      </c>
      <c r="Q2" s="236" t="s">
        <v>6</v>
      </c>
      <c r="R2" s="236" t="s">
        <v>7</v>
      </c>
      <c r="S2" s="236" t="s">
        <v>8</v>
      </c>
      <c r="T2" s="236" t="s">
        <v>2</v>
      </c>
      <c r="U2" s="236" t="s">
        <v>3</v>
      </c>
      <c r="V2" s="236" t="s">
        <v>4</v>
      </c>
      <c r="W2" s="236" t="s">
        <v>5</v>
      </c>
      <c r="X2" s="236" t="s">
        <v>6</v>
      </c>
      <c r="Y2" s="236" t="s">
        <v>7</v>
      </c>
      <c r="Z2" s="236" t="s">
        <v>8</v>
      </c>
      <c r="AA2" s="236" t="s">
        <v>2</v>
      </c>
      <c r="AB2" s="236" t="s">
        <v>3</v>
      </c>
      <c r="AC2" s="236" t="s">
        <v>4</v>
      </c>
      <c r="AD2" s="236" t="s">
        <v>5</v>
      </c>
      <c r="AE2" s="236" t="s">
        <v>6</v>
      </c>
      <c r="AF2" s="236" t="s">
        <v>7</v>
      </c>
      <c r="AG2" s="236" t="s">
        <v>8</v>
      </c>
      <c r="AH2" s="236" t="s">
        <v>2</v>
      </c>
      <c r="AI2" s="278" t="s">
        <v>9</v>
      </c>
      <c r="AJ2" s="279">
        <f>+AJ1*AK1</f>
        <v>4778218.6999999993</v>
      </c>
      <c r="AK2" s="251"/>
      <c r="AL2" s="251"/>
    </row>
    <row r="3" spans="1:38" ht="15" thickBot="1" x14ac:dyDescent="0.35">
      <c r="A3" s="203"/>
      <c r="B3" s="203" t="s">
        <v>10</v>
      </c>
      <c r="C3" s="240" t="s">
        <v>11</v>
      </c>
      <c r="D3" s="242">
        <v>1</v>
      </c>
      <c r="E3" s="242">
        <f>+D3+1</f>
        <v>2</v>
      </c>
      <c r="F3" s="242">
        <f t="shared" ref="F3:AG3" si="0">+E3+1</f>
        <v>3</v>
      </c>
      <c r="G3" s="242">
        <f t="shared" si="0"/>
        <v>4</v>
      </c>
      <c r="H3" s="242">
        <f t="shared" si="0"/>
        <v>5</v>
      </c>
      <c r="I3" s="242">
        <f t="shared" si="0"/>
        <v>6</v>
      </c>
      <c r="J3" s="242">
        <f t="shared" si="0"/>
        <v>7</v>
      </c>
      <c r="K3" s="242">
        <f t="shared" si="0"/>
        <v>8</v>
      </c>
      <c r="L3" s="242">
        <f t="shared" si="0"/>
        <v>9</v>
      </c>
      <c r="M3" s="242">
        <f t="shared" si="0"/>
        <v>10</v>
      </c>
      <c r="N3" s="242">
        <f t="shared" si="0"/>
        <v>11</v>
      </c>
      <c r="O3" s="242">
        <f t="shared" si="0"/>
        <v>12</v>
      </c>
      <c r="P3" s="242">
        <f t="shared" si="0"/>
        <v>13</v>
      </c>
      <c r="Q3" s="242">
        <f t="shared" si="0"/>
        <v>14</v>
      </c>
      <c r="R3" s="242">
        <f t="shared" si="0"/>
        <v>15</v>
      </c>
      <c r="S3" s="242">
        <f t="shared" si="0"/>
        <v>16</v>
      </c>
      <c r="T3" s="242">
        <f t="shared" si="0"/>
        <v>17</v>
      </c>
      <c r="U3" s="242">
        <f t="shared" si="0"/>
        <v>18</v>
      </c>
      <c r="V3" s="242">
        <f t="shared" si="0"/>
        <v>19</v>
      </c>
      <c r="W3" s="242">
        <f t="shared" si="0"/>
        <v>20</v>
      </c>
      <c r="X3" s="242">
        <f t="shared" si="0"/>
        <v>21</v>
      </c>
      <c r="Y3" s="242">
        <f t="shared" si="0"/>
        <v>22</v>
      </c>
      <c r="Z3" s="242">
        <f t="shared" si="0"/>
        <v>23</v>
      </c>
      <c r="AA3" s="242">
        <f t="shared" si="0"/>
        <v>24</v>
      </c>
      <c r="AB3" s="242">
        <f t="shared" si="0"/>
        <v>25</v>
      </c>
      <c r="AC3" s="242">
        <f t="shared" si="0"/>
        <v>26</v>
      </c>
      <c r="AD3" s="242">
        <f t="shared" si="0"/>
        <v>27</v>
      </c>
      <c r="AE3" s="242">
        <f t="shared" si="0"/>
        <v>28</v>
      </c>
      <c r="AF3" s="242">
        <f t="shared" si="0"/>
        <v>29</v>
      </c>
      <c r="AG3" s="242">
        <f t="shared" si="0"/>
        <v>30</v>
      </c>
      <c r="AH3" s="242">
        <v>31</v>
      </c>
      <c r="AI3" s="278" t="s">
        <v>12</v>
      </c>
      <c r="AJ3" s="279" t="s">
        <v>13</v>
      </c>
      <c r="AK3" s="252"/>
      <c r="AL3" s="252"/>
    </row>
    <row r="4" spans="1:38" ht="15" thickTop="1" x14ac:dyDescent="0.3">
      <c r="A4" s="203">
        <f>+A10+A18+A26+A31+A36+A41+A57+A60+A65+A70+A78+A83+A88+A93+A98+A103+A113+A108</f>
        <v>1979</v>
      </c>
      <c r="B4" s="28" t="s">
        <v>14</v>
      </c>
      <c r="C4" s="29" t="s">
        <v>15</v>
      </c>
      <c r="D4" s="30">
        <f t="shared" ref="D4" si="1">+D10+D18+D26+D31+D36+D41+D51+D46+D60+D65+D70+D78+D83+D88+D93+D103+D108+D113+D98</f>
        <v>1137</v>
      </c>
      <c r="E4" s="30">
        <f t="shared" ref="E4:AF4" si="2">+E10+E18+E26+E31+E36+E41+E51+E46+E60+E65+E70+E78+E83+E88+E93+E103+E108+E113+E98</f>
        <v>1218</v>
      </c>
      <c r="F4" s="30">
        <f t="shared" si="2"/>
        <v>964</v>
      </c>
      <c r="G4" s="30">
        <f t="shared" si="2"/>
        <v>816</v>
      </c>
      <c r="H4" s="30">
        <f t="shared" si="2"/>
        <v>1091</v>
      </c>
      <c r="I4" s="30">
        <f t="shared" si="2"/>
        <v>1170</v>
      </c>
      <c r="J4" s="30">
        <f t="shared" si="2"/>
        <v>1266</v>
      </c>
      <c r="K4" s="30">
        <f t="shared" si="2"/>
        <v>1298</v>
      </c>
      <c r="L4" s="30">
        <f t="shared" si="2"/>
        <v>1332</v>
      </c>
      <c r="M4" s="30">
        <f>+M10+M18+M26+M31+M36+M41+M51+M46+M60+M65+M70+M78+M83+M88+M93+M103+M108+M113+M98</f>
        <v>1011</v>
      </c>
      <c r="N4" s="30">
        <f>+N10+N18+N26+N31+N36+N41+N51+N46+N60+N65+N70+N78+N83+N88+N93+N103+N108+N113+N98</f>
        <v>1382</v>
      </c>
      <c r="O4" s="30">
        <f>+O10+O18+O26+O31+O36+O41+O51+O46+O60+O65+O70+O78+O83+O88+O93+O103+O108+O113+O98</f>
        <v>1503</v>
      </c>
      <c r="P4" s="30">
        <f>+P10+P18+P26+P31+P36+P41+P51+P46+P60+P65+P70+P78+P83+P88+P93+P103+P108+P113+P98</f>
        <v>1465</v>
      </c>
      <c r="Q4" s="30">
        <f>+Q10+Q18+Q26+Q31+Q36+Q41+Q51+Q46+Q60+Q65+Q70+Q78+Q83+Q88+Q93+Q103+Q108+Q113+Q98</f>
        <v>1356</v>
      </c>
      <c r="R4" s="30">
        <f t="shared" si="2"/>
        <v>1344</v>
      </c>
      <c r="S4" s="30">
        <f t="shared" si="2"/>
        <v>1398</v>
      </c>
      <c r="T4" s="30">
        <f t="shared" si="2"/>
        <v>1055</v>
      </c>
      <c r="U4" s="30">
        <f t="shared" si="2"/>
        <v>1486</v>
      </c>
      <c r="V4" s="30">
        <f t="shared" si="2"/>
        <v>1615</v>
      </c>
      <c r="W4" s="30">
        <f t="shared" si="2"/>
        <v>1573</v>
      </c>
      <c r="X4" s="30">
        <f>+X10+X18+X26+X31+X36+X41+X51+X46+X60+X65+X70+X78+X83+X88+X93+X103+X108+X113+X98</f>
        <v>1539</v>
      </c>
      <c r="Y4" s="30">
        <f t="shared" si="2"/>
        <v>1341</v>
      </c>
      <c r="Z4" s="30">
        <f t="shared" si="2"/>
        <v>1398</v>
      </c>
      <c r="AA4" s="30">
        <f t="shared" si="2"/>
        <v>968</v>
      </c>
      <c r="AB4" s="30">
        <f t="shared" si="2"/>
        <v>1287</v>
      </c>
      <c r="AC4" s="30">
        <f t="shared" si="2"/>
        <v>1518</v>
      </c>
      <c r="AD4" s="30">
        <f t="shared" si="2"/>
        <v>1434</v>
      </c>
      <c r="AE4" s="30">
        <f t="shared" si="2"/>
        <v>1442</v>
      </c>
      <c r="AF4" s="30">
        <f t="shared" si="2"/>
        <v>1492</v>
      </c>
      <c r="AG4" s="30">
        <f>+AG10+AG18+AG26+AG31+AG36+AG41+AG51+AG46+AG60+AG65+AG70+AG78+AG83+AG88+AG93+AG103+AG108+AG113+AG98</f>
        <v>1491</v>
      </c>
      <c r="AH4" s="30">
        <f>+AH10+AH18+AH26+AH31+AH36+AH41+AH51+AH46+AH60+AH65+AH70+AH78+AH83+AH88+AH93+AH103+AH108+AH113+AH98</f>
        <v>965</v>
      </c>
      <c r="AI4" s="276">
        <f>SUM(D4:AG4)</f>
        <v>39390</v>
      </c>
      <c r="AJ4" s="280">
        <f>+AI4/$A$1*$AK$1</f>
        <v>39390</v>
      </c>
      <c r="AK4" s="252"/>
      <c r="AL4" s="252"/>
    </row>
    <row r="5" spans="1:38" x14ac:dyDescent="0.3">
      <c r="A5" s="203"/>
      <c r="B5" s="33"/>
      <c r="C5" s="34" t="s">
        <v>16</v>
      </c>
      <c r="D5" s="35">
        <f t="shared" ref="D5" si="3">+D4/$A$4</f>
        <v>0.57453259221829212</v>
      </c>
      <c r="E5" s="35">
        <f t="shared" ref="E5:AH5" si="4">+E4/$A$4</f>
        <v>0.61546235472460842</v>
      </c>
      <c r="F5" s="35">
        <f t="shared" si="4"/>
        <v>0.48711470439615967</v>
      </c>
      <c r="G5" s="35">
        <f t="shared" si="4"/>
        <v>0.41232945932289033</v>
      </c>
      <c r="H5" s="35">
        <f t="shared" si="4"/>
        <v>0.55128852956038399</v>
      </c>
      <c r="I5" s="35">
        <f t="shared" si="4"/>
        <v>0.5912076806467913</v>
      </c>
      <c r="J5" s="35">
        <f t="shared" si="4"/>
        <v>0.63971702880242542</v>
      </c>
      <c r="K5" s="35">
        <f t="shared" si="4"/>
        <v>0.65588681152097017</v>
      </c>
      <c r="L5" s="35">
        <f t="shared" si="4"/>
        <v>0.67306720565942391</v>
      </c>
      <c r="M5" s="35">
        <f t="shared" si="4"/>
        <v>0.51086407276402224</v>
      </c>
      <c r="N5" s="35">
        <f t="shared" si="4"/>
        <v>0.69833249115715013</v>
      </c>
      <c r="O5" s="35">
        <f t="shared" si="4"/>
        <v>0.75947448206164725</v>
      </c>
      <c r="P5" s="35">
        <f t="shared" ref="P5" si="5">+P4/$A$4</f>
        <v>0.74027286508337542</v>
      </c>
      <c r="Q5" s="35">
        <f t="shared" si="4"/>
        <v>0.68519454269833246</v>
      </c>
      <c r="R5" s="35">
        <f t="shared" si="4"/>
        <v>0.67913087417887819</v>
      </c>
      <c r="S5" s="35">
        <f t="shared" si="4"/>
        <v>0.70641738251642239</v>
      </c>
      <c r="T5" s="35">
        <f t="shared" si="4"/>
        <v>0.53309752400202126</v>
      </c>
      <c r="U5" s="35">
        <f t="shared" si="4"/>
        <v>0.75088428499242044</v>
      </c>
      <c r="V5" s="35">
        <f t="shared" si="4"/>
        <v>0.81606872157655386</v>
      </c>
      <c r="W5" s="35">
        <f t="shared" si="4"/>
        <v>0.79484588175846382</v>
      </c>
      <c r="X5" s="35">
        <f t="shared" si="4"/>
        <v>0.77766548762001009</v>
      </c>
      <c r="Y5" s="35">
        <f t="shared" si="4"/>
        <v>0.67761495704901464</v>
      </c>
      <c r="Z5" s="35">
        <f t="shared" si="4"/>
        <v>0.70641738251642239</v>
      </c>
      <c r="AA5" s="35">
        <f t="shared" si="4"/>
        <v>0.48913592723597776</v>
      </c>
      <c r="AB5" s="35">
        <f t="shared" si="4"/>
        <v>0.65032844871147044</v>
      </c>
      <c r="AC5" s="35">
        <f t="shared" si="4"/>
        <v>0.76705406771096518</v>
      </c>
      <c r="AD5" s="35">
        <f t="shared" si="4"/>
        <v>0.72460838807478523</v>
      </c>
      <c r="AE5" s="35">
        <f t="shared" si="4"/>
        <v>0.72865083375442141</v>
      </c>
      <c r="AF5" s="35">
        <f t="shared" si="4"/>
        <v>0.75391611925214752</v>
      </c>
      <c r="AG5" s="35">
        <f t="shared" si="4"/>
        <v>0.75341081354219308</v>
      </c>
      <c r="AH5" s="35">
        <f t="shared" si="4"/>
        <v>0.48762001010611422</v>
      </c>
      <c r="AI5" s="281">
        <f>AI4/(A4*A$1)</f>
        <v>0.64206425532608513</v>
      </c>
      <c r="AJ5" s="282">
        <f>+AJ4/(A4*AK1)</f>
        <v>0.64206425532608513</v>
      </c>
      <c r="AK5" s="252"/>
    </row>
    <row r="6" spans="1:38" x14ac:dyDescent="0.3">
      <c r="A6" s="203"/>
      <c r="B6" s="33"/>
      <c r="C6" s="34" t="s">
        <v>17</v>
      </c>
      <c r="D6" s="37">
        <f t="shared" ref="D6" si="6">+IFERROR(D8/D4,0)</f>
        <v>122.92236587510995</v>
      </c>
      <c r="E6" s="37">
        <f t="shared" ref="E6:AH6" si="7">+IFERROR(E8/E4,0)</f>
        <v>115.07092775041052</v>
      </c>
      <c r="F6" s="37">
        <f t="shared" si="7"/>
        <v>107.06196058091287</v>
      </c>
      <c r="G6" s="37">
        <f t="shared" si="7"/>
        <v>105.89935049019607</v>
      </c>
      <c r="H6" s="37">
        <f t="shared" si="7"/>
        <v>115.17388634280479</v>
      </c>
      <c r="I6" s="37">
        <f t="shared" si="7"/>
        <v>114.0049658119658</v>
      </c>
      <c r="J6" s="37">
        <f t="shared" si="7"/>
        <v>114.12274881516589</v>
      </c>
      <c r="K6" s="37">
        <f t="shared" si="7"/>
        <v>123.28263482280433</v>
      </c>
      <c r="L6" s="37">
        <f t="shared" si="7"/>
        <v>121.72435435435435</v>
      </c>
      <c r="M6" s="37">
        <f t="shared" si="7"/>
        <v>109.79046488625123</v>
      </c>
      <c r="N6" s="37">
        <f t="shared" si="7"/>
        <v>118.03059334298119</v>
      </c>
      <c r="O6" s="37">
        <f t="shared" si="7"/>
        <v>120.17672654690621</v>
      </c>
      <c r="P6" s="37">
        <f t="shared" si="7"/>
        <v>121.3096928327645</v>
      </c>
      <c r="Q6" s="37">
        <f t="shared" si="7"/>
        <v>120.27435103244837</v>
      </c>
      <c r="R6" s="37">
        <f t="shared" si="7"/>
        <v>116.91758928571429</v>
      </c>
      <c r="S6" s="37">
        <f t="shared" si="7"/>
        <v>119.23615164520743</v>
      </c>
      <c r="T6" s="37">
        <f t="shared" si="7"/>
        <v>110.91174407582938</v>
      </c>
      <c r="U6" s="37">
        <f>+IFERROR(U8/U4,0)</f>
        <v>126.50756393001345</v>
      </c>
      <c r="V6" s="37">
        <f t="shared" si="7"/>
        <v>124.80564086687308</v>
      </c>
      <c r="W6" s="37">
        <f t="shared" si="7"/>
        <v>127.5695041322314</v>
      </c>
      <c r="X6" s="37">
        <f t="shared" si="7"/>
        <v>117.88957764782326</v>
      </c>
      <c r="Y6" s="37">
        <f t="shared" si="7"/>
        <v>119.71139448173004</v>
      </c>
      <c r="Z6" s="37">
        <f t="shared" si="7"/>
        <v>121.4683834048641</v>
      </c>
      <c r="AA6" s="37">
        <f t="shared" si="7"/>
        <v>112.40706611570248</v>
      </c>
      <c r="AB6" s="37">
        <f t="shared" si="7"/>
        <v>123.20867909867913</v>
      </c>
      <c r="AC6" s="37">
        <f t="shared" si="7"/>
        <v>127.1912911725955</v>
      </c>
      <c r="AD6" s="37">
        <f t="shared" si="7"/>
        <v>126.31143654114368</v>
      </c>
      <c r="AE6" s="37">
        <f t="shared" si="7"/>
        <v>118.63148404993066</v>
      </c>
      <c r="AF6" s="37">
        <f t="shared" si="7"/>
        <v>126.56328418230567</v>
      </c>
      <c r="AG6" s="37">
        <f t="shared" si="7"/>
        <v>123.64721663313215</v>
      </c>
      <c r="AH6" s="37">
        <f t="shared" si="7"/>
        <v>123.61987564766842</v>
      </c>
      <c r="AI6" s="283">
        <f>AI8/AI4</f>
        <v>122.84197004315817</v>
      </c>
      <c r="AJ6" s="279">
        <f>+AJ8/AJ4</f>
        <v>122.84197004315817</v>
      </c>
    </row>
    <row r="7" spans="1:38" x14ac:dyDescent="0.3">
      <c r="A7" s="203"/>
      <c r="B7" s="33"/>
      <c r="C7" s="34" t="s">
        <v>18</v>
      </c>
      <c r="D7" s="37">
        <f t="shared" ref="D7" si="8">+IFERROR(D6*D5,0)</f>
        <v>70.622905507832243</v>
      </c>
      <c r="E7" s="37">
        <f t="shared" ref="E7:AH7" si="9">+IFERROR(E6*E5,0)</f>
        <v>70.821824153612951</v>
      </c>
      <c r="F7" s="37">
        <f t="shared" si="9"/>
        <v>52.151455280444672</v>
      </c>
      <c r="G7" s="37">
        <f t="shared" si="9"/>
        <v>43.665421930267804</v>
      </c>
      <c r="H7" s="37">
        <f t="shared" si="9"/>
        <v>63.494042445679646</v>
      </c>
      <c r="I7" s="37">
        <f t="shared" si="9"/>
        <v>67.40061141990904</v>
      </c>
      <c r="J7" s="37">
        <f t="shared" si="9"/>
        <v>73.00626579080344</v>
      </c>
      <c r="K7" s="37">
        <f t="shared" si="9"/>
        <v>80.85945426983325</v>
      </c>
      <c r="L7" s="37">
        <f t="shared" si="9"/>
        <v>81.92867104598281</v>
      </c>
      <c r="M7" s="37">
        <f t="shared" si="9"/>
        <v>56.088004042445675</v>
      </c>
      <c r="N7" s="37">
        <f t="shared" si="9"/>
        <v>82.424598281960598</v>
      </c>
      <c r="O7" s="37">
        <f t="shared" si="9"/>
        <v>91.271157150075808</v>
      </c>
      <c r="P7" s="37">
        <f t="shared" si="9"/>
        <v>89.80227387569478</v>
      </c>
      <c r="Q7" s="37">
        <f t="shared" si="9"/>
        <v>82.411328954017165</v>
      </c>
      <c r="R7" s="37">
        <f t="shared" si="9"/>
        <v>79.402344618494183</v>
      </c>
      <c r="S7" s="37">
        <f t="shared" si="9"/>
        <v>84.230490146538642</v>
      </c>
      <c r="T7" s="37">
        <f t="shared" si="9"/>
        <v>59.126776149570489</v>
      </c>
      <c r="U7" s="37">
        <f t="shared" si="9"/>
        <v>94.992541687721058</v>
      </c>
      <c r="V7" s="37">
        <f t="shared" si="9"/>
        <v>101.84997978777162</v>
      </c>
      <c r="W7" s="37">
        <f t="shared" si="9"/>
        <v>101.39809499747346</v>
      </c>
      <c r="X7" s="37">
        <f t="shared" si="9"/>
        <v>91.678655886811512</v>
      </c>
      <c r="Y7" s="37">
        <f t="shared" si="9"/>
        <v>81.118231430015143</v>
      </c>
      <c r="Z7" s="37">
        <f t="shared" si="9"/>
        <v>85.807377463365341</v>
      </c>
      <c r="AA7" s="37">
        <f t="shared" si="9"/>
        <v>54.982334512379985</v>
      </c>
      <c r="AB7" s="37">
        <f t="shared" si="9"/>
        <v>80.126109146033372</v>
      </c>
      <c r="AC7" s="37">
        <f t="shared" si="9"/>
        <v>97.562597271349162</v>
      </c>
      <c r="AD7" s="37">
        <f t="shared" si="9"/>
        <v>91.526326427488641</v>
      </c>
      <c r="AE7" s="37">
        <f t="shared" si="9"/>
        <v>86.440929762506329</v>
      </c>
      <c r="AF7" s="37">
        <f t="shared" si="9"/>
        <v>95.418100050530597</v>
      </c>
      <c r="AG7" s="37">
        <f t="shared" si="9"/>
        <v>93.157150075795883</v>
      </c>
      <c r="AH7" s="37">
        <f t="shared" si="9"/>
        <v>60.279525012632661</v>
      </c>
      <c r="AI7" s="283">
        <f>AI6*AI5</f>
        <v>78.872438018549602</v>
      </c>
      <c r="AJ7" s="279">
        <f>+AJ5*AJ6</f>
        <v>78.872438018549602</v>
      </c>
    </row>
    <row r="8" spans="1:38" ht="15" thickBot="1" x14ac:dyDescent="0.35">
      <c r="A8" s="203"/>
      <c r="B8" s="33"/>
      <c r="C8" s="34" t="s">
        <v>19</v>
      </c>
      <c r="D8" s="158">
        <f>+D22+D35+D40+D45+D30+D59+D64+D69+D74+D82+D87+D92+D97+D102+D107+D112+D117+D14</f>
        <v>139762.73000000001</v>
      </c>
      <c r="E8" s="158">
        <f t="shared" ref="E8:AF8" si="10">+E22+E35+E40+E45+E30+E59+E64+E69+E74+E82+E87+E92+E97+E102+E107+E112+E117+E14</f>
        <v>140156.39000000001</v>
      </c>
      <c r="F8" s="158">
        <f t="shared" si="10"/>
        <v>103207.73000000001</v>
      </c>
      <c r="G8" s="158">
        <f t="shared" si="10"/>
        <v>86413.87</v>
      </c>
      <c r="H8" s="158">
        <f t="shared" si="10"/>
        <v>125654.71000000002</v>
      </c>
      <c r="I8" s="158">
        <f t="shared" si="10"/>
        <v>133385.81</v>
      </c>
      <c r="J8" s="158">
        <f t="shared" si="10"/>
        <v>144479.40000000002</v>
      </c>
      <c r="K8" s="158">
        <f t="shared" si="10"/>
        <v>160020.86000000002</v>
      </c>
      <c r="L8" s="158">
        <f t="shared" si="10"/>
        <v>162136.84</v>
      </c>
      <c r="M8" s="158">
        <f>+M22+M35+M40+M45+M30+M59+M64+M69+M74+M82+M87+M92+M97+M102+M107+M112+M117+M14</f>
        <v>110998.15999999999</v>
      </c>
      <c r="N8" s="158">
        <f>+N22+N35+N40+N45+N30+N59+N64+N69+N74+N82+N87+N92+N97+N102+N107+N112+N117+N14</f>
        <v>163118.28</v>
      </c>
      <c r="O8" s="158">
        <f>+O22+O35+O40+O45+O30+O59+O64+O69+O74+O82+O87+O92+O97+O102+O107+O112+O117+O14</f>
        <v>180625.62000000002</v>
      </c>
      <c r="P8" s="158">
        <f t="shared" si="10"/>
        <v>177718.69999999998</v>
      </c>
      <c r="Q8" s="158">
        <f t="shared" si="10"/>
        <v>163092.01999999999</v>
      </c>
      <c r="R8" s="158">
        <f t="shared" si="10"/>
        <v>157137.24</v>
      </c>
      <c r="S8" s="158">
        <f t="shared" si="10"/>
        <v>166692.13999999998</v>
      </c>
      <c r="T8" s="158">
        <f t="shared" si="10"/>
        <v>117011.88999999998</v>
      </c>
      <c r="U8" s="158">
        <f t="shared" si="10"/>
        <v>187990.24</v>
      </c>
      <c r="V8" s="158">
        <f t="shared" si="10"/>
        <v>201561.11000000002</v>
      </c>
      <c r="W8" s="158">
        <f t="shared" si="10"/>
        <v>200666.83</v>
      </c>
      <c r="X8" s="158">
        <f t="shared" si="10"/>
        <v>181432.06</v>
      </c>
      <c r="Y8" s="158">
        <f t="shared" si="10"/>
        <v>160532.97999999998</v>
      </c>
      <c r="Z8" s="158">
        <f t="shared" si="10"/>
        <v>169812.80000000002</v>
      </c>
      <c r="AA8" s="158">
        <f t="shared" si="10"/>
        <v>108810.04</v>
      </c>
      <c r="AB8" s="158">
        <f t="shared" si="10"/>
        <v>158569.57000000004</v>
      </c>
      <c r="AC8" s="158">
        <f t="shared" si="10"/>
        <v>193076.37999999998</v>
      </c>
      <c r="AD8" s="158">
        <f t="shared" si="10"/>
        <v>181130.60000000003</v>
      </c>
      <c r="AE8" s="158">
        <f t="shared" si="10"/>
        <v>171066.6</v>
      </c>
      <c r="AF8" s="158">
        <f t="shared" si="10"/>
        <v>188832.42000000004</v>
      </c>
      <c r="AG8" s="158">
        <f>+AG22+AG35+AG40+AG45+AG30+AG59+AG64+AG69+AG74+AG82+AG87+AG92+AG97+AG102+AG107+AG112+AG117+AG14</f>
        <v>184358.00000000003</v>
      </c>
      <c r="AH8" s="158">
        <f>+AH22+AH35+AH40+AH45+AH30+AH59+AH64+AH69+AH74+AH82+AH87+AH92+AH97+AH102+AH107+AH112+AH117+AH14</f>
        <v>119293.18000000002</v>
      </c>
      <c r="AI8" s="284">
        <f>SUM(D8:AH8)</f>
        <v>4838745.2</v>
      </c>
      <c r="AJ8" s="285">
        <f>+AI8/A1*AK1</f>
        <v>4838745.2</v>
      </c>
      <c r="AK8" s="251"/>
    </row>
    <row r="9" spans="1:38" ht="15" hidden="1" thickBot="1" x14ac:dyDescent="0.35">
      <c r="A9" s="237"/>
      <c r="B9" s="48"/>
      <c r="C9" s="41" t="s">
        <v>20</v>
      </c>
      <c r="D9" s="49">
        <f>IFERROR(AVERAGE(#REF!,#REF!,#REF!,#REF!,#REF!,#REF!,#REF!,#REF!,#REF!,#REF!,#REF!,#REF!,#REF!,#REF!,#REF!,#REF!,#REF!),0)</f>
        <v>0</v>
      </c>
      <c r="E9" s="49">
        <f>IFERROR(AVERAGE(#REF!,#REF!,#REF!,#REF!,#REF!,#REF!,#REF!,#REF!,#REF!,#REF!,#REF!,#REF!,#REF!,#REF!,#REF!,#REF!,#REF!),0)</f>
        <v>0</v>
      </c>
      <c r="F9" s="49">
        <f>IFERROR(AVERAGE(#REF!,#REF!,#REF!,#REF!,#REF!,#REF!,#REF!,#REF!,#REF!,#REF!,#REF!,#REF!,#REF!,#REF!,#REF!,#REF!,#REF!),0)</f>
        <v>0</v>
      </c>
      <c r="G9" s="49">
        <f>IFERROR(AVERAGE(#REF!,#REF!,#REF!,#REF!,#REF!,#REF!,#REF!,#REF!,#REF!,#REF!,#REF!,#REF!,#REF!,#REF!,#REF!,#REF!,#REF!),0)</f>
        <v>0</v>
      </c>
      <c r="H9" s="49">
        <f>IFERROR(AVERAGE(#REF!,#REF!,#REF!,#REF!,#REF!,#REF!,#REF!,#REF!,#REF!,#REF!,#REF!,#REF!,#REF!,#REF!,#REF!,#REF!,#REF!),0)</f>
        <v>0</v>
      </c>
      <c r="I9" s="49">
        <f>IFERROR(AVERAGE(#REF!,#REF!,#REF!,#REF!,#REF!,#REF!,#REF!,#REF!,#REF!,#REF!,#REF!,#REF!,#REF!,#REF!,#REF!,#REF!,#REF!),0)</f>
        <v>0</v>
      </c>
      <c r="J9" s="49">
        <f>IFERROR(AVERAGE(#REF!,#REF!,#REF!,#REF!,#REF!,#REF!,#REF!,#REF!,#REF!,#REF!,#REF!,#REF!,#REF!,#REF!,#REF!,#REF!,#REF!),0)</f>
        <v>0</v>
      </c>
      <c r="K9" s="49">
        <f>IFERROR(AVERAGE(#REF!,#REF!,#REF!,#REF!,#REF!,#REF!,#REF!,#REF!,#REF!,#REF!,#REF!,#REF!,#REF!,#REF!,#REF!,#REF!,#REF!),0)</f>
        <v>0</v>
      </c>
      <c r="L9" s="49">
        <f>IFERROR(AVERAGE(#REF!,#REF!,#REF!,#REF!,#REF!,#REF!,#REF!,#REF!,#REF!,#REF!,#REF!,#REF!,#REF!,#REF!,#REF!,#REF!,#REF!),0)</f>
        <v>0</v>
      </c>
      <c r="M9" s="49">
        <f>IFERROR(AVERAGE(#REF!,#REF!,#REF!,#REF!,#REF!,#REF!,#REF!,#REF!,#REF!,#REF!,#REF!,#REF!,#REF!,#REF!,#REF!,#REF!,#REF!),0)</f>
        <v>0</v>
      </c>
      <c r="N9" s="49">
        <f>IFERROR(AVERAGE(#REF!,#REF!,#REF!,#REF!,#REF!,#REF!,#REF!,#REF!,#REF!,#REF!,#REF!,#REF!,#REF!,#REF!,#REF!,#REF!,#REF!),0)</f>
        <v>0</v>
      </c>
      <c r="O9" s="49">
        <f>IFERROR(AVERAGE(#REF!,#REF!,#REF!,#REF!,#REF!,#REF!,#REF!,#REF!,#REF!,#REF!,#REF!,#REF!,#REF!,#REF!,#REF!,#REF!,#REF!),0)</f>
        <v>0</v>
      </c>
      <c r="P9" s="49">
        <f>IFERROR(AVERAGE(#REF!,#REF!,#REF!,#REF!,#REF!,#REF!,#REF!,#REF!,#REF!,#REF!,#REF!,#REF!,#REF!,#REF!,#REF!,#REF!,#REF!),0)</f>
        <v>0</v>
      </c>
      <c r="Q9" s="49">
        <f>IFERROR(AVERAGE(#REF!,#REF!,#REF!,#REF!,#REF!,#REF!,#REF!,#REF!,#REF!,#REF!,#REF!,#REF!,#REF!,#REF!,#REF!,#REF!,#REF!),0)</f>
        <v>0</v>
      </c>
      <c r="R9" s="49">
        <f>IFERROR(AVERAGE(#REF!,#REF!,#REF!,#REF!,#REF!,#REF!,#REF!,#REF!,#REF!,#REF!,#REF!,#REF!,#REF!,#REF!,#REF!,#REF!,#REF!),0)</f>
        <v>0</v>
      </c>
      <c r="S9" s="49">
        <f>IFERROR(AVERAGE(#REF!,#REF!,#REF!,#REF!,#REF!,#REF!,#REF!,#REF!,#REF!,#REF!,#REF!,#REF!,#REF!,#REF!,#REF!,#REF!,#REF!),0)</f>
        <v>0</v>
      </c>
      <c r="T9" s="49">
        <f>IFERROR(AVERAGE(#REF!,#REF!,#REF!,#REF!,#REF!,#REF!,#REF!,#REF!,#REF!,#REF!,#REF!,#REF!,#REF!,#REF!,#REF!,#REF!,#REF!),0)</f>
        <v>0</v>
      </c>
      <c r="U9" s="49">
        <f>IFERROR(AVERAGE(#REF!,#REF!,#REF!,#REF!,#REF!,#REF!,#REF!,#REF!,#REF!,#REF!,#REF!,#REF!,#REF!,#REF!,#REF!,#REF!,#REF!),0)</f>
        <v>0</v>
      </c>
      <c r="V9" s="49">
        <f>IFERROR(AVERAGE(#REF!,#REF!,#REF!,#REF!,#REF!,#REF!,#REF!,#REF!,#REF!,#REF!,#REF!,#REF!,#REF!,#REF!,#REF!,#REF!,#REF!),0)</f>
        <v>0</v>
      </c>
      <c r="W9" s="49">
        <f>IFERROR(AVERAGE(#REF!,#REF!,#REF!,#REF!,#REF!,#REF!,#REF!,#REF!,#REF!,#REF!,#REF!,#REF!,#REF!,#REF!,#REF!,#REF!,#REF!),0)</f>
        <v>0</v>
      </c>
      <c r="X9" s="49">
        <f>IFERROR(AVERAGE(#REF!,#REF!,#REF!,#REF!,#REF!,#REF!,#REF!,#REF!,#REF!,#REF!,#REF!,#REF!,#REF!,#REF!,#REF!,#REF!,#REF!),0)</f>
        <v>0</v>
      </c>
      <c r="Y9" s="49">
        <f>IFERROR(AVERAGE(#REF!,#REF!,#REF!,#REF!,#REF!,#REF!,#REF!,#REF!,#REF!,#REF!,#REF!,#REF!,#REF!,#REF!,#REF!,#REF!,#REF!),0)</f>
        <v>0</v>
      </c>
      <c r="Z9" s="49">
        <f>IFERROR(AVERAGE(#REF!,#REF!,#REF!,#REF!,#REF!,#REF!,#REF!,#REF!,#REF!,#REF!,#REF!,#REF!,#REF!,#REF!,#REF!,#REF!,#REF!),0)</f>
        <v>0</v>
      </c>
      <c r="AA9" s="49">
        <f>IFERROR(AVERAGE(#REF!,#REF!,#REF!,#REF!,#REF!,#REF!,#REF!,#REF!,#REF!,#REF!,#REF!,#REF!,#REF!,#REF!,#REF!,#REF!,#REF!),0)</f>
        <v>0</v>
      </c>
      <c r="AB9" s="49">
        <f>IFERROR(AVERAGE(#REF!,#REF!,#REF!,#REF!,#REF!,#REF!,#REF!,#REF!,#REF!,#REF!,#REF!,#REF!,#REF!,#REF!,#REF!,#REF!,#REF!),0)</f>
        <v>0</v>
      </c>
      <c r="AC9" s="49">
        <f>IFERROR(AVERAGE(#REF!,#REF!,#REF!,#REF!,#REF!,#REF!,#REF!,#REF!,#REF!,#REF!,#REF!,#REF!,#REF!,#REF!,#REF!,#REF!,#REF!),0)</f>
        <v>0</v>
      </c>
      <c r="AD9" s="49"/>
      <c r="AE9" s="49"/>
      <c r="AF9" s="49"/>
      <c r="AG9" s="49"/>
      <c r="AH9" s="49"/>
      <c r="AI9" s="286">
        <f>AVERAGE(D9:AE9)</f>
        <v>0</v>
      </c>
      <c r="AJ9" s="287"/>
    </row>
    <row r="10" spans="1:38" ht="15" thickTop="1" x14ac:dyDescent="0.3">
      <c r="A10" s="203">
        <v>103</v>
      </c>
      <c r="B10" s="159" t="s">
        <v>21</v>
      </c>
      <c r="C10" s="160" t="s">
        <v>15</v>
      </c>
      <c r="D10" s="161">
        <v>73</v>
      </c>
      <c r="E10" s="161">
        <v>78</v>
      </c>
      <c r="F10" s="161">
        <v>65</v>
      </c>
      <c r="G10" s="161">
        <v>57</v>
      </c>
      <c r="H10" s="161">
        <v>72</v>
      </c>
      <c r="I10" s="161">
        <v>92</v>
      </c>
      <c r="J10" s="161">
        <v>99</v>
      </c>
      <c r="K10" s="161">
        <v>80</v>
      </c>
      <c r="L10" s="161">
        <v>82</v>
      </c>
      <c r="M10" s="161">
        <v>56</v>
      </c>
      <c r="N10" s="161">
        <v>87</v>
      </c>
      <c r="O10" s="161">
        <v>95</v>
      </c>
      <c r="P10" s="161">
        <v>97</v>
      </c>
      <c r="Q10" s="161">
        <v>93</v>
      </c>
      <c r="R10" s="161">
        <v>77</v>
      </c>
      <c r="S10" s="161">
        <v>72</v>
      </c>
      <c r="T10" s="161">
        <v>69</v>
      </c>
      <c r="U10" s="161">
        <v>99</v>
      </c>
      <c r="V10" s="161">
        <v>101</v>
      </c>
      <c r="W10" s="161">
        <v>95</v>
      </c>
      <c r="X10" s="161">
        <v>83</v>
      </c>
      <c r="Y10" s="161">
        <v>77</v>
      </c>
      <c r="Z10" s="161">
        <v>61</v>
      </c>
      <c r="AA10" s="161">
        <v>62</v>
      </c>
      <c r="AB10" s="161">
        <v>78</v>
      </c>
      <c r="AC10" s="161">
        <v>90</v>
      </c>
      <c r="AD10" s="161">
        <v>80</v>
      </c>
      <c r="AE10" s="161">
        <v>67</v>
      </c>
      <c r="AF10" s="161">
        <v>56</v>
      </c>
      <c r="AG10" s="161">
        <v>73</v>
      </c>
      <c r="AH10" s="161">
        <v>50</v>
      </c>
      <c r="AI10" s="288">
        <f>SUM(D10:AH10)</f>
        <v>2416</v>
      </c>
      <c r="AJ10" s="289">
        <f>+$AI10/$A$1*$AK$1</f>
        <v>2416</v>
      </c>
    </row>
    <row r="11" spans="1:38" x14ac:dyDescent="0.3">
      <c r="A11" s="203"/>
      <c r="B11" s="162"/>
      <c r="C11" s="163" t="s">
        <v>16</v>
      </c>
      <c r="D11" s="164">
        <f>+D10/$A10</f>
        <v>0.70873786407766992</v>
      </c>
      <c r="E11" s="164">
        <f t="shared" ref="E11:AH11" si="11">+E10/$A10</f>
        <v>0.75728155339805825</v>
      </c>
      <c r="F11" s="164">
        <f t="shared" si="11"/>
        <v>0.6310679611650486</v>
      </c>
      <c r="G11" s="164">
        <f t="shared" si="11"/>
        <v>0.55339805825242716</v>
      </c>
      <c r="H11" s="164">
        <f t="shared" si="11"/>
        <v>0.69902912621359226</v>
      </c>
      <c r="I11" s="164">
        <f t="shared" si="11"/>
        <v>0.89320388349514568</v>
      </c>
      <c r="J11" s="164">
        <f t="shared" si="11"/>
        <v>0.96116504854368934</v>
      </c>
      <c r="K11" s="164">
        <f t="shared" si="11"/>
        <v>0.77669902912621358</v>
      </c>
      <c r="L11" s="164">
        <f t="shared" si="11"/>
        <v>0.79611650485436891</v>
      </c>
      <c r="M11" s="164">
        <f t="shared" si="11"/>
        <v>0.5436893203883495</v>
      </c>
      <c r="N11" s="164">
        <f t="shared" si="11"/>
        <v>0.84466019417475724</v>
      </c>
      <c r="O11" s="164">
        <f t="shared" si="11"/>
        <v>0.92233009708737868</v>
      </c>
      <c r="P11" s="164">
        <f t="shared" si="11"/>
        <v>0.94174757281553401</v>
      </c>
      <c r="Q11" s="164">
        <f t="shared" si="11"/>
        <v>0.90291262135922334</v>
      </c>
      <c r="R11" s="164">
        <f t="shared" si="11"/>
        <v>0.74757281553398058</v>
      </c>
      <c r="S11" s="164">
        <f t="shared" si="11"/>
        <v>0.69902912621359226</v>
      </c>
      <c r="T11" s="164">
        <f t="shared" si="11"/>
        <v>0.66990291262135926</v>
      </c>
      <c r="U11" s="164">
        <f t="shared" si="11"/>
        <v>0.96116504854368934</v>
      </c>
      <c r="V11" s="164">
        <f t="shared" si="11"/>
        <v>0.98058252427184467</v>
      </c>
      <c r="W11" s="164">
        <f t="shared" si="11"/>
        <v>0.92233009708737868</v>
      </c>
      <c r="X11" s="164">
        <f t="shared" si="11"/>
        <v>0.80582524271844658</v>
      </c>
      <c r="Y11" s="164">
        <f t="shared" si="11"/>
        <v>0.74757281553398058</v>
      </c>
      <c r="Z11" s="164">
        <f t="shared" si="11"/>
        <v>0.59223300970873782</v>
      </c>
      <c r="AA11" s="164">
        <f t="shared" si="11"/>
        <v>0.60194174757281549</v>
      </c>
      <c r="AB11" s="164">
        <f t="shared" si="11"/>
        <v>0.75728155339805825</v>
      </c>
      <c r="AC11" s="164">
        <f t="shared" si="11"/>
        <v>0.87378640776699024</v>
      </c>
      <c r="AD11" s="164">
        <f t="shared" ref="AD11" si="12">+AD10/$A10</f>
        <v>0.77669902912621358</v>
      </c>
      <c r="AE11" s="164">
        <f t="shared" si="11"/>
        <v>0.65048543689320393</v>
      </c>
      <c r="AF11" s="164">
        <f t="shared" si="11"/>
        <v>0.5436893203883495</v>
      </c>
      <c r="AG11" s="164">
        <f t="shared" si="11"/>
        <v>0.70873786407766992</v>
      </c>
      <c r="AH11" s="164">
        <f t="shared" si="11"/>
        <v>0.4854368932038835</v>
      </c>
      <c r="AI11" s="290">
        <f>+AI10/(A10*A$1)</f>
        <v>0.75665518321327907</v>
      </c>
      <c r="AJ11" s="291">
        <f>AJ10/($A10*AK1)</f>
        <v>0.75665518321327907</v>
      </c>
    </row>
    <row r="12" spans="1:38" x14ac:dyDescent="0.3">
      <c r="A12" s="203"/>
      <c r="B12" s="162"/>
      <c r="C12" s="163" t="s">
        <v>17</v>
      </c>
      <c r="D12" s="165">
        <f t="shared" ref="D12:AH12" si="13">+IFERROR(D14/D10,0)</f>
        <v>121.76712328767124</v>
      </c>
      <c r="E12" s="165">
        <f t="shared" si="13"/>
        <v>124.23076923076923</v>
      </c>
      <c r="F12" s="165">
        <f t="shared" si="13"/>
        <v>120.37846153846155</v>
      </c>
      <c r="G12" s="165">
        <f t="shared" si="13"/>
        <v>123.80701754385964</v>
      </c>
      <c r="H12" s="165">
        <f t="shared" si="13"/>
        <v>125.84722222222223</v>
      </c>
      <c r="I12" s="165">
        <f t="shared" si="13"/>
        <v>132.96978260869565</v>
      </c>
      <c r="J12" s="165">
        <f t="shared" si="13"/>
        <v>131.25232323232322</v>
      </c>
      <c r="K12" s="165">
        <f t="shared" si="13"/>
        <v>125.1935</v>
      </c>
      <c r="L12" s="165">
        <f t="shared" si="13"/>
        <v>127.16426829268292</v>
      </c>
      <c r="M12" s="165">
        <f t="shared" si="13"/>
        <v>130.10232142857143</v>
      </c>
      <c r="N12" s="165">
        <f t="shared" si="13"/>
        <v>131.00321839080462</v>
      </c>
      <c r="O12" s="165">
        <f t="shared" si="13"/>
        <v>136.38852631578948</v>
      </c>
      <c r="P12" s="165">
        <f t="shared" si="13"/>
        <v>134.64938144329898</v>
      </c>
      <c r="Q12" s="165">
        <f t="shared" si="13"/>
        <v>140.23956989247313</v>
      </c>
      <c r="R12" s="165">
        <f t="shared" si="13"/>
        <v>137.25870129870131</v>
      </c>
      <c r="S12" s="165">
        <f t="shared" si="13"/>
        <v>129.60847222222222</v>
      </c>
      <c r="T12" s="165">
        <f t="shared" si="13"/>
        <v>132.27478260869563</v>
      </c>
      <c r="U12" s="165">
        <f t="shared" si="13"/>
        <v>127.99959595959595</v>
      </c>
      <c r="V12" s="165">
        <f t="shared" si="13"/>
        <v>130.32633663366335</v>
      </c>
      <c r="W12" s="165">
        <f t="shared" si="13"/>
        <v>138.02063157894736</v>
      </c>
      <c r="X12" s="165">
        <f t="shared" si="13"/>
        <v>131.11277108433737</v>
      </c>
      <c r="Y12" s="165">
        <f t="shared" si="13"/>
        <v>138.22844155844157</v>
      </c>
      <c r="Z12" s="165">
        <f t="shared" si="13"/>
        <v>132.87147540983605</v>
      </c>
      <c r="AA12" s="165">
        <f t="shared" si="13"/>
        <v>124.00403225806451</v>
      </c>
      <c r="AB12" s="165">
        <f t="shared" si="13"/>
        <v>128.5501282051282</v>
      </c>
      <c r="AC12" s="165">
        <f t="shared" si="13"/>
        <v>130.34788888888889</v>
      </c>
      <c r="AD12" s="165">
        <f t="shared" ref="AD12" si="14">+IFERROR(AD14/AD10,0)</f>
        <v>132.13325</v>
      </c>
      <c r="AE12" s="165">
        <f t="shared" si="13"/>
        <v>124.34328358208955</v>
      </c>
      <c r="AF12" s="165">
        <f t="shared" si="13"/>
        <v>140.01249999999999</v>
      </c>
      <c r="AG12" s="165">
        <f t="shared" si="13"/>
        <v>142.04109589041096</v>
      </c>
      <c r="AH12" s="165">
        <f t="shared" si="13"/>
        <v>129.16200000000001</v>
      </c>
      <c r="AI12" s="292">
        <f>+IFERROR(AI14/AI10,0)</f>
        <v>131.0250620860927</v>
      </c>
      <c r="AJ12" s="293">
        <f>+AJ14/AJ10</f>
        <v>131.0250620860927</v>
      </c>
    </row>
    <row r="13" spans="1:38" x14ac:dyDescent="0.3">
      <c r="A13" s="203"/>
      <c r="B13" s="162"/>
      <c r="C13" s="163" t="s">
        <v>18</v>
      </c>
      <c r="D13" s="165">
        <f>+D11*D12</f>
        <v>86.300970873786412</v>
      </c>
      <c r="E13" s="165">
        <f t="shared" ref="E13:AH13" si="15">+E11*E12</f>
        <v>94.077669902912618</v>
      </c>
      <c r="F13" s="165">
        <f t="shared" si="15"/>
        <v>75.96699029126215</v>
      </c>
      <c r="G13" s="165">
        <f t="shared" si="15"/>
        <v>68.514563106796118</v>
      </c>
      <c r="H13" s="165">
        <f t="shared" si="15"/>
        <v>87.970873786407779</v>
      </c>
      <c r="I13" s="165">
        <f t="shared" si="15"/>
        <v>118.76912621359224</v>
      </c>
      <c r="J13" s="165">
        <f t="shared" si="15"/>
        <v>126.15514563106795</v>
      </c>
      <c r="K13" s="165">
        <f t="shared" si="15"/>
        <v>97.237669902912614</v>
      </c>
      <c r="L13" s="165">
        <f t="shared" si="15"/>
        <v>101.23757281553397</v>
      </c>
      <c r="M13" s="165">
        <f t="shared" si="15"/>
        <v>70.735242718446599</v>
      </c>
      <c r="N13" s="165">
        <f t="shared" si="15"/>
        <v>110.65320388349515</v>
      </c>
      <c r="O13" s="165">
        <f t="shared" si="15"/>
        <v>125.79524271844662</v>
      </c>
      <c r="P13" s="165">
        <f t="shared" si="15"/>
        <v>126.80572815533982</v>
      </c>
      <c r="Q13" s="165">
        <f t="shared" si="15"/>
        <v>126.62407766990293</v>
      </c>
      <c r="R13" s="165">
        <f t="shared" si="15"/>
        <v>102.61087378640778</v>
      </c>
      <c r="S13" s="165">
        <f t="shared" si="15"/>
        <v>90.600097087378643</v>
      </c>
      <c r="T13" s="165">
        <f t="shared" si="15"/>
        <v>88.611262135922317</v>
      </c>
      <c r="U13" s="165">
        <f t="shared" si="15"/>
        <v>123.02873786407767</v>
      </c>
      <c r="V13" s="165">
        <f t="shared" si="15"/>
        <v>127.79572815533979</v>
      </c>
      <c r="W13" s="165">
        <f t="shared" si="15"/>
        <v>127.30058252427185</v>
      </c>
      <c r="X13" s="165">
        <f t="shared" si="15"/>
        <v>105.65398058252428</v>
      </c>
      <c r="Y13" s="165">
        <f t="shared" si="15"/>
        <v>103.33582524271846</v>
      </c>
      <c r="Z13" s="165">
        <f t="shared" si="15"/>
        <v>78.690873786407749</v>
      </c>
      <c r="AA13" s="165">
        <f t="shared" si="15"/>
        <v>74.643203883495133</v>
      </c>
      <c r="AB13" s="165">
        <f t="shared" si="15"/>
        <v>97.348640776699028</v>
      </c>
      <c r="AC13" s="165">
        <f t="shared" si="15"/>
        <v>113.896213592233</v>
      </c>
      <c r="AD13" s="165">
        <f t="shared" ref="AD13" si="16">+AD11*AD12</f>
        <v>102.62776699029126</v>
      </c>
      <c r="AE13" s="165">
        <f t="shared" si="15"/>
        <v>80.883495145631073</v>
      </c>
      <c r="AF13" s="165">
        <f t="shared" si="15"/>
        <v>76.123300970873771</v>
      </c>
      <c r="AG13" s="165">
        <f t="shared" si="15"/>
        <v>100.66990291262137</v>
      </c>
      <c r="AH13" s="165">
        <f t="shared" si="15"/>
        <v>62.7</v>
      </c>
      <c r="AI13" s="292">
        <f>+AI12*AI11</f>
        <v>99.140792358283733</v>
      </c>
      <c r="AJ13" s="293">
        <f>+AJ11*AJ12</f>
        <v>99.140792358283733</v>
      </c>
    </row>
    <row r="14" spans="1:38" ht="15" thickBot="1" x14ac:dyDescent="0.35">
      <c r="A14" s="203"/>
      <c r="B14" s="162"/>
      <c r="C14" s="163" t="s">
        <v>19</v>
      </c>
      <c r="D14" s="166">
        <v>8889</v>
      </c>
      <c r="E14" s="166">
        <v>9690</v>
      </c>
      <c r="F14" s="166">
        <v>7824.6</v>
      </c>
      <c r="G14" s="166">
        <v>7057</v>
      </c>
      <c r="H14" s="166">
        <v>9061</v>
      </c>
      <c r="I14" s="166">
        <v>12233.22</v>
      </c>
      <c r="J14" s="166">
        <v>12993.98</v>
      </c>
      <c r="K14" s="166">
        <v>10015.48</v>
      </c>
      <c r="L14" s="166">
        <v>10427.469999999999</v>
      </c>
      <c r="M14" s="166">
        <v>7285.73</v>
      </c>
      <c r="N14" s="166">
        <v>11397.28</v>
      </c>
      <c r="O14" s="166">
        <v>12956.91</v>
      </c>
      <c r="P14" s="166">
        <v>13060.99</v>
      </c>
      <c r="Q14" s="166">
        <v>13042.28</v>
      </c>
      <c r="R14" s="166">
        <v>10568.92</v>
      </c>
      <c r="S14" s="166">
        <v>9331.81</v>
      </c>
      <c r="T14" s="166">
        <v>9126.9599999999991</v>
      </c>
      <c r="U14" s="166">
        <v>12671.96</v>
      </c>
      <c r="V14" s="166">
        <v>13162.96</v>
      </c>
      <c r="W14" s="166">
        <v>13111.96</v>
      </c>
      <c r="X14" s="166">
        <v>10882.36</v>
      </c>
      <c r="Y14" s="166">
        <v>10643.59</v>
      </c>
      <c r="Z14" s="166">
        <v>8105.16</v>
      </c>
      <c r="AA14" s="166">
        <v>7688.25</v>
      </c>
      <c r="AB14" s="166">
        <v>10026.91</v>
      </c>
      <c r="AC14" s="166">
        <v>11731.31</v>
      </c>
      <c r="AD14" s="166">
        <v>10570.66</v>
      </c>
      <c r="AE14" s="166">
        <v>8331</v>
      </c>
      <c r="AF14" s="166">
        <v>7840.7</v>
      </c>
      <c r="AG14" s="166">
        <v>10369</v>
      </c>
      <c r="AH14" s="166">
        <v>6458.1</v>
      </c>
      <c r="AI14" s="294">
        <f>SUM(D14:AH14)</f>
        <v>316556.55</v>
      </c>
      <c r="AJ14" s="295">
        <f>+AI14/A1*AK1</f>
        <v>316556.55</v>
      </c>
    </row>
    <row r="15" spans="1:38" ht="15" hidden="1" thickBot="1" x14ac:dyDescent="0.35">
      <c r="A15" s="237"/>
      <c r="B15" s="167"/>
      <c r="C15" s="163" t="s">
        <v>22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296"/>
      <c r="AJ15" s="293"/>
    </row>
    <row r="16" spans="1:38" ht="15" hidden="1" thickBot="1" x14ac:dyDescent="0.35">
      <c r="A16" s="237"/>
      <c r="B16" s="167"/>
      <c r="C16" s="163" t="s">
        <v>23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296"/>
      <c r="AJ16" s="293"/>
    </row>
    <row r="17" spans="1:36" ht="15" hidden="1" thickBot="1" x14ac:dyDescent="0.35">
      <c r="A17" s="237"/>
      <c r="B17" s="167"/>
      <c r="C17" s="163" t="s">
        <v>24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297"/>
      <c r="AJ17" s="298"/>
    </row>
    <row r="18" spans="1:36" ht="15" thickTop="1" x14ac:dyDescent="0.3">
      <c r="A18" s="203">
        <v>118</v>
      </c>
      <c r="B18" s="28" t="s">
        <v>25</v>
      </c>
      <c r="C18" s="29" t="s">
        <v>15</v>
      </c>
      <c r="D18" s="30">
        <v>105</v>
      </c>
      <c r="E18" s="30">
        <v>113</v>
      </c>
      <c r="F18" s="30">
        <v>103</v>
      </c>
      <c r="G18" s="30">
        <v>87</v>
      </c>
      <c r="H18" s="30">
        <v>93</v>
      </c>
      <c r="I18" s="30">
        <v>100</v>
      </c>
      <c r="J18" s="30">
        <v>105</v>
      </c>
      <c r="K18" s="30">
        <v>107</v>
      </c>
      <c r="L18" s="30">
        <v>108</v>
      </c>
      <c r="M18" s="30">
        <v>75</v>
      </c>
      <c r="N18" s="30">
        <v>107</v>
      </c>
      <c r="O18" s="30">
        <v>114</v>
      </c>
      <c r="P18" s="30">
        <v>114</v>
      </c>
      <c r="Q18" s="30">
        <v>104</v>
      </c>
      <c r="R18" s="30">
        <v>103</v>
      </c>
      <c r="S18" s="30">
        <v>107</v>
      </c>
      <c r="T18" s="30">
        <v>83</v>
      </c>
      <c r="U18" s="30">
        <v>96</v>
      </c>
      <c r="V18" s="30">
        <v>97</v>
      </c>
      <c r="W18" s="30">
        <v>112</v>
      </c>
      <c r="X18" s="30">
        <v>111</v>
      </c>
      <c r="Y18" s="30">
        <v>108</v>
      </c>
      <c r="Z18" s="30">
        <v>90</v>
      </c>
      <c r="AA18" s="30">
        <v>90</v>
      </c>
      <c r="AB18" s="30">
        <v>88</v>
      </c>
      <c r="AC18" s="30">
        <v>95</v>
      </c>
      <c r="AD18" s="30">
        <v>112</v>
      </c>
      <c r="AE18" s="30">
        <v>110</v>
      </c>
      <c r="AF18" s="30">
        <v>109</v>
      </c>
      <c r="AG18" s="30">
        <v>110</v>
      </c>
      <c r="AH18" s="30">
        <v>88</v>
      </c>
      <c r="AI18" s="299">
        <f>SUM(D18:AH18)</f>
        <v>3144</v>
      </c>
      <c r="AJ18" s="285">
        <f>+$AI18/$A$1*$AK$1</f>
        <v>3144</v>
      </c>
    </row>
    <row r="19" spans="1:36" x14ac:dyDescent="0.3">
      <c r="A19" s="203"/>
      <c r="B19" s="33"/>
      <c r="C19" s="34" t="s">
        <v>16</v>
      </c>
      <c r="D19" s="35">
        <f>+D18/$A18</f>
        <v>0.88983050847457623</v>
      </c>
      <c r="E19" s="35">
        <f t="shared" ref="E19:AF19" si="17">+E18/$A18</f>
        <v>0.9576271186440678</v>
      </c>
      <c r="F19" s="35">
        <f t="shared" si="17"/>
        <v>0.8728813559322034</v>
      </c>
      <c r="G19" s="35">
        <f t="shared" si="17"/>
        <v>0.73728813559322037</v>
      </c>
      <c r="H19" s="35">
        <f t="shared" si="17"/>
        <v>0.78813559322033899</v>
      </c>
      <c r="I19" s="35">
        <f t="shared" si="17"/>
        <v>0.84745762711864403</v>
      </c>
      <c r="J19" s="35">
        <f t="shared" si="17"/>
        <v>0.88983050847457623</v>
      </c>
      <c r="K19" s="35">
        <f t="shared" si="17"/>
        <v>0.90677966101694918</v>
      </c>
      <c r="L19" s="35">
        <f t="shared" si="17"/>
        <v>0.9152542372881356</v>
      </c>
      <c r="M19" s="35">
        <f t="shared" si="17"/>
        <v>0.63559322033898302</v>
      </c>
      <c r="N19" s="35">
        <f t="shared" si="17"/>
        <v>0.90677966101694918</v>
      </c>
      <c r="O19" s="35">
        <f t="shared" si="17"/>
        <v>0.96610169491525422</v>
      </c>
      <c r="P19" s="35">
        <f t="shared" si="17"/>
        <v>0.96610169491525422</v>
      </c>
      <c r="Q19" s="35">
        <f t="shared" si="17"/>
        <v>0.88135593220338981</v>
      </c>
      <c r="R19" s="35">
        <f t="shared" si="17"/>
        <v>0.8728813559322034</v>
      </c>
      <c r="S19" s="35">
        <f t="shared" si="17"/>
        <v>0.90677966101694918</v>
      </c>
      <c r="T19" s="35">
        <f t="shared" si="17"/>
        <v>0.70338983050847459</v>
      </c>
      <c r="U19" s="35">
        <f t="shared" si="17"/>
        <v>0.81355932203389836</v>
      </c>
      <c r="V19" s="35">
        <f t="shared" si="17"/>
        <v>0.82203389830508478</v>
      </c>
      <c r="W19" s="35">
        <f t="shared" si="17"/>
        <v>0.94915254237288138</v>
      </c>
      <c r="X19" s="35">
        <f t="shared" si="17"/>
        <v>0.94067796610169496</v>
      </c>
      <c r="Y19" s="35">
        <f t="shared" si="17"/>
        <v>0.9152542372881356</v>
      </c>
      <c r="Z19" s="35">
        <f t="shared" si="17"/>
        <v>0.76271186440677963</v>
      </c>
      <c r="AA19" s="35">
        <f t="shared" si="17"/>
        <v>0.76271186440677963</v>
      </c>
      <c r="AB19" s="35">
        <f t="shared" si="17"/>
        <v>0.74576271186440679</v>
      </c>
      <c r="AC19" s="35">
        <f t="shared" si="17"/>
        <v>0.80508474576271183</v>
      </c>
      <c r="AD19" s="35">
        <f t="shared" si="17"/>
        <v>0.94915254237288138</v>
      </c>
      <c r="AE19" s="35">
        <f t="shared" si="17"/>
        <v>0.93220338983050843</v>
      </c>
      <c r="AF19" s="35">
        <f t="shared" si="17"/>
        <v>0.92372881355932202</v>
      </c>
      <c r="AG19" s="35">
        <f>+AG18/$A18</f>
        <v>0.93220338983050843</v>
      </c>
      <c r="AH19" s="35">
        <f>+AH18/$A18</f>
        <v>0.74576271186440679</v>
      </c>
      <c r="AI19" s="281">
        <f>+AI18/(A18*A$1)</f>
        <v>0.85948605795516675</v>
      </c>
      <c r="AJ19" s="282">
        <f>AJ18/($A18*AK1)</f>
        <v>0.85948605795516675</v>
      </c>
    </row>
    <row r="20" spans="1:36" x14ac:dyDescent="0.3">
      <c r="A20" s="203"/>
      <c r="B20" s="33"/>
      <c r="C20" s="34" t="s">
        <v>17</v>
      </c>
      <c r="D20" s="37">
        <f t="shared" ref="D20:AF20" si="18">+IFERROR(D22/D18,0)</f>
        <v>99.947619047619042</v>
      </c>
      <c r="E20" s="37">
        <f t="shared" si="18"/>
        <v>103.40159292035398</v>
      </c>
      <c r="F20" s="37">
        <f t="shared" si="18"/>
        <v>98.776601941747572</v>
      </c>
      <c r="G20" s="37">
        <f t="shared" si="18"/>
        <v>91.103448275862064</v>
      </c>
      <c r="H20" s="37">
        <f t="shared" si="18"/>
        <v>96.031075268817204</v>
      </c>
      <c r="I20" s="37">
        <f t="shared" si="18"/>
        <v>93.595799999999997</v>
      </c>
      <c r="J20" s="37">
        <f t="shared" si="18"/>
        <v>96.007714285714286</v>
      </c>
      <c r="K20" s="37">
        <f t="shared" si="18"/>
        <v>96.7348598130841</v>
      </c>
      <c r="L20" s="37">
        <f t="shared" si="18"/>
        <v>96.611111111111114</v>
      </c>
      <c r="M20" s="37">
        <f t="shared" si="18"/>
        <v>85.587733333333333</v>
      </c>
      <c r="N20" s="37">
        <f t="shared" si="18"/>
        <v>97.337476635514022</v>
      </c>
      <c r="O20" s="37">
        <f t="shared" si="18"/>
        <v>100.73412280701754</v>
      </c>
      <c r="P20" s="37">
        <f t="shared" si="18"/>
        <v>101.02912280701754</v>
      </c>
      <c r="Q20" s="37">
        <f t="shared" si="18"/>
        <v>98.932692307692307</v>
      </c>
      <c r="R20" s="37">
        <f t="shared" si="18"/>
        <v>101.92844660194174</v>
      </c>
      <c r="S20" s="37">
        <f t="shared" si="18"/>
        <v>103.44691588785047</v>
      </c>
      <c r="T20" s="37">
        <f t="shared" si="18"/>
        <v>98.57506024096385</v>
      </c>
      <c r="U20" s="37">
        <f t="shared" si="18"/>
        <v>91.620104166666678</v>
      </c>
      <c r="V20" s="37">
        <f t="shared" si="18"/>
        <v>95.718041237113397</v>
      </c>
      <c r="W20" s="37">
        <f t="shared" si="18"/>
        <v>97.801785714285714</v>
      </c>
      <c r="X20" s="37">
        <f t="shared" si="18"/>
        <v>105.87819819819819</v>
      </c>
      <c r="Y20" s="37">
        <f t="shared" si="18"/>
        <v>109.06055555555557</v>
      </c>
      <c r="Z20" s="37">
        <f t="shared" si="18"/>
        <v>92.949666666666658</v>
      </c>
      <c r="AA20" s="37">
        <f t="shared" si="18"/>
        <v>92.949666666666658</v>
      </c>
      <c r="AB20" s="37">
        <f t="shared" si="18"/>
        <v>98.570113636363644</v>
      </c>
      <c r="AC20" s="37">
        <f t="shared" si="18"/>
        <v>103.23863157894736</v>
      </c>
      <c r="AD20" s="37">
        <f t="shared" si="18"/>
        <v>110.39232142857144</v>
      </c>
      <c r="AE20" s="37">
        <f t="shared" si="18"/>
        <v>110.32836363636365</v>
      </c>
      <c r="AF20" s="37">
        <f t="shared" si="18"/>
        <v>108.36963302752294</v>
      </c>
      <c r="AG20" s="37">
        <f>+IFERROR(AG22/AG18,0)</f>
        <v>106.47054545454546</v>
      </c>
      <c r="AH20" s="37">
        <f>+IFERROR(AH22/AH18,0)</f>
        <v>97.172272727272727</v>
      </c>
      <c r="AI20" s="283">
        <f>+IFERROR(AI22/AI18,0)</f>
        <v>99.765015903307898</v>
      </c>
      <c r="AJ20" s="279">
        <f>+AJ22/AJ18</f>
        <v>99.765015903307898</v>
      </c>
    </row>
    <row r="21" spans="1:36" x14ac:dyDescent="0.3">
      <c r="A21" s="203"/>
      <c r="B21" s="33"/>
      <c r="C21" s="34" t="s">
        <v>18</v>
      </c>
      <c r="D21" s="37">
        <f>+D19*D20</f>
        <v>88.93644067796609</v>
      </c>
      <c r="E21" s="37">
        <f t="shared" ref="E21:AH21" si="19">+E19*E20</f>
        <v>99.020169491525422</v>
      </c>
      <c r="F21" s="37">
        <f t="shared" si="19"/>
        <v>86.220254237288131</v>
      </c>
      <c r="G21" s="37">
        <f t="shared" si="19"/>
        <v>67.169491525423723</v>
      </c>
      <c r="H21" s="37">
        <f t="shared" si="19"/>
        <v>75.685508474576267</v>
      </c>
      <c r="I21" s="37">
        <f t="shared" si="19"/>
        <v>79.318474576271186</v>
      </c>
      <c r="J21" s="37">
        <f t="shared" si="19"/>
        <v>85.430593220338977</v>
      </c>
      <c r="K21" s="37">
        <f t="shared" si="19"/>
        <v>87.717203389830502</v>
      </c>
      <c r="L21" s="37">
        <f t="shared" si="19"/>
        <v>88.423728813559322</v>
      </c>
      <c r="M21" s="37">
        <f t="shared" si="19"/>
        <v>54.398983050847455</v>
      </c>
      <c r="N21" s="37">
        <f t="shared" si="19"/>
        <v>88.263644067796619</v>
      </c>
      <c r="O21" s="37">
        <f t="shared" si="19"/>
        <v>97.319406779661008</v>
      </c>
      <c r="P21" s="37">
        <f t="shared" si="19"/>
        <v>97.604406779661019</v>
      </c>
      <c r="Q21" s="37">
        <f t="shared" si="19"/>
        <v>87.194915254237287</v>
      </c>
      <c r="R21" s="37">
        <f t="shared" si="19"/>
        <v>88.9714406779661</v>
      </c>
      <c r="S21" s="37">
        <f t="shared" si="19"/>
        <v>93.803559322033905</v>
      </c>
      <c r="T21" s="37">
        <f t="shared" si="19"/>
        <v>69.336694915254242</v>
      </c>
      <c r="U21" s="37">
        <f t="shared" si="19"/>
        <v>74.538389830508493</v>
      </c>
      <c r="V21" s="37">
        <f t="shared" si="19"/>
        <v>78.68347457627118</v>
      </c>
      <c r="W21" s="37">
        <f t="shared" si="19"/>
        <v>92.828813559322029</v>
      </c>
      <c r="X21" s="37">
        <f t="shared" si="19"/>
        <v>99.597288135593217</v>
      </c>
      <c r="Y21" s="37">
        <f t="shared" si="19"/>
        <v>99.818135593220347</v>
      </c>
      <c r="Z21" s="37">
        <f t="shared" si="19"/>
        <v>70.893813559322027</v>
      </c>
      <c r="AA21" s="37">
        <f t="shared" si="19"/>
        <v>70.893813559322027</v>
      </c>
      <c r="AB21" s="37">
        <f t="shared" si="19"/>
        <v>73.509915254237299</v>
      </c>
      <c r="AC21" s="37">
        <f t="shared" si="19"/>
        <v>83.115847457627112</v>
      </c>
      <c r="AD21" s="37">
        <f t="shared" si="19"/>
        <v>104.77915254237288</v>
      </c>
      <c r="AE21" s="37">
        <f t="shared" si="19"/>
        <v>102.84847457627119</v>
      </c>
      <c r="AF21" s="37">
        <f t="shared" si="19"/>
        <v>100.10415254237289</v>
      </c>
      <c r="AG21" s="37">
        <f t="shared" si="19"/>
        <v>99.252203389830512</v>
      </c>
      <c r="AH21" s="37">
        <f t="shared" si="19"/>
        <v>72.467457627118648</v>
      </c>
      <c r="AI21" s="283">
        <f>+AI20*AI19</f>
        <v>85.746640240568624</v>
      </c>
      <c r="AJ21" s="279">
        <f>+AJ19*AJ20</f>
        <v>85.746640240568624</v>
      </c>
    </row>
    <row r="22" spans="1:36" ht="15" thickBot="1" x14ac:dyDescent="0.35">
      <c r="A22" s="203"/>
      <c r="B22" s="33"/>
      <c r="C22" s="34" t="s">
        <v>19</v>
      </c>
      <c r="D22" s="158">
        <v>10494.5</v>
      </c>
      <c r="E22" s="158">
        <v>11684.38</v>
      </c>
      <c r="F22" s="158">
        <v>10173.99</v>
      </c>
      <c r="G22" s="158">
        <v>7926</v>
      </c>
      <c r="H22" s="158">
        <v>8930.89</v>
      </c>
      <c r="I22" s="158">
        <v>9359.58</v>
      </c>
      <c r="J22" s="158">
        <v>10080.81</v>
      </c>
      <c r="K22" s="158">
        <v>10350.629999999999</v>
      </c>
      <c r="L22" s="158">
        <v>10434</v>
      </c>
      <c r="M22" s="158">
        <v>6419.08</v>
      </c>
      <c r="N22" s="158">
        <v>10415.11</v>
      </c>
      <c r="O22" s="158">
        <v>11483.69</v>
      </c>
      <c r="P22" s="158">
        <v>11517.32</v>
      </c>
      <c r="Q22" s="158">
        <v>10289</v>
      </c>
      <c r="R22" s="158">
        <v>10498.63</v>
      </c>
      <c r="S22" s="158">
        <v>11068.82</v>
      </c>
      <c r="T22" s="158">
        <v>8181.73</v>
      </c>
      <c r="U22" s="158">
        <v>8795.5300000000007</v>
      </c>
      <c r="V22" s="158">
        <v>9284.65</v>
      </c>
      <c r="W22" s="158">
        <v>10953.8</v>
      </c>
      <c r="X22" s="158">
        <v>11752.48</v>
      </c>
      <c r="Y22" s="158">
        <v>11778.54</v>
      </c>
      <c r="Z22" s="158">
        <v>8365.4699999999993</v>
      </c>
      <c r="AA22" s="158">
        <v>8365.4699999999993</v>
      </c>
      <c r="AB22" s="158">
        <v>8674.17</v>
      </c>
      <c r="AC22" s="158">
        <v>9807.67</v>
      </c>
      <c r="AD22" s="158">
        <v>12363.94</v>
      </c>
      <c r="AE22" s="158">
        <v>12136.12</v>
      </c>
      <c r="AF22" s="158">
        <v>11812.29</v>
      </c>
      <c r="AG22" s="158">
        <v>11711.76</v>
      </c>
      <c r="AH22" s="158">
        <v>8551.16</v>
      </c>
      <c r="AI22" s="284">
        <f>SUM(D22:AH22)</f>
        <v>313661.21000000002</v>
      </c>
      <c r="AJ22" s="285">
        <f>+AI22/$A$1*$AK$1</f>
        <v>313661.21000000002</v>
      </c>
    </row>
    <row r="23" spans="1:36" ht="16.350000000000001" hidden="1" customHeight="1" x14ac:dyDescent="0.3">
      <c r="A23" s="237"/>
      <c r="B23" s="40"/>
      <c r="C23" s="34" t="s">
        <v>22</v>
      </c>
      <c r="D23" s="194"/>
      <c r="E23" s="194"/>
      <c r="F23" s="194"/>
      <c r="G23" s="194"/>
      <c r="H23" s="194"/>
      <c r="I23" s="194"/>
      <c r="J23" s="194"/>
      <c r="K23" s="194"/>
      <c r="L23" s="195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284"/>
      <c r="AJ23" s="279"/>
    </row>
    <row r="24" spans="1:36" ht="16.350000000000001" hidden="1" customHeight="1" x14ac:dyDescent="0.3">
      <c r="A24" s="237"/>
      <c r="B24" s="40"/>
      <c r="C24" s="34" t="s">
        <v>23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284"/>
      <c r="AJ24" s="279"/>
    </row>
    <row r="25" spans="1:36" ht="16.350000000000001" hidden="1" customHeight="1" thickBot="1" x14ac:dyDescent="0.35">
      <c r="A25" s="237"/>
      <c r="B25" s="40"/>
      <c r="C25" s="34" t="s">
        <v>24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284"/>
      <c r="AJ25" s="279"/>
    </row>
    <row r="26" spans="1:36" ht="15" thickTop="1" x14ac:dyDescent="0.3">
      <c r="A26" s="203">
        <v>99</v>
      </c>
      <c r="B26" s="170" t="s">
        <v>26</v>
      </c>
      <c r="C26" s="171" t="s">
        <v>15</v>
      </c>
      <c r="D26" s="161">
        <v>63</v>
      </c>
      <c r="E26" s="161">
        <v>70</v>
      </c>
      <c r="F26" s="161">
        <v>66</v>
      </c>
      <c r="G26" s="161">
        <v>61</v>
      </c>
      <c r="H26" s="161">
        <v>62</v>
      </c>
      <c r="I26" s="161">
        <v>69</v>
      </c>
      <c r="J26" s="161">
        <v>90</v>
      </c>
      <c r="K26" s="161">
        <v>83</v>
      </c>
      <c r="L26" s="161">
        <v>84</v>
      </c>
      <c r="M26" s="161">
        <v>68</v>
      </c>
      <c r="N26" s="161">
        <v>85</v>
      </c>
      <c r="O26" s="161">
        <v>89</v>
      </c>
      <c r="P26" s="161">
        <v>80</v>
      </c>
      <c r="Q26" s="161">
        <v>75</v>
      </c>
      <c r="R26" s="161">
        <v>74</v>
      </c>
      <c r="S26" s="161">
        <v>82</v>
      </c>
      <c r="T26" s="161">
        <v>57</v>
      </c>
      <c r="U26" s="161">
        <v>82</v>
      </c>
      <c r="V26" s="161">
        <v>87</v>
      </c>
      <c r="W26" s="161">
        <v>92</v>
      </c>
      <c r="X26" s="161">
        <v>97</v>
      </c>
      <c r="Y26" s="161">
        <v>87</v>
      </c>
      <c r="Z26" s="161">
        <v>82</v>
      </c>
      <c r="AA26" s="161">
        <v>69</v>
      </c>
      <c r="AB26" s="161">
        <v>77</v>
      </c>
      <c r="AC26" s="161">
        <v>88</v>
      </c>
      <c r="AD26" s="161">
        <v>72</v>
      </c>
      <c r="AE26" s="161">
        <v>74</v>
      </c>
      <c r="AF26" s="161">
        <v>90</v>
      </c>
      <c r="AG26" s="161">
        <v>81</v>
      </c>
      <c r="AH26" s="161">
        <v>61</v>
      </c>
      <c r="AI26" s="300">
        <f>SUM(D26:AH26)</f>
        <v>2397</v>
      </c>
      <c r="AJ26" s="289">
        <f>+$AI26/$A$1*$AK$1</f>
        <v>2397</v>
      </c>
    </row>
    <row r="27" spans="1:36" x14ac:dyDescent="0.3">
      <c r="A27" s="203"/>
      <c r="B27" s="162"/>
      <c r="C27" s="163" t="s">
        <v>16</v>
      </c>
      <c r="D27" s="164">
        <f t="shared" ref="D27:AH27" si="20">+D26/$A26</f>
        <v>0.63636363636363635</v>
      </c>
      <c r="E27" s="164">
        <f t="shared" si="20"/>
        <v>0.70707070707070707</v>
      </c>
      <c r="F27" s="164">
        <f t="shared" si="20"/>
        <v>0.66666666666666663</v>
      </c>
      <c r="G27" s="164">
        <f t="shared" si="20"/>
        <v>0.61616161616161613</v>
      </c>
      <c r="H27" s="164">
        <f t="shared" si="20"/>
        <v>0.6262626262626263</v>
      </c>
      <c r="I27" s="164">
        <f t="shared" si="20"/>
        <v>0.69696969696969702</v>
      </c>
      <c r="J27" s="164">
        <f t="shared" si="20"/>
        <v>0.90909090909090906</v>
      </c>
      <c r="K27" s="164">
        <f t="shared" si="20"/>
        <v>0.83838383838383834</v>
      </c>
      <c r="L27" s="164">
        <f t="shared" si="20"/>
        <v>0.84848484848484851</v>
      </c>
      <c r="M27" s="164">
        <f t="shared" si="20"/>
        <v>0.68686868686868685</v>
      </c>
      <c r="N27" s="164">
        <f t="shared" si="20"/>
        <v>0.85858585858585856</v>
      </c>
      <c r="O27" s="164">
        <f t="shared" si="20"/>
        <v>0.89898989898989901</v>
      </c>
      <c r="P27" s="164">
        <f t="shared" si="20"/>
        <v>0.80808080808080807</v>
      </c>
      <c r="Q27" s="164">
        <f t="shared" si="20"/>
        <v>0.75757575757575757</v>
      </c>
      <c r="R27" s="164">
        <f t="shared" si="20"/>
        <v>0.74747474747474751</v>
      </c>
      <c r="S27" s="164">
        <f t="shared" si="20"/>
        <v>0.82828282828282829</v>
      </c>
      <c r="T27" s="164">
        <f t="shared" si="20"/>
        <v>0.5757575757575758</v>
      </c>
      <c r="U27" s="164">
        <f t="shared" si="20"/>
        <v>0.82828282828282829</v>
      </c>
      <c r="V27" s="164">
        <f t="shared" si="20"/>
        <v>0.87878787878787878</v>
      </c>
      <c r="W27" s="164">
        <f t="shared" si="20"/>
        <v>0.92929292929292928</v>
      </c>
      <c r="X27" s="164">
        <f t="shared" si="20"/>
        <v>0.97979797979797978</v>
      </c>
      <c r="Y27" s="164">
        <f t="shared" si="20"/>
        <v>0.87878787878787878</v>
      </c>
      <c r="Z27" s="164">
        <f t="shared" si="20"/>
        <v>0.82828282828282829</v>
      </c>
      <c r="AA27" s="164">
        <f t="shared" si="20"/>
        <v>0.69696969696969702</v>
      </c>
      <c r="AB27" s="164">
        <f t="shared" si="20"/>
        <v>0.77777777777777779</v>
      </c>
      <c r="AC27" s="164">
        <f t="shared" si="20"/>
        <v>0.88888888888888884</v>
      </c>
      <c r="AD27" s="164">
        <f t="shared" si="20"/>
        <v>0.72727272727272729</v>
      </c>
      <c r="AE27" s="164">
        <f t="shared" si="20"/>
        <v>0.74747474747474751</v>
      </c>
      <c r="AF27" s="164">
        <f t="shared" si="20"/>
        <v>0.90909090909090906</v>
      </c>
      <c r="AG27" s="164">
        <f t="shared" si="20"/>
        <v>0.81818181818181823</v>
      </c>
      <c r="AH27" s="164">
        <f t="shared" si="20"/>
        <v>0.61616161616161613</v>
      </c>
      <c r="AI27" s="290">
        <f>+AI26/(A26*A$1)</f>
        <v>0.7810361681329423</v>
      </c>
      <c r="AJ27" s="291">
        <f>AJ26/($A26*30)</f>
        <v>0.80707070707070705</v>
      </c>
    </row>
    <row r="28" spans="1:36" x14ac:dyDescent="0.3">
      <c r="A28" s="203"/>
      <c r="B28" s="162"/>
      <c r="C28" s="163" t="s">
        <v>17</v>
      </c>
      <c r="D28" s="165">
        <f t="shared" ref="D28:AH28" si="21">+IFERROR(D30/D26,0)</f>
        <v>243.26587301587301</v>
      </c>
      <c r="E28" s="165">
        <f t="shared" si="21"/>
        <v>68.785714285714292</v>
      </c>
      <c r="F28" s="165">
        <f t="shared" si="21"/>
        <v>117.42424242424242</v>
      </c>
      <c r="G28" s="165">
        <f t="shared" si="21"/>
        <v>115.01639344262296</v>
      </c>
      <c r="H28" s="165">
        <f t="shared" si="21"/>
        <v>115.7741935483871</v>
      </c>
      <c r="I28" s="165">
        <f t="shared" si="21"/>
        <v>117.97971014492754</v>
      </c>
      <c r="J28" s="165">
        <f t="shared" si="21"/>
        <v>115.68522222222222</v>
      </c>
      <c r="K28" s="165">
        <f t="shared" si="21"/>
        <v>136.09638554216866</v>
      </c>
      <c r="L28" s="165">
        <f t="shared" si="21"/>
        <v>134.19178571428571</v>
      </c>
      <c r="M28" s="165">
        <f t="shared" si="21"/>
        <v>119.61588235294118</v>
      </c>
      <c r="N28" s="165">
        <f t="shared" si="21"/>
        <v>114.98282352941177</v>
      </c>
      <c r="O28" s="165">
        <f t="shared" si="21"/>
        <v>120.99752808988765</v>
      </c>
      <c r="P28" s="165">
        <f t="shared" si="21"/>
        <v>116.39087500000001</v>
      </c>
      <c r="Q28" s="165">
        <f t="shared" si="21"/>
        <v>112.60666666666667</v>
      </c>
      <c r="R28" s="165">
        <f t="shared" si="21"/>
        <v>130.3858108108108</v>
      </c>
      <c r="S28" s="165">
        <f t="shared" si="21"/>
        <v>133.52621951219513</v>
      </c>
      <c r="T28" s="165">
        <f t="shared" si="21"/>
        <v>124.72105263157896</v>
      </c>
      <c r="U28" s="165">
        <f t="shared" si="21"/>
        <v>112.78829268292682</v>
      </c>
      <c r="V28" s="165">
        <f t="shared" si="21"/>
        <v>111.79873563218391</v>
      </c>
      <c r="W28" s="165">
        <f>+IFERROR(W30/W26,0)</f>
        <v>122.65108695652174</v>
      </c>
      <c r="X28" s="165">
        <f t="shared" si="21"/>
        <v>121.17680412371134</v>
      </c>
      <c r="Y28" s="165">
        <f t="shared" si="21"/>
        <v>111.88459770114942</v>
      </c>
      <c r="Z28" s="165">
        <f t="shared" si="21"/>
        <v>118.7319512195122</v>
      </c>
      <c r="AA28" s="165">
        <f t="shared" si="21"/>
        <v>130.8840579710145</v>
      </c>
      <c r="AB28" s="165">
        <f t="shared" si="21"/>
        <v>117.8851948051948</v>
      </c>
      <c r="AC28" s="165">
        <f t="shared" si="21"/>
        <v>116.66363636363636</v>
      </c>
      <c r="AD28" s="165">
        <f t="shared" si="21"/>
        <v>122.75694444444444</v>
      </c>
      <c r="AE28" s="165">
        <f t="shared" si="21"/>
        <v>124.46527027027028</v>
      </c>
      <c r="AF28" s="165">
        <f t="shared" si="21"/>
        <v>116.56511111111112</v>
      </c>
      <c r="AG28" s="165">
        <f t="shared" si="21"/>
        <v>121.74530864197531</v>
      </c>
      <c r="AH28" s="165">
        <f t="shared" si="21"/>
        <v>115.71573770491803</v>
      </c>
      <c r="AI28" s="292">
        <f>+AI30/AI26</f>
        <v>122.09530246141004</v>
      </c>
      <c r="AJ28" s="293">
        <f>+AJ30/AJ26</f>
        <v>122.09530246141004</v>
      </c>
    </row>
    <row r="29" spans="1:36" x14ac:dyDescent="0.3">
      <c r="A29" s="203"/>
      <c r="B29" s="162"/>
      <c r="C29" s="163" t="s">
        <v>18</v>
      </c>
      <c r="D29" s="165">
        <f t="shared" ref="D29:AH29" si="22">+D27*D28</f>
        <v>154.80555555555554</v>
      </c>
      <c r="E29" s="165">
        <f t="shared" si="22"/>
        <v>48.63636363636364</v>
      </c>
      <c r="F29" s="165">
        <f t="shared" si="22"/>
        <v>78.282828282828277</v>
      </c>
      <c r="G29" s="165">
        <f t="shared" si="22"/>
        <v>70.868686868686865</v>
      </c>
      <c r="H29" s="165">
        <f t="shared" si="22"/>
        <v>72.505050505050519</v>
      </c>
      <c r="I29" s="165">
        <f>+I27*I28</f>
        <v>82.228282828282829</v>
      </c>
      <c r="J29" s="165">
        <f t="shared" si="22"/>
        <v>105.16838383838383</v>
      </c>
      <c r="K29" s="165">
        <f t="shared" si="22"/>
        <v>114.10101010101009</v>
      </c>
      <c r="L29" s="165">
        <f t="shared" si="22"/>
        <v>113.85969696969697</v>
      </c>
      <c r="M29" s="165">
        <f t="shared" si="22"/>
        <v>82.160404040404046</v>
      </c>
      <c r="N29" s="165">
        <f t="shared" si="22"/>
        <v>98.722626262626264</v>
      </c>
      <c r="O29" s="165">
        <f t="shared" si="22"/>
        <v>108.77555555555557</v>
      </c>
      <c r="P29" s="165">
        <f t="shared" si="22"/>
        <v>94.053232323232322</v>
      </c>
      <c r="Q29" s="165">
        <f t="shared" si="22"/>
        <v>85.308080808080803</v>
      </c>
      <c r="R29" s="165">
        <f t="shared" si="22"/>
        <v>97.460101010100999</v>
      </c>
      <c r="S29" s="165">
        <f t="shared" si="22"/>
        <v>110.59747474747475</v>
      </c>
      <c r="T29" s="165">
        <f t="shared" si="22"/>
        <v>71.809090909090926</v>
      </c>
      <c r="U29" s="165">
        <f t="shared" si="22"/>
        <v>93.420606060606062</v>
      </c>
      <c r="V29" s="165">
        <f t="shared" si="22"/>
        <v>98.247373737373735</v>
      </c>
      <c r="W29" s="165">
        <f>+W27*W28</f>
        <v>113.97878787878787</v>
      </c>
      <c r="X29" s="165">
        <f t="shared" si="22"/>
        <v>118.72878787878787</v>
      </c>
      <c r="Y29" s="165">
        <f t="shared" si="22"/>
        <v>98.322828282828269</v>
      </c>
      <c r="Z29" s="165">
        <f t="shared" si="22"/>
        <v>98.343636363636364</v>
      </c>
      <c r="AA29" s="165">
        <f t="shared" si="22"/>
        <v>91.222222222222229</v>
      </c>
      <c r="AB29" s="165">
        <f t="shared" si="22"/>
        <v>91.688484848484848</v>
      </c>
      <c r="AC29" s="165">
        <f t="shared" si="22"/>
        <v>103.70101010101008</v>
      </c>
      <c r="AD29" s="165">
        <f t="shared" si="22"/>
        <v>89.277777777777786</v>
      </c>
      <c r="AE29" s="165">
        <f t="shared" si="22"/>
        <v>93.034646464646471</v>
      </c>
      <c r="AF29" s="165">
        <f t="shared" si="22"/>
        <v>105.96828282828284</v>
      </c>
      <c r="AG29" s="165">
        <f t="shared" si="22"/>
        <v>99.609797979797989</v>
      </c>
      <c r="AH29" s="165">
        <f t="shared" si="22"/>
        <v>71.299595959595948</v>
      </c>
      <c r="AI29" s="292">
        <f>+AI28*AI27</f>
        <v>95.360847181492304</v>
      </c>
      <c r="AJ29" s="293">
        <f>+AJ27*AJ28</f>
        <v>98.539542087542046</v>
      </c>
    </row>
    <row r="30" spans="1:36" ht="15" thickBot="1" x14ac:dyDescent="0.35">
      <c r="A30" s="203"/>
      <c r="B30" s="162"/>
      <c r="C30" s="163" t="s">
        <v>19</v>
      </c>
      <c r="D30" s="166">
        <v>15325.75</v>
      </c>
      <c r="E30" s="166">
        <v>4815</v>
      </c>
      <c r="F30" s="166">
        <v>7750</v>
      </c>
      <c r="G30" s="166">
        <v>7016</v>
      </c>
      <c r="H30" s="166">
        <v>7178</v>
      </c>
      <c r="I30" s="166">
        <v>8140.6</v>
      </c>
      <c r="J30" s="166">
        <v>10411.67</v>
      </c>
      <c r="K30" s="166">
        <v>11296</v>
      </c>
      <c r="L30" s="166">
        <v>11272.11</v>
      </c>
      <c r="M30" s="166">
        <v>8133.88</v>
      </c>
      <c r="N30" s="166">
        <v>9773.5400000000009</v>
      </c>
      <c r="O30" s="166">
        <v>10768.78</v>
      </c>
      <c r="P30" s="166">
        <v>9311.27</v>
      </c>
      <c r="Q30" s="166">
        <v>8445.5</v>
      </c>
      <c r="R30" s="166">
        <v>9648.5499999999993</v>
      </c>
      <c r="S30" s="166">
        <v>10949.15</v>
      </c>
      <c r="T30" s="166">
        <v>7109.1</v>
      </c>
      <c r="U30" s="166">
        <v>9248.64</v>
      </c>
      <c r="V30" s="166">
        <v>9726.49</v>
      </c>
      <c r="W30" s="166">
        <v>11283.9</v>
      </c>
      <c r="X30" s="166">
        <v>11754.15</v>
      </c>
      <c r="Y30" s="166">
        <v>9733.9599999999991</v>
      </c>
      <c r="Z30" s="166">
        <v>9736.02</v>
      </c>
      <c r="AA30" s="166">
        <v>9031</v>
      </c>
      <c r="AB30" s="166">
        <v>9077.16</v>
      </c>
      <c r="AC30" s="166">
        <v>10266.4</v>
      </c>
      <c r="AD30" s="166">
        <v>8838.5</v>
      </c>
      <c r="AE30" s="166">
        <v>9210.43</v>
      </c>
      <c r="AF30" s="166">
        <v>10490.86</v>
      </c>
      <c r="AG30" s="166">
        <v>9861.3700000000008</v>
      </c>
      <c r="AH30" s="166">
        <v>7058.66</v>
      </c>
      <c r="AI30" s="294">
        <f>SUM(D30:AH30)</f>
        <v>292662.43999999989</v>
      </c>
      <c r="AJ30" s="295">
        <f>+AI30/$A$1*$AK$1</f>
        <v>292662.43999999989</v>
      </c>
    </row>
    <row r="31" spans="1:36" ht="15" thickTop="1" x14ac:dyDescent="0.3">
      <c r="A31" s="203">
        <v>151</v>
      </c>
      <c r="B31" s="28" t="s">
        <v>27</v>
      </c>
      <c r="C31" s="29" t="s">
        <v>15</v>
      </c>
      <c r="D31" s="30">
        <v>59</v>
      </c>
      <c r="E31" s="30">
        <v>75</v>
      </c>
      <c r="F31" s="30">
        <v>63</v>
      </c>
      <c r="G31" s="30">
        <v>57</v>
      </c>
      <c r="H31" s="30">
        <v>67</v>
      </c>
      <c r="I31" s="30">
        <v>78</v>
      </c>
      <c r="J31" s="30">
        <v>80</v>
      </c>
      <c r="K31" s="30">
        <v>88</v>
      </c>
      <c r="L31" s="30">
        <v>79</v>
      </c>
      <c r="M31" s="30">
        <v>79</v>
      </c>
      <c r="N31" s="30">
        <v>87</v>
      </c>
      <c r="O31" s="30">
        <v>89</v>
      </c>
      <c r="P31" s="30">
        <v>97</v>
      </c>
      <c r="Q31" s="30">
        <v>82</v>
      </c>
      <c r="R31" s="30">
        <v>77</v>
      </c>
      <c r="S31" s="30">
        <v>89</v>
      </c>
      <c r="T31" s="30">
        <v>64</v>
      </c>
      <c r="U31" s="30">
        <v>74</v>
      </c>
      <c r="V31" s="30">
        <v>93</v>
      </c>
      <c r="W31" s="30">
        <v>91</v>
      </c>
      <c r="X31" s="30">
        <v>77</v>
      </c>
      <c r="Y31" s="30">
        <v>65</v>
      </c>
      <c r="Z31" s="30">
        <v>77</v>
      </c>
      <c r="AA31" s="30">
        <v>46</v>
      </c>
      <c r="AB31" s="30">
        <v>63</v>
      </c>
      <c r="AC31" s="30">
        <v>112</v>
      </c>
      <c r="AD31" s="30">
        <v>71</v>
      </c>
      <c r="AE31" s="30">
        <v>78</v>
      </c>
      <c r="AF31" s="30">
        <v>90</v>
      </c>
      <c r="AG31" s="30">
        <v>91</v>
      </c>
      <c r="AH31" s="30">
        <v>70</v>
      </c>
      <c r="AI31" s="301">
        <f>SUM(D31:AH31)</f>
        <v>2408</v>
      </c>
      <c r="AJ31" s="280">
        <f>+$AI31/$A$1*$AK$1</f>
        <v>2408</v>
      </c>
    </row>
    <row r="32" spans="1:36" x14ac:dyDescent="0.3">
      <c r="A32" s="203"/>
      <c r="B32" s="33"/>
      <c r="C32" s="34" t="s">
        <v>16</v>
      </c>
      <c r="D32" s="35">
        <f t="shared" ref="D32:AH32" si="23">+D31/$A31</f>
        <v>0.39072847682119205</v>
      </c>
      <c r="E32" s="35">
        <f t="shared" si="23"/>
        <v>0.49668874172185429</v>
      </c>
      <c r="F32" s="35">
        <f t="shared" si="23"/>
        <v>0.41721854304635764</v>
      </c>
      <c r="G32" s="35">
        <f t="shared" si="23"/>
        <v>0.37748344370860926</v>
      </c>
      <c r="H32" s="35">
        <f t="shared" si="23"/>
        <v>0.44370860927152317</v>
      </c>
      <c r="I32" s="35">
        <f t="shared" si="23"/>
        <v>0.51655629139072845</v>
      </c>
      <c r="J32" s="35">
        <f t="shared" si="23"/>
        <v>0.5298013245033113</v>
      </c>
      <c r="K32" s="35">
        <f t="shared" si="23"/>
        <v>0.58278145695364236</v>
      </c>
      <c r="L32" s="35">
        <f t="shared" si="23"/>
        <v>0.52317880794701987</v>
      </c>
      <c r="M32" s="35">
        <f t="shared" si="23"/>
        <v>0.52317880794701987</v>
      </c>
      <c r="N32" s="35">
        <f t="shared" si="23"/>
        <v>0.57615894039735094</v>
      </c>
      <c r="O32" s="35">
        <f t="shared" si="23"/>
        <v>0.58940397350993379</v>
      </c>
      <c r="P32" s="35">
        <f t="shared" si="23"/>
        <v>0.64238410596026485</v>
      </c>
      <c r="Q32" s="35">
        <f t="shared" si="23"/>
        <v>0.54304635761589404</v>
      </c>
      <c r="R32" s="35">
        <f t="shared" si="23"/>
        <v>0.50993377483443714</v>
      </c>
      <c r="S32" s="35">
        <f t="shared" si="23"/>
        <v>0.58940397350993379</v>
      </c>
      <c r="T32" s="35">
        <f t="shared" si="23"/>
        <v>0.42384105960264901</v>
      </c>
      <c r="U32" s="35">
        <f t="shared" si="23"/>
        <v>0.49006622516556292</v>
      </c>
      <c r="V32" s="35">
        <f t="shared" si="23"/>
        <v>0.61589403973509937</v>
      </c>
      <c r="W32" s="35">
        <f t="shared" si="23"/>
        <v>0.60264900662251653</v>
      </c>
      <c r="X32" s="35">
        <f t="shared" si="23"/>
        <v>0.50993377483443714</v>
      </c>
      <c r="Y32" s="35">
        <f t="shared" si="23"/>
        <v>0.43046357615894038</v>
      </c>
      <c r="Z32" s="35">
        <f t="shared" si="23"/>
        <v>0.50993377483443714</v>
      </c>
      <c r="AA32" s="35">
        <f t="shared" si="23"/>
        <v>0.30463576158940397</v>
      </c>
      <c r="AB32" s="35">
        <f t="shared" si="23"/>
        <v>0.41721854304635764</v>
      </c>
      <c r="AC32" s="35">
        <f t="shared" si="23"/>
        <v>0.74172185430463577</v>
      </c>
      <c r="AD32" s="35">
        <f t="shared" si="23"/>
        <v>0.47019867549668876</v>
      </c>
      <c r="AE32" s="35">
        <f t="shared" si="23"/>
        <v>0.51655629139072845</v>
      </c>
      <c r="AF32" s="35">
        <f t="shared" si="23"/>
        <v>0.59602649006622521</v>
      </c>
      <c r="AG32" s="35">
        <f t="shared" si="23"/>
        <v>0.60264900662251653</v>
      </c>
      <c r="AH32" s="35">
        <f t="shared" si="23"/>
        <v>0.46357615894039733</v>
      </c>
      <c r="AI32" s="281">
        <f>+AI31/(A31*A$1)</f>
        <v>0.51441999572740871</v>
      </c>
      <c r="AJ32" s="282">
        <f>AJ31/($A31*AK1)</f>
        <v>0.51441999572740871</v>
      </c>
    </row>
    <row r="33" spans="1:36" x14ac:dyDescent="0.3">
      <c r="A33" s="203"/>
      <c r="B33" s="33"/>
      <c r="C33" s="34" t="s">
        <v>17</v>
      </c>
      <c r="D33" s="37">
        <f>+IFERROR(D35/D31,0)</f>
        <v>120.01694915254237</v>
      </c>
      <c r="E33" s="37">
        <f t="shared" ref="E33:AH33" si="24">+IFERROR(E35/E31,0)</f>
        <v>129.83680000000001</v>
      </c>
      <c r="F33" s="37">
        <f t="shared" si="24"/>
        <v>110.03174603174604</v>
      </c>
      <c r="G33" s="37">
        <f t="shared" si="24"/>
        <v>117.85964912280701</v>
      </c>
      <c r="H33" s="37">
        <f t="shared" si="24"/>
        <v>133.58208955223881</v>
      </c>
      <c r="I33" s="37">
        <f t="shared" si="24"/>
        <v>101.95717948717949</v>
      </c>
      <c r="J33" s="37">
        <f t="shared" si="24"/>
        <v>99.948374999999999</v>
      </c>
      <c r="K33" s="37">
        <f t="shared" si="24"/>
        <v>106.68136363636363</v>
      </c>
      <c r="L33" s="37">
        <f t="shared" si="24"/>
        <v>99.003797468354435</v>
      </c>
      <c r="M33" s="37">
        <f t="shared" si="24"/>
        <v>99.114683544303801</v>
      </c>
      <c r="N33" s="37">
        <f t="shared" si="24"/>
        <v>107.22735632183908</v>
      </c>
      <c r="O33" s="37">
        <f t="shared" si="24"/>
        <v>108.77325842696629</v>
      </c>
      <c r="P33" s="37">
        <f t="shared" si="24"/>
        <v>115.06515463917526</v>
      </c>
      <c r="Q33" s="37">
        <f t="shared" si="24"/>
        <v>119.36231707317071</v>
      </c>
      <c r="R33" s="37">
        <f t="shared" si="24"/>
        <v>106.23</v>
      </c>
      <c r="S33" s="37">
        <f t="shared" si="24"/>
        <v>100.49325842696629</v>
      </c>
      <c r="T33" s="37">
        <f t="shared" si="24"/>
        <v>107.2684375</v>
      </c>
      <c r="U33" s="37">
        <f t="shared" si="24"/>
        <v>112.94324324324323</v>
      </c>
      <c r="V33" s="37">
        <f t="shared" si="24"/>
        <v>113.68817204301075</v>
      </c>
      <c r="W33" s="37">
        <f t="shared" si="24"/>
        <v>128.02351648351649</v>
      </c>
      <c r="X33" s="37">
        <f t="shared" si="24"/>
        <v>113.69220779220778</v>
      </c>
      <c r="Y33" s="37">
        <f t="shared" si="24"/>
        <v>113.97261538461539</v>
      </c>
      <c r="Z33" s="37">
        <f t="shared" si="24"/>
        <v>103.37090909090909</v>
      </c>
      <c r="AA33" s="37">
        <f t="shared" si="24"/>
        <v>101.12695652173913</v>
      </c>
      <c r="AB33" s="37">
        <f t="shared" si="24"/>
        <v>111.91301587301588</v>
      </c>
      <c r="AC33" s="37">
        <f t="shared" si="24"/>
        <v>127.22857142857143</v>
      </c>
      <c r="AD33" s="37">
        <f t="shared" si="24"/>
        <v>114.91605633802817</v>
      </c>
      <c r="AE33" s="37">
        <f t="shared" si="24"/>
        <v>103.46153846153847</v>
      </c>
      <c r="AF33" s="37">
        <f t="shared" si="24"/>
        <v>95.333888888888879</v>
      </c>
      <c r="AG33" s="37">
        <f t="shared" si="24"/>
        <v>101.55329670329671</v>
      </c>
      <c r="AH33" s="37">
        <f t="shared" si="24"/>
        <v>97.614142857142852</v>
      </c>
      <c r="AI33" s="283">
        <f>+AI35/AI31</f>
        <v>110.42044850498337</v>
      </c>
      <c r="AJ33" s="279">
        <f>+AJ35/AJ31</f>
        <v>110.42044850498337</v>
      </c>
    </row>
    <row r="34" spans="1:36" x14ac:dyDescent="0.3">
      <c r="A34" s="203"/>
      <c r="B34" s="33"/>
      <c r="C34" s="34" t="s">
        <v>18</v>
      </c>
      <c r="D34" s="37">
        <f>+D32*D33</f>
        <v>46.894039735099334</v>
      </c>
      <c r="E34" s="37">
        <f t="shared" ref="E34:AH34" si="25">+E32*E33</f>
        <v>64.488476821192052</v>
      </c>
      <c r="F34" s="37">
        <f t="shared" si="25"/>
        <v>45.907284768211923</v>
      </c>
      <c r="G34" s="37">
        <f t="shared" si="25"/>
        <v>44.490066225165556</v>
      </c>
      <c r="H34" s="37">
        <f t="shared" si="25"/>
        <v>59.271523178807946</v>
      </c>
      <c r="I34" s="37">
        <f t="shared" si="25"/>
        <v>52.666622516556288</v>
      </c>
      <c r="J34" s="37">
        <f t="shared" si="25"/>
        <v>52.952781456953645</v>
      </c>
      <c r="K34" s="37">
        <f t="shared" si="25"/>
        <v>62.171920529801319</v>
      </c>
      <c r="L34" s="37">
        <f t="shared" si="25"/>
        <v>51.796688741721859</v>
      </c>
      <c r="M34" s="37">
        <f t="shared" si="25"/>
        <v>51.854701986754968</v>
      </c>
      <c r="N34" s="37">
        <f t="shared" si="25"/>
        <v>61.779999999999994</v>
      </c>
      <c r="O34" s="37">
        <f t="shared" si="25"/>
        <v>64.11139072847682</v>
      </c>
      <c r="P34" s="37">
        <f t="shared" si="25"/>
        <v>73.916026490066216</v>
      </c>
      <c r="Q34" s="37">
        <f t="shared" si="25"/>
        <v>64.819271523178799</v>
      </c>
      <c r="R34" s="37">
        <f t="shared" si="25"/>
        <v>54.170264900662261</v>
      </c>
      <c r="S34" s="37">
        <f t="shared" si="25"/>
        <v>59.231125827814573</v>
      </c>
      <c r="T34" s="37">
        <f t="shared" si="25"/>
        <v>45.464768211920529</v>
      </c>
      <c r="U34" s="37">
        <f t="shared" si="25"/>
        <v>55.349668874172181</v>
      </c>
      <c r="V34" s="37">
        <f t="shared" si="25"/>
        <v>70.019867549668874</v>
      </c>
      <c r="W34" s="37">
        <f t="shared" si="25"/>
        <v>77.153245033112583</v>
      </c>
      <c r="X34" s="37">
        <f t="shared" si="25"/>
        <v>57.975496688741721</v>
      </c>
      <c r="Y34" s="37">
        <f t="shared" si="25"/>
        <v>49.06105960264901</v>
      </c>
      <c r="Z34" s="37">
        <f t="shared" si="25"/>
        <v>52.712317880794707</v>
      </c>
      <c r="AA34" s="37">
        <f t="shared" si="25"/>
        <v>30.806887417218544</v>
      </c>
      <c r="AB34" s="37">
        <f t="shared" si="25"/>
        <v>46.692185430463581</v>
      </c>
      <c r="AC34" s="37">
        <f t="shared" si="25"/>
        <v>94.368211920529802</v>
      </c>
      <c r="AD34" s="37">
        <f t="shared" si="25"/>
        <v>54.033377483443708</v>
      </c>
      <c r="AE34" s="37">
        <f t="shared" si="25"/>
        <v>53.443708609271525</v>
      </c>
      <c r="AF34" s="37">
        <f t="shared" si="25"/>
        <v>56.821523178807944</v>
      </c>
      <c r="AG34" s="37">
        <f t="shared" si="25"/>
        <v>61.200993377483442</v>
      </c>
      <c r="AH34" s="37">
        <f t="shared" si="25"/>
        <v>45.251589403973504</v>
      </c>
      <c r="AI34" s="283">
        <f>+AI33*AI32</f>
        <v>56.802486648152097</v>
      </c>
      <c r="AJ34" s="279">
        <f>+AJ32*AJ33</f>
        <v>56.802486648152097</v>
      </c>
    </row>
    <row r="35" spans="1:36" ht="15" thickBot="1" x14ac:dyDescent="0.35">
      <c r="A35" s="203"/>
      <c r="B35" s="33"/>
      <c r="C35" s="34" t="s">
        <v>19</v>
      </c>
      <c r="D35" s="158">
        <v>7081</v>
      </c>
      <c r="E35" s="158">
        <v>9737.76</v>
      </c>
      <c r="F35" s="158">
        <v>6932</v>
      </c>
      <c r="G35" s="158">
        <v>6718</v>
      </c>
      <c r="H35" s="158">
        <v>8950</v>
      </c>
      <c r="I35" s="158">
        <v>7952.66</v>
      </c>
      <c r="J35" s="158">
        <v>7995.87</v>
      </c>
      <c r="K35" s="158">
        <v>9387.9599999999991</v>
      </c>
      <c r="L35" s="158">
        <v>7821.3</v>
      </c>
      <c r="M35" s="158">
        <v>7830.06</v>
      </c>
      <c r="N35" s="158">
        <v>9328.7800000000007</v>
      </c>
      <c r="O35" s="158">
        <v>9680.82</v>
      </c>
      <c r="P35" s="158">
        <v>11161.32</v>
      </c>
      <c r="Q35" s="158">
        <v>9787.7099999999991</v>
      </c>
      <c r="R35" s="158">
        <v>8179.71</v>
      </c>
      <c r="S35" s="158">
        <v>8943.9</v>
      </c>
      <c r="T35" s="158">
        <v>6865.18</v>
      </c>
      <c r="U35" s="158">
        <v>8357.7999999999993</v>
      </c>
      <c r="V35" s="158">
        <v>10573</v>
      </c>
      <c r="W35" s="158">
        <v>11650.14</v>
      </c>
      <c r="X35" s="158">
        <v>8754.2999999999993</v>
      </c>
      <c r="Y35" s="158">
        <v>7408.22</v>
      </c>
      <c r="Z35" s="158">
        <v>7959.56</v>
      </c>
      <c r="AA35" s="158">
        <v>4651.84</v>
      </c>
      <c r="AB35" s="158">
        <v>7050.52</v>
      </c>
      <c r="AC35" s="158">
        <v>14249.6</v>
      </c>
      <c r="AD35" s="158">
        <v>8159.04</v>
      </c>
      <c r="AE35" s="158">
        <v>8070</v>
      </c>
      <c r="AF35" s="158">
        <v>8580.0499999999993</v>
      </c>
      <c r="AG35" s="158">
        <v>9241.35</v>
      </c>
      <c r="AH35" s="158">
        <v>6832.99</v>
      </c>
      <c r="AI35" s="284">
        <f>SUM(D35:AH35)</f>
        <v>265892.43999999994</v>
      </c>
      <c r="AJ35" s="285">
        <f>+AI35/$A$1*$AK$1</f>
        <v>265892.43999999994</v>
      </c>
    </row>
    <row r="36" spans="1:36" x14ac:dyDescent="0.3">
      <c r="A36" s="203">
        <v>96</v>
      </c>
      <c r="B36" s="170" t="s">
        <v>28</v>
      </c>
      <c r="C36" s="171" t="s">
        <v>15</v>
      </c>
      <c r="D36" s="161">
        <v>34</v>
      </c>
      <c r="E36" s="161">
        <v>36</v>
      </c>
      <c r="F36" s="161">
        <v>45</v>
      </c>
      <c r="G36" s="161">
        <v>31</v>
      </c>
      <c r="H36" s="325">
        <v>29</v>
      </c>
      <c r="I36" s="161">
        <v>40</v>
      </c>
      <c r="J36" s="161">
        <v>45</v>
      </c>
      <c r="K36" s="161">
        <v>67</v>
      </c>
      <c r="L36" s="161">
        <v>78</v>
      </c>
      <c r="M36" s="161">
        <v>69</v>
      </c>
      <c r="N36" s="161">
        <v>74</v>
      </c>
      <c r="O36" s="161">
        <v>82</v>
      </c>
      <c r="P36" s="161">
        <v>56</v>
      </c>
      <c r="Q36" s="161">
        <v>50</v>
      </c>
      <c r="R36" s="161">
        <v>75</v>
      </c>
      <c r="S36" s="161">
        <v>73</v>
      </c>
      <c r="T36" s="161">
        <v>47</v>
      </c>
      <c r="U36" s="161">
        <v>73</v>
      </c>
      <c r="V36" s="161">
        <v>90</v>
      </c>
      <c r="W36" s="161">
        <v>94</v>
      </c>
      <c r="X36" s="161">
        <v>92</v>
      </c>
      <c r="Y36" s="161">
        <v>84</v>
      </c>
      <c r="Z36" s="161">
        <v>61</v>
      </c>
      <c r="AA36" s="161">
        <v>46</v>
      </c>
      <c r="AB36" s="161">
        <v>55</v>
      </c>
      <c r="AC36" s="161">
        <v>77</v>
      </c>
      <c r="AD36" s="161">
        <v>96</v>
      </c>
      <c r="AE36" s="161">
        <v>94</v>
      </c>
      <c r="AF36" s="161">
        <v>96</v>
      </c>
      <c r="AG36" s="161">
        <v>76</v>
      </c>
      <c r="AH36" s="161">
        <v>32</v>
      </c>
      <c r="AI36" s="300">
        <f>SUM(D36:AH36)</f>
        <v>1997</v>
      </c>
      <c r="AJ36" s="289">
        <f>+$AI36/$A$1*$AK$1</f>
        <v>1997</v>
      </c>
    </row>
    <row r="37" spans="1:36" x14ac:dyDescent="0.3">
      <c r="A37" s="203"/>
      <c r="B37" s="162"/>
      <c r="C37" s="163" t="s">
        <v>16</v>
      </c>
      <c r="D37" s="164">
        <f t="shared" ref="D37:AH37" si="26">+D36/$A36</f>
        <v>0.35416666666666669</v>
      </c>
      <c r="E37" s="164">
        <f t="shared" si="26"/>
        <v>0.375</v>
      </c>
      <c r="F37" s="164">
        <f t="shared" si="26"/>
        <v>0.46875</v>
      </c>
      <c r="G37" s="164">
        <f t="shared" si="26"/>
        <v>0.32291666666666669</v>
      </c>
      <c r="H37" s="164">
        <f t="shared" si="26"/>
        <v>0.30208333333333331</v>
      </c>
      <c r="I37" s="164">
        <f t="shared" si="26"/>
        <v>0.41666666666666669</v>
      </c>
      <c r="J37" s="164">
        <f t="shared" si="26"/>
        <v>0.46875</v>
      </c>
      <c r="K37" s="164">
        <f t="shared" si="26"/>
        <v>0.69791666666666663</v>
      </c>
      <c r="L37" s="164">
        <f t="shared" si="26"/>
        <v>0.8125</v>
      </c>
      <c r="M37" s="164">
        <f t="shared" si="26"/>
        <v>0.71875</v>
      </c>
      <c r="N37" s="164">
        <f t="shared" si="26"/>
        <v>0.77083333333333337</v>
      </c>
      <c r="O37" s="164">
        <f t="shared" si="26"/>
        <v>0.85416666666666663</v>
      </c>
      <c r="P37" s="164">
        <f t="shared" si="26"/>
        <v>0.58333333333333337</v>
      </c>
      <c r="Q37" s="164">
        <f t="shared" si="26"/>
        <v>0.52083333333333337</v>
      </c>
      <c r="R37" s="164">
        <f t="shared" si="26"/>
        <v>0.78125</v>
      </c>
      <c r="S37" s="164">
        <f t="shared" si="26"/>
        <v>0.76041666666666663</v>
      </c>
      <c r="T37" s="164">
        <f t="shared" si="26"/>
        <v>0.48958333333333331</v>
      </c>
      <c r="U37" s="164">
        <f t="shared" si="26"/>
        <v>0.76041666666666663</v>
      </c>
      <c r="V37" s="164">
        <f t="shared" si="26"/>
        <v>0.9375</v>
      </c>
      <c r="W37" s="164">
        <f t="shared" si="26"/>
        <v>0.97916666666666663</v>
      </c>
      <c r="X37" s="164">
        <f t="shared" si="26"/>
        <v>0.95833333333333337</v>
      </c>
      <c r="Y37" s="164">
        <f t="shared" si="26"/>
        <v>0.875</v>
      </c>
      <c r="Z37" s="164">
        <f t="shared" si="26"/>
        <v>0.63541666666666663</v>
      </c>
      <c r="AA37" s="164">
        <f t="shared" si="26"/>
        <v>0.47916666666666669</v>
      </c>
      <c r="AB37" s="164">
        <f t="shared" si="26"/>
        <v>0.57291666666666663</v>
      </c>
      <c r="AC37" s="164">
        <f t="shared" si="26"/>
        <v>0.80208333333333337</v>
      </c>
      <c r="AD37" s="164">
        <f t="shared" si="26"/>
        <v>1</v>
      </c>
      <c r="AE37" s="164">
        <f t="shared" si="26"/>
        <v>0.97916666666666663</v>
      </c>
      <c r="AF37" s="164">
        <f t="shared" si="26"/>
        <v>1</v>
      </c>
      <c r="AG37" s="164">
        <f t="shared" si="26"/>
        <v>0.79166666666666663</v>
      </c>
      <c r="AH37" s="164">
        <f t="shared" si="26"/>
        <v>0.33333333333333331</v>
      </c>
      <c r="AI37" s="290">
        <f>+AI36/(A36*A$1)</f>
        <v>0.67103494623655913</v>
      </c>
      <c r="AJ37" s="291">
        <f>AJ36/($A36*AK1)</f>
        <v>0.67103494623655913</v>
      </c>
    </row>
    <row r="38" spans="1:36" x14ac:dyDescent="0.3">
      <c r="A38" s="203"/>
      <c r="B38" s="162"/>
      <c r="C38" s="163" t="s">
        <v>17</v>
      </c>
      <c r="D38" s="165">
        <f t="shared" ref="D38:AH38" si="27">+IFERROR(D40/D36,0)</f>
        <v>104.28205882352941</v>
      </c>
      <c r="E38" s="165">
        <f t="shared" si="27"/>
        <v>98.980555555555554</v>
      </c>
      <c r="F38" s="165">
        <f t="shared" si="27"/>
        <v>87.034222222222226</v>
      </c>
      <c r="G38" s="165">
        <f t="shared" si="27"/>
        <v>88.730967741935473</v>
      </c>
      <c r="H38" s="165">
        <f t="shared" si="27"/>
        <v>95.65517241379311</v>
      </c>
      <c r="I38" s="165">
        <f t="shared" si="27"/>
        <v>89.600999999999999</v>
      </c>
      <c r="J38" s="165">
        <f t="shared" si="27"/>
        <v>98.771777777777771</v>
      </c>
      <c r="K38" s="165">
        <f t="shared" si="27"/>
        <v>113.38119402985075</v>
      </c>
      <c r="L38" s="165">
        <f t="shared" si="27"/>
        <v>119.57602564102565</v>
      </c>
      <c r="M38" s="165">
        <f t="shared" si="27"/>
        <v>100.56884057971014</v>
      </c>
      <c r="N38" s="165">
        <f t="shared" si="27"/>
        <v>113.99243243243244</v>
      </c>
      <c r="O38" s="165">
        <f t="shared" si="27"/>
        <v>115.20853658536586</v>
      </c>
      <c r="P38" s="165">
        <f t="shared" si="27"/>
        <v>112.535</v>
      </c>
      <c r="Q38" s="165">
        <f t="shared" si="27"/>
        <v>111.8554</v>
      </c>
      <c r="R38" s="165">
        <f t="shared" si="27"/>
        <v>120.14573333333334</v>
      </c>
      <c r="S38" s="165">
        <f t="shared" si="27"/>
        <v>119.72630136986302</v>
      </c>
      <c r="T38" s="165">
        <f t="shared" si="27"/>
        <v>105.5472340425532</v>
      </c>
      <c r="U38" s="165">
        <f t="shared" si="27"/>
        <v>119.80684931506849</v>
      </c>
      <c r="V38" s="165">
        <f t="shared" si="27"/>
        <v>118.54011111111112</v>
      </c>
      <c r="W38" s="165">
        <f t="shared" si="27"/>
        <v>120.10925531914894</v>
      </c>
      <c r="X38" s="165">
        <f t="shared" si="27"/>
        <v>115.01608695652173</v>
      </c>
      <c r="Y38" s="165">
        <f t="shared" si="27"/>
        <v>116.76761904761904</v>
      </c>
      <c r="Z38" s="165">
        <f t="shared" si="27"/>
        <v>115.64999999999999</v>
      </c>
      <c r="AA38" s="165">
        <f t="shared" si="27"/>
        <v>97.267608695652186</v>
      </c>
      <c r="AB38" s="165">
        <f t="shared" si="27"/>
        <v>101.20545454545454</v>
      </c>
      <c r="AC38" s="165">
        <f t="shared" si="27"/>
        <v>120.40818181818182</v>
      </c>
      <c r="AD38" s="165">
        <f t="shared" si="27"/>
        <v>119.37364583333334</v>
      </c>
      <c r="AE38" s="165">
        <f t="shared" si="27"/>
        <v>122.55585106382979</v>
      </c>
      <c r="AF38" s="165">
        <f t="shared" si="27"/>
        <v>138.33208333333332</v>
      </c>
      <c r="AG38" s="165">
        <f t="shared" si="27"/>
        <v>124.06592105263158</v>
      </c>
      <c r="AH38" s="165">
        <f t="shared" si="27"/>
        <v>98.837812499999998</v>
      </c>
      <c r="AI38" s="292">
        <f>+AI40/AI36</f>
        <v>113.79257386079119</v>
      </c>
      <c r="AJ38" s="293">
        <f>+AJ40/AJ36</f>
        <v>113.79257386079119</v>
      </c>
    </row>
    <row r="39" spans="1:36" x14ac:dyDescent="0.3">
      <c r="A39" s="203"/>
      <c r="B39" s="162"/>
      <c r="C39" s="163" t="s">
        <v>18</v>
      </c>
      <c r="D39" s="165">
        <f t="shared" ref="D39:AH39" si="28">+D37*D38</f>
        <v>36.933229166666671</v>
      </c>
      <c r="E39" s="165">
        <f t="shared" si="28"/>
        <v>37.117708333333333</v>
      </c>
      <c r="F39" s="165">
        <f t="shared" si="28"/>
        <v>40.797291666666666</v>
      </c>
      <c r="G39" s="165">
        <f t="shared" si="28"/>
        <v>28.652708333333333</v>
      </c>
      <c r="H39" s="165">
        <f t="shared" si="28"/>
        <v>28.895833333333332</v>
      </c>
      <c r="I39" s="165">
        <f t="shared" si="28"/>
        <v>37.333750000000002</v>
      </c>
      <c r="J39" s="165">
        <f t="shared" si="28"/>
        <v>46.299270833333331</v>
      </c>
      <c r="K39" s="165">
        <f t="shared" si="28"/>
        <v>79.130624999999995</v>
      </c>
      <c r="L39" s="165">
        <f t="shared" si="28"/>
        <v>97.155520833333341</v>
      </c>
      <c r="M39" s="165">
        <f t="shared" si="28"/>
        <v>72.283854166666657</v>
      </c>
      <c r="N39" s="165">
        <f t="shared" si="28"/>
        <v>87.869166666666672</v>
      </c>
      <c r="O39" s="165">
        <f t="shared" si="28"/>
        <v>98.407291666666666</v>
      </c>
      <c r="P39" s="165">
        <f t="shared" si="28"/>
        <v>65.645416666666662</v>
      </c>
      <c r="Q39" s="165">
        <f t="shared" si="28"/>
        <v>58.25802083333334</v>
      </c>
      <c r="R39" s="165">
        <f t="shared" si="28"/>
        <v>93.86385416666667</v>
      </c>
      <c r="S39" s="165">
        <f t="shared" si="28"/>
        <v>91.041875000000005</v>
      </c>
      <c r="T39" s="165">
        <f t="shared" si="28"/>
        <v>51.674166666666672</v>
      </c>
      <c r="U39" s="165">
        <f t="shared" si="28"/>
        <v>91.103124999999991</v>
      </c>
      <c r="V39" s="165">
        <f t="shared" si="28"/>
        <v>111.13135416666667</v>
      </c>
      <c r="W39" s="165">
        <f t="shared" si="28"/>
        <v>117.60697916666666</v>
      </c>
      <c r="X39" s="165">
        <f t="shared" si="28"/>
        <v>110.22375</v>
      </c>
      <c r="Y39" s="165">
        <f t="shared" si="28"/>
        <v>102.17166666666665</v>
      </c>
      <c r="Z39" s="165">
        <f t="shared" si="28"/>
        <v>73.485937499999991</v>
      </c>
      <c r="AA39" s="165">
        <f t="shared" si="28"/>
        <v>46.607395833333342</v>
      </c>
      <c r="AB39" s="165">
        <f t="shared" si="28"/>
        <v>57.982291666666661</v>
      </c>
      <c r="AC39" s="165">
        <f t="shared" si="28"/>
        <v>96.577395833333341</v>
      </c>
      <c r="AD39" s="165">
        <f t="shared" si="28"/>
        <v>119.37364583333334</v>
      </c>
      <c r="AE39" s="165">
        <f t="shared" si="28"/>
        <v>120.00260416666667</v>
      </c>
      <c r="AF39" s="165">
        <f t="shared" si="28"/>
        <v>138.33208333333332</v>
      </c>
      <c r="AG39" s="165">
        <f t="shared" si="28"/>
        <v>98.218854166666659</v>
      </c>
      <c r="AH39" s="165">
        <f t="shared" si="28"/>
        <v>32.945937499999999</v>
      </c>
      <c r="AI39" s="292">
        <f>+AI38*AI37</f>
        <v>76.358793682795707</v>
      </c>
      <c r="AJ39" s="293">
        <f>+AJ37*AJ38</f>
        <v>76.358793682795707</v>
      </c>
    </row>
    <row r="40" spans="1:36" ht="15" thickBot="1" x14ac:dyDescent="0.35">
      <c r="A40" s="203"/>
      <c r="B40" s="162"/>
      <c r="C40" s="163" t="s">
        <v>19</v>
      </c>
      <c r="D40" s="166">
        <v>3545.59</v>
      </c>
      <c r="E40" s="166">
        <v>3563.3</v>
      </c>
      <c r="F40" s="166">
        <v>3916.54</v>
      </c>
      <c r="G40" s="166">
        <v>2750.66</v>
      </c>
      <c r="H40" s="166">
        <v>2774</v>
      </c>
      <c r="I40" s="166">
        <v>3584.04</v>
      </c>
      <c r="J40" s="166">
        <v>4444.7299999999996</v>
      </c>
      <c r="K40" s="166">
        <v>7596.54</v>
      </c>
      <c r="L40" s="166">
        <v>9326.93</v>
      </c>
      <c r="M40" s="166">
        <v>6939.25</v>
      </c>
      <c r="N40" s="166">
        <v>8435.44</v>
      </c>
      <c r="O40" s="166">
        <v>9447.1</v>
      </c>
      <c r="P40" s="166">
        <v>6301.96</v>
      </c>
      <c r="Q40" s="166">
        <v>5592.77</v>
      </c>
      <c r="R40" s="166">
        <v>9010.93</v>
      </c>
      <c r="S40" s="166">
        <v>8740.02</v>
      </c>
      <c r="T40" s="166">
        <v>4960.72</v>
      </c>
      <c r="U40" s="166">
        <v>8745.9</v>
      </c>
      <c r="V40" s="166">
        <v>10668.61</v>
      </c>
      <c r="W40" s="166">
        <v>11290.27</v>
      </c>
      <c r="X40" s="166">
        <v>10581.48</v>
      </c>
      <c r="Y40" s="166">
        <v>9808.48</v>
      </c>
      <c r="Z40" s="166">
        <v>7054.65</v>
      </c>
      <c r="AA40" s="166">
        <v>4474.3100000000004</v>
      </c>
      <c r="AB40" s="166">
        <v>5566.3</v>
      </c>
      <c r="AC40" s="166">
        <v>9271.43</v>
      </c>
      <c r="AD40" s="166">
        <v>11459.87</v>
      </c>
      <c r="AE40" s="166">
        <v>11520.25</v>
      </c>
      <c r="AF40" s="166">
        <v>13279.88</v>
      </c>
      <c r="AG40" s="166">
        <v>9429.01</v>
      </c>
      <c r="AH40" s="166">
        <v>3162.81</v>
      </c>
      <c r="AI40" s="294">
        <f>SUM(D40:AH40)</f>
        <v>227243.77000000002</v>
      </c>
      <c r="AJ40" s="295">
        <f>+AI40/$A$1*$AK$1</f>
        <v>227243.77000000002</v>
      </c>
    </row>
    <row r="41" spans="1:36" ht="15" thickTop="1" x14ac:dyDescent="0.3">
      <c r="A41" s="2">
        <v>94</v>
      </c>
      <c r="B41" s="28" t="s">
        <v>29</v>
      </c>
      <c r="C41" s="29" t="s">
        <v>15</v>
      </c>
      <c r="D41" s="30">
        <v>37</v>
      </c>
      <c r="E41" s="30">
        <v>39</v>
      </c>
      <c r="F41" s="30">
        <v>24</v>
      </c>
      <c r="G41" s="30">
        <v>22</v>
      </c>
      <c r="H41" s="30">
        <v>40</v>
      </c>
      <c r="I41" s="30">
        <v>44</v>
      </c>
      <c r="J41" s="30">
        <v>54</v>
      </c>
      <c r="K41" s="30">
        <v>64</v>
      </c>
      <c r="L41" s="30">
        <v>63</v>
      </c>
      <c r="M41" s="30">
        <v>51</v>
      </c>
      <c r="N41" s="30">
        <v>74</v>
      </c>
      <c r="O41" s="30">
        <v>78</v>
      </c>
      <c r="P41" s="30">
        <v>76</v>
      </c>
      <c r="Q41" s="30">
        <v>72</v>
      </c>
      <c r="R41" s="30">
        <v>85</v>
      </c>
      <c r="S41" s="30">
        <v>56</v>
      </c>
      <c r="T41" s="30">
        <v>68</v>
      </c>
      <c r="U41" s="30">
        <v>85</v>
      </c>
      <c r="V41" s="30">
        <v>89</v>
      </c>
      <c r="W41" s="30">
        <v>76</v>
      </c>
      <c r="X41" s="30">
        <v>92</v>
      </c>
      <c r="Y41" s="30">
        <v>68</v>
      </c>
      <c r="Z41" s="30">
        <v>78</v>
      </c>
      <c r="AA41" s="30">
        <v>52</v>
      </c>
      <c r="AB41" s="30">
        <v>75</v>
      </c>
      <c r="AC41" s="30">
        <v>84</v>
      </c>
      <c r="AD41" s="30">
        <v>91</v>
      </c>
      <c r="AE41" s="30">
        <v>90</v>
      </c>
      <c r="AF41" s="30">
        <v>89</v>
      </c>
      <c r="AG41" s="30">
        <v>91</v>
      </c>
      <c r="AH41" s="30">
        <v>68</v>
      </c>
      <c r="AI41" s="301">
        <f>SUM(D41:AH41)</f>
        <v>2075</v>
      </c>
      <c r="AJ41" s="280">
        <f>+$AI41/$A$1*$AK$1</f>
        <v>2075</v>
      </c>
    </row>
    <row r="42" spans="1:36" x14ac:dyDescent="0.3">
      <c r="A42" s="203"/>
      <c r="B42" s="33"/>
      <c r="C42" s="34" t="s">
        <v>16</v>
      </c>
      <c r="D42" s="35">
        <f>D41/$A41</f>
        <v>0.39361702127659576</v>
      </c>
      <c r="E42" s="35">
        <f t="shared" ref="E42:AH42" si="29">+E41/$A41</f>
        <v>0.41489361702127658</v>
      </c>
      <c r="F42" s="35">
        <f t="shared" si="29"/>
        <v>0.25531914893617019</v>
      </c>
      <c r="G42" s="35">
        <f t="shared" si="29"/>
        <v>0.23404255319148937</v>
      </c>
      <c r="H42" s="35">
        <f t="shared" si="29"/>
        <v>0.42553191489361702</v>
      </c>
      <c r="I42" s="35">
        <f t="shared" si="29"/>
        <v>0.46808510638297873</v>
      </c>
      <c r="J42" s="35">
        <f t="shared" si="29"/>
        <v>0.57446808510638303</v>
      </c>
      <c r="K42" s="35">
        <f t="shared" si="29"/>
        <v>0.68085106382978722</v>
      </c>
      <c r="L42" s="35">
        <f t="shared" si="29"/>
        <v>0.67021276595744683</v>
      </c>
      <c r="M42" s="35">
        <f t="shared" si="29"/>
        <v>0.54255319148936165</v>
      </c>
      <c r="N42" s="35">
        <f t="shared" si="29"/>
        <v>0.78723404255319152</v>
      </c>
      <c r="O42" s="35">
        <f t="shared" si="29"/>
        <v>0.82978723404255317</v>
      </c>
      <c r="P42" s="35">
        <f t="shared" si="29"/>
        <v>0.80851063829787229</v>
      </c>
      <c r="Q42" s="35">
        <f t="shared" si="29"/>
        <v>0.76595744680851063</v>
      </c>
      <c r="R42" s="35">
        <f t="shared" si="29"/>
        <v>0.9042553191489362</v>
      </c>
      <c r="S42" s="35">
        <f t="shared" si="29"/>
        <v>0.5957446808510638</v>
      </c>
      <c r="T42" s="35">
        <f t="shared" si="29"/>
        <v>0.72340425531914898</v>
      </c>
      <c r="U42" s="35">
        <f t="shared" si="29"/>
        <v>0.9042553191489362</v>
      </c>
      <c r="V42" s="35">
        <f t="shared" si="29"/>
        <v>0.94680851063829785</v>
      </c>
      <c r="W42" s="35">
        <f t="shared" si="29"/>
        <v>0.80851063829787229</v>
      </c>
      <c r="X42" s="35">
        <f t="shared" si="29"/>
        <v>0.97872340425531912</v>
      </c>
      <c r="Y42" s="35">
        <f t="shared" si="29"/>
        <v>0.72340425531914898</v>
      </c>
      <c r="Z42" s="35">
        <f t="shared" si="29"/>
        <v>0.82978723404255317</v>
      </c>
      <c r="AA42" s="35">
        <f t="shared" si="29"/>
        <v>0.55319148936170215</v>
      </c>
      <c r="AB42" s="35">
        <f t="shared" si="29"/>
        <v>0.7978723404255319</v>
      </c>
      <c r="AC42" s="35">
        <f t="shared" si="29"/>
        <v>0.8936170212765957</v>
      </c>
      <c r="AD42" s="35">
        <f t="shared" si="29"/>
        <v>0.96808510638297873</v>
      </c>
      <c r="AE42" s="35">
        <f t="shared" si="29"/>
        <v>0.95744680851063835</v>
      </c>
      <c r="AF42" s="35">
        <f t="shared" si="29"/>
        <v>0.94680851063829785</v>
      </c>
      <c r="AG42" s="35">
        <f t="shared" si="29"/>
        <v>0.96808510638297873</v>
      </c>
      <c r="AH42" s="35">
        <f t="shared" si="29"/>
        <v>0.72340425531914898</v>
      </c>
      <c r="AI42" s="281">
        <f>+AI41/(A41*A$1)</f>
        <v>0.71207961564859301</v>
      </c>
      <c r="AJ42" s="282">
        <f>AJ41/($A41*30)</f>
        <v>0.73581560283687941</v>
      </c>
    </row>
    <row r="43" spans="1:36" x14ac:dyDescent="0.3">
      <c r="A43" s="203"/>
      <c r="B43" s="33"/>
      <c r="C43" s="34" t="s">
        <v>17</v>
      </c>
      <c r="D43" s="37">
        <f>+IFERROR(D45/D41,0)</f>
        <v>119.50243243243244</v>
      </c>
      <c r="E43" s="37">
        <f t="shared" ref="E43:AH43" si="30">+IFERROR(E45/E41,0)</f>
        <v>117.1025641025641</v>
      </c>
      <c r="F43" s="37">
        <f t="shared" si="30"/>
        <v>124.35708333333334</v>
      </c>
      <c r="G43" s="37">
        <f t="shared" si="30"/>
        <v>115.86363636363636</v>
      </c>
      <c r="H43" s="37">
        <f t="shared" si="30"/>
        <v>116.16500000000001</v>
      </c>
      <c r="I43" s="37">
        <f t="shared" si="30"/>
        <v>128.9725</v>
      </c>
      <c r="J43" s="37">
        <f t="shared" si="30"/>
        <v>124.80148148148147</v>
      </c>
      <c r="K43" s="37">
        <f t="shared" si="30"/>
        <v>153.06734374999999</v>
      </c>
      <c r="L43" s="37">
        <f t="shared" si="30"/>
        <v>125.98666666666666</v>
      </c>
      <c r="M43" s="37">
        <f t="shared" si="30"/>
        <v>118.30627450980391</v>
      </c>
      <c r="N43" s="37">
        <f t="shared" si="30"/>
        <v>129.52216216216215</v>
      </c>
      <c r="O43" s="37">
        <f t="shared" si="30"/>
        <v>151.39192307692306</v>
      </c>
      <c r="P43" s="37">
        <f t="shared" si="30"/>
        <v>140.40092105263156</v>
      </c>
      <c r="Q43" s="37">
        <f>+IFERROR(Q45/Q41,0)</f>
        <v>124.1398611111111</v>
      </c>
      <c r="R43" s="37">
        <f t="shared" si="30"/>
        <v>131.86235294117645</v>
      </c>
      <c r="S43" s="37">
        <f t="shared" si="30"/>
        <v>123.96375</v>
      </c>
      <c r="T43" s="37">
        <f t="shared" si="30"/>
        <v>120.38220588235293</v>
      </c>
      <c r="U43" s="37">
        <f t="shared" si="30"/>
        <v>136.33094117647059</v>
      </c>
      <c r="V43" s="37">
        <f t="shared" si="30"/>
        <v>179.97303370786517</v>
      </c>
      <c r="W43" s="37">
        <f t="shared" si="30"/>
        <v>164.81447368421053</v>
      </c>
      <c r="X43" s="37">
        <f t="shared" si="30"/>
        <v>130.50413043478261</v>
      </c>
      <c r="Y43" s="37">
        <f t="shared" si="30"/>
        <v>129.18955882352941</v>
      </c>
      <c r="Z43" s="37">
        <f t="shared" si="30"/>
        <v>128.97871794871796</v>
      </c>
      <c r="AA43" s="37">
        <f t="shared" si="30"/>
        <v>115.69903846153846</v>
      </c>
      <c r="AB43" s="37">
        <f t="shared" si="30"/>
        <v>133.96373333333335</v>
      </c>
      <c r="AC43" s="37">
        <f t="shared" si="30"/>
        <v>154.52107142857145</v>
      </c>
      <c r="AD43" s="37">
        <f t="shared" si="30"/>
        <v>154.17032967032966</v>
      </c>
      <c r="AE43" s="37">
        <f t="shared" si="30"/>
        <v>133.75233333333333</v>
      </c>
      <c r="AF43" s="37">
        <f t="shared" si="30"/>
        <v>203.25370786516856</v>
      </c>
      <c r="AG43" s="37">
        <f t="shared" si="30"/>
        <v>136.52054945054945</v>
      </c>
      <c r="AH43" s="37">
        <f t="shared" si="30"/>
        <v>112.03573529411766</v>
      </c>
      <c r="AI43" s="283">
        <f>+AI45/AI41</f>
        <v>138.27140240963854</v>
      </c>
      <c r="AJ43" s="279">
        <f>+AJ45/AJ41</f>
        <v>138.27140240963854</v>
      </c>
    </row>
    <row r="44" spans="1:36" x14ac:dyDescent="0.3">
      <c r="A44" s="203"/>
      <c r="B44" s="33"/>
      <c r="C44" s="34" t="s">
        <v>18</v>
      </c>
      <c r="D44" s="37">
        <f>+D42*D43</f>
        <v>47.038191489361708</v>
      </c>
      <c r="E44" s="37">
        <f t="shared" ref="E44:AH44" si="31">+E42*E43</f>
        <v>48.585106382978722</v>
      </c>
      <c r="F44" s="37">
        <f t="shared" si="31"/>
        <v>31.750744680851064</v>
      </c>
      <c r="G44" s="37">
        <f t="shared" si="31"/>
        <v>27.117021276595743</v>
      </c>
      <c r="H44" s="37">
        <f t="shared" si="31"/>
        <v>49.431914893617027</v>
      </c>
      <c r="I44" s="37">
        <f t="shared" si="31"/>
        <v>60.370106382978726</v>
      </c>
      <c r="J44" s="37">
        <f t="shared" si="31"/>
        <v>71.694468085106379</v>
      </c>
      <c r="K44" s="37">
        <f t="shared" si="31"/>
        <v>104.21606382978723</v>
      </c>
      <c r="L44" s="37">
        <f t="shared" si="31"/>
        <v>84.437872340425528</v>
      </c>
      <c r="M44" s="37">
        <f t="shared" si="31"/>
        <v>64.187446808510629</v>
      </c>
      <c r="N44" s="37">
        <f t="shared" si="31"/>
        <v>101.96425531914893</v>
      </c>
      <c r="O44" s="37">
        <f t="shared" si="31"/>
        <v>125.62308510638296</v>
      </c>
      <c r="P44" s="37">
        <f t="shared" si="31"/>
        <v>113.51563829787231</v>
      </c>
      <c r="Q44" s="37">
        <f t="shared" si="31"/>
        <v>95.085851063829779</v>
      </c>
      <c r="R44" s="37">
        <f t="shared" si="31"/>
        <v>119.23723404255318</v>
      </c>
      <c r="S44" s="37">
        <f t="shared" si="31"/>
        <v>73.850744680851065</v>
      </c>
      <c r="T44" s="37">
        <f t="shared" si="31"/>
        <v>87.084999999999994</v>
      </c>
      <c r="U44" s="37">
        <f t="shared" si="31"/>
        <v>123.27797872340426</v>
      </c>
      <c r="V44" s="37">
        <f t="shared" si="31"/>
        <v>170.4</v>
      </c>
      <c r="W44" s="37">
        <f t="shared" si="31"/>
        <v>133.25425531914894</v>
      </c>
      <c r="X44" s="37">
        <f t="shared" si="31"/>
        <v>127.72744680851063</v>
      </c>
      <c r="Y44" s="37">
        <f t="shared" si="31"/>
        <v>93.456276595744683</v>
      </c>
      <c r="Z44" s="37">
        <f t="shared" si="31"/>
        <v>107.02489361702128</v>
      </c>
      <c r="AA44" s="37">
        <f t="shared" si="31"/>
        <v>64.003723404255325</v>
      </c>
      <c r="AB44" s="37">
        <f t="shared" si="31"/>
        <v>106.88595744680852</v>
      </c>
      <c r="AC44" s="37">
        <f t="shared" si="31"/>
        <v>138.0826595744681</v>
      </c>
      <c r="AD44" s="37">
        <f t="shared" si="31"/>
        <v>149.25</v>
      </c>
      <c r="AE44" s="37">
        <f t="shared" si="31"/>
        <v>128.06074468085106</v>
      </c>
      <c r="AF44" s="37">
        <f t="shared" si="31"/>
        <v>192.44234042553194</v>
      </c>
      <c r="AG44" s="37">
        <f t="shared" si="31"/>
        <v>132.16351063829788</v>
      </c>
      <c r="AH44" s="37">
        <f t="shared" si="31"/>
        <v>81.047127659574485</v>
      </c>
      <c r="AI44" s="283">
        <f>+AI43*AI42</f>
        <v>98.460247083047349</v>
      </c>
      <c r="AJ44" s="279">
        <f>+AJ42*AJ43</f>
        <v>101.74225531914892</v>
      </c>
    </row>
    <row r="45" spans="1:36" ht="15" thickBot="1" x14ac:dyDescent="0.35">
      <c r="A45" s="203"/>
      <c r="B45" s="33"/>
      <c r="C45" s="34" t="s">
        <v>19</v>
      </c>
      <c r="D45" s="158">
        <v>4421.59</v>
      </c>
      <c r="E45" s="158">
        <v>4567</v>
      </c>
      <c r="F45" s="158">
        <v>2984.57</v>
      </c>
      <c r="G45" s="158">
        <v>2549</v>
      </c>
      <c r="H45" s="158">
        <v>4646.6000000000004</v>
      </c>
      <c r="I45" s="158">
        <v>5674.79</v>
      </c>
      <c r="J45" s="158">
        <v>6739.28</v>
      </c>
      <c r="K45" s="158">
        <v>9796.31</v>
      </c>
      <c r="L45" s="158">
        <v>7937.16</v>
      </c>
      <c r="M45" s="158">
        <v>6033.62</v>
      </c>
      <c r="N45" s="158">
        <v>9584.64</v>
      </c>
      <c r="O45" s="158">
        <v>11808.57</v>
      </c>
      <c r="P45" s="158">
        <v>10670.47</v>
      </c>
      <c r="Q45" s="158">
        <v>8938.07</v>
      </c>
      <c r="R45" s="158">
        <v>11208.3</v>
      </c>
      <c r="S45" s="158">
        <v>6941.97</v>
      </c>
      <c r="T45" s="158">
        <v>8185.99</v>
      </c>
      <c r="U45" s="158">
        <v>11588.13</v>
      </c>
      <c r="V45" s="158">
        <v>16017.6</v>
      </c>
      <c r="W45" s="158">
        <v>12525.9</v>
      </c>
      <c r="X45" s="158">
        <v>12006.38</v>
      </c>
      <c r="Y45" s="158">
        <v>8784.89</v>
      </c>
      <c r="Z45" s="158">
        <v>10060.34</v>
      </c>
      <c r="AA45" s="158">
        <v>6016.35</v>
      </c>
      <c r="AB45" s="158">
        <v>10047.280000000001</v>
      </c>
      <c r="AC45" s="158">
        <v>12979.77</v>
      </c>
      <c r="AD45" s="158">
        <v>14029.5</v>
      </c>
      <c r="AE45" s="158">
        <v>12037.71</v>
      </c>
      <c r="AF45" s="158">
        <v>18089.580000000002</v>
      </c>
      <c r="AG45" s="158">
        <v>12423.37</v>
      </c>
      <c r="AH45" s="158">
        <v>7618.43</v>
      </c>
      <c r="AI45" s="284">
        <f>SUM(D45:AH45)</f>
        <v>286913.15999999997</v>
      </c>
      <c r="AJ45" s="285">
        <f>+AI45/$A$1*$AK$1</f>
        <v>286913.15999999997</v>
      </c>
    </row>
    <row r="46" spans="1:36" x14ac:dyDescent="0.3">
      <c r="A46" s="203">
        <v>133</v>
      </c>
      <c r="B46" s="159" t="s">
        <v>30</v>
      </c>
      <c r="C46" s="160" t="s">
        <v>15</v>
      </c>
      <c r="D46" s="275">
        <v>83</v>
      </c>
      <c r="E46" s="207">
        <v>71</v>
      </c>
      <c r="F46" s="207">
        <v>53</v>
      </c>
      <c r="G46" s="207">
        <v>34</v>
      </c>
      <c r="H46" s="207">
        <v>59</v>
      </c>
      <c r="I46" s="207">
        <v>82</v>
      </c>
      <c r="J46" s="207">
        <v>78</v>
      </c>
      <c r="K46" s="207">
        <v>79</v>
      </c>
      <c r="L46" s="207">
        <v>84</v>
      </c>
      <c r="M46" s="207">
        <v>66</v>
      </c>
      <c r="N46" s="207">
        <v>116</v>
      </c>
      <c r="O46" s="207">
        <v>127</v>
      </c>
      <c r="P46" s="207">
        <v>125</v>
      </c>
      <c r="Q46" s="207">
        <v>109</v>
      </c>
      <c r="R46" s="207">
        <v>87</v>
      </c>
      <c r="S46" s="207">
        <v>89</v>
      </c>
      <c r="T46" s="207">
        <v>103</v>
      </c>
      <c r="U46" s="207">
        <v>130</v>
      </c>
      <c r="V46" s="207">
        <v>131</v>
      </c>
      <c r="W46" s="207">
        <v>132</v>
      </c>
      <c r="X46" s="207">
        <v>126</v>
      </c>
      <c r="Y46" s="207">
        <v>79</v>
      </c>
      <c r="Z46" s="207">
        <v>129</v>
      </c>
      <c r="AA46" s="207">
        <v>97</v>
      </c>
      <c r="AB46" s="207">
        <v>126</v>
      </c>
      <c r="AC46" s="207">
        <v>132</v>
      </c>
      <c r="AD46" s="207">
        <v>96</v>
      </c>
      <c r="AE46" s="207">
        <v>84</v>
      </c>
      <c r="AF46" s="207">
        <v>78</v>
      </c>
      <c r="AG46" s="207">
        <v>110</v>
      </c>
      <c r="AH46" s="207">
        <v>75</v>
      </c>
      <c r="AI46" s="302">
        <f>SUM(D46:AH46)</f>
        <v>2970</v>
      </c>
      <c r="AJ46" s="303">
        <f>+$AI46/$A$1*$AK$1</f>
        <v>2970</v>
      </c>
    </row>
    <row r="47" spans="1:36" x14ac:dyDescent="0.3">
      <c r="A47" s="203"/>
      <c r="B47" s="162"/>
      <c r="C47" s="163" t="s">
        <v>16</v>
      </c>
      <c r="D47" s="164">
        <f>D46/$A$46</f>
        <v>0.62406015037593987</v>
      </c>
      <c r="E47" s="164">
        <f t="shared" ref="E47:W47" si="32">E46/$A$46</f>
        <v>0.53383458646616544</v>
      </c>
      <c r="F47" s="164">
        <f t="shared" si="32"/>
        <v>0.39849624060150374</v>
      </c>
      <c r="G47" s="164">
        <f t="shared" si="32"/>
        <v>0.25563909774436089</v>
      </c>
      <c r="H47" s="164">
        <f t="shared" si="32"/>
        <v>0.44360902255639095</v>
      </c>
      <c r="I47" s="164">
        <f t="shared" si="32"/>
        <v>0.61654135338345861</v>
      </c>
      <c r="J47" s="164">
        <f t="shared" si="32"/>
        <v>0.5864661654135338</v>
      </c>
      <c r="K47" s="164">
        <f t="shared" si="32"/>
        <v>0.59398496240601506</v>
      </c>
      <c r="L47" s="164">
        <f t="shared" si="32"/>
        <v>0.63157894736842102</v>
      </c>
      <c r="M47" s="164">
        <f t="shared" si="32"/>
        <v>0.49624060150375937</v>
      </c>
      <c r="N47" s="164">
        <f t="shared" si="32"/>
        <v>0.8721804511278195</v>
      </c>
      <c r="O47" s="164">
        <f t="shared" si="32"/>
        <v>0.95488721804511278</v>
      </c>
      <c r="P47" s="164">
        <f t="shared" si="32"/>
        <v>0.93984962406015038</v>
      </c>
      <c r="Q47" s="164">
        <f>Q46/$A$46</f>
        <v>0.81954887218045114</v>
      </c>
      <c r="R47" s="164">
        <f t="shared" si="32"/>
        <v>0.65413533834586468</v>
      </c>
      <c r="S47" s="164">
        <f t="shared" si="32"/>
        <v>0.66917293233082709</v>
      </c>
      <c r="T47" s="164">
        <f t="shared" si="32"/>
        <v>0.77443609022556392</v>
      </c>
      <c r="U47" s="164">
        <f t="shared" si="32"/>
        <v>0.97744360902255634</v>
      </c>
      <c r="V47" s="164">
        <f t="shared" si="32"/>
        <v>0.98496240601503759</v>
      </c>
      <c r="W47" s="164">
        <f t="shared" si="32"/>
        <v>0.99248120300751874</v>
      </c>
      <c r="X47" s="164">
        <f>X46/$A$46</f>
        <v>0.94736842105263153</v>
      </c>
      <c r="Y47" s="164">
        <f t="shared" ref="Y47:AH47" si="33">Y46/$A$46</f>
        <v>0.59398496240601506</v>
      </c>
      <c r="Z47" s="164">
        <f t="shared" si="33"/>
        <v>0.96992481203007519</v>
      </c>
      <c r="AA47" s="164">
        <f t="shared" si="33"/>
        <v>0.72932330827067671</v>
      </c>
      <c r="AB47" s="164">
        <f t="shared" si="33"/>
        <v>0.94736842105263153</v>
      </c>
      <c r="AC47" s="164">
        <f t="shared" si="33"/>
        <v>0.99248120300751874</v>
      </c>
      <c r="AD47" s="164">
        <f t="shared" si="33"/>
        <v>0.72180451127819545</v>
      </c>
      <c r="AE47" s="164">
        <f t="shared" si="33"/>
        <v>0.63157894736842102</v>
      </c>
      <c r="AF47" s="164">
        <f t="shared" si="33"/>
        <v>0.5864661654135338</v>
      </c>
      <c r="AG47" s="164">
        <f>AG46/$A$46</f>
        <v>0.82706766917293228</v>
      </c>
      <c r="AH47" s="164">
        <f t="shared" si="33"/>
        <v>0.56390977443609025</v>
      </c>
      <c r="AI47" s="290">
        <f>+AI46/(A46*A$1)</f>
        <v>0.72034926024739265</v>
      </c>
      <c r="AJ47" s="304">
        <f>AJ46/($A46*AK1)</f>
        <v>0.72034926024739265</v>
      </c>
    </row>
    <row r="48" spans="1:36" x14ac:dyDescent="0.3">
      <c r="A48" s="203"/>
      <c r="B48" s="162"/>
      <c r="C48" s="163" t="s">
        <v>17</v>
      </c>
      <c r="D48" s="165">
        <f>+IFERROR(D50/D46,0)</f>
        <v>113.43277108433735</v>
      </c>
      <c r="E48" s="165">
        <f t="shared" ref="E48:AH48" si="34">+IFERROR(E50/E46,0)</f>
        <v>121.86690140845069</v>
      </c>
      <c r="F48" s="165">
        <f t="shared" si="34"/>
        <v>121.61132075471697</v>
      </c>
      <c r="G48" s="165">
        <f t="shared" si="34"/>
        <v>98.164117647058816</v>
      </c>
      <c r="H48" s="165">
        <f t="shared" si="34"/>
        <v>123.38254237288135</v>
      </c>
      <c r="I48" s="165">
        <f t="shared" si="34"/>
        <v>148.81780487804878</v>
      </c>
      <c r="J48" s="165">
        <f t="shared" si="34"/>
        <v>120.2898717948718</v>
      </c>
      <c r="K48" s="165">
        <f t="shared" si="34"/>
        <v>124.3318987341772</v>
      </c>
      <c r="L48" s="165">
        <f t="shared" si="34"/>
        <v>132.93869047619049</v>
      </c>
      <c r="M48" s="165">
        <f t="shared" si="34"/>
        <v>117.41242424242425</v>
      </c>
      <c r="N48" s="165">
        <f t="shared" si="34"/>
        <v>145.92034482758621</v>
      </c>
      <c r="O48" s="165">
        <f t="shared" si="34"/>
        <v>149.48645669291338</v>
      </c>
      <c r="P48" s="165">
        <f t="shared" si="34"/>
        <v>143.77768</v>
      </c>
      <c r="Q48" s="165">
        <f>+IFERROR(Q50/Q46,0)</f>
        <v>141.39577981651377</v>
      </c>
      <c r="R48" s="165">
        <f t="shared" si="34"/>
        <v>111.88137931034483</v>
      </c>
      <c r="S48" s="165">
        <f t="shared" si="34"/>
        <v>122.4143820224719</v>
      </c>
      <c r="T48" s="165">
        <f t="shared" si="34"/>
        <v>120.72825242718447</v>
      </c>
      <c r="U48" s="165">
        <f t="shared" si="34"/>
        <v>144.64246153846153</v>
      </c>
      <c r="V48" s="165">
        <f t="shared" si="34"/>
        <v>144.07916030534349</v>
      </c>
      <c r="W48" s="165">
        <f t="shared" si="34"/>
        <v>148.10742424242426</v>
      </c>
      <c r="X48" s="165">
        <f t="shared" si="34"/>
        <v>135.9842857142857</v>
      </c>
      <c r="Y48" s="165">
        <f t="shared" si="34"/>
        <v>116.87025316455696</v>
      </c>
      <c r="Z48" s="165">
        <f t="shared" si="34"/>
        <v>129.45612403100776</v>
      </c>
      <c r="AA48" s="165">
        <f t="shared" si="34"/>
        <v>132.81092783505156</v>
      </c>
      <c r="AB48" s="165">
        <f t="shared" si="34"/>
        <v>160.77380952380952</v>
      </c>
      <c r="AC48" s="165">
        <f t="shared" si="34"/>
        <v>157.94265151515151</v>
      </c>
      <c r="AD48" s="165">
        <f t="shared" si="34"/>
        <v>145.99312499999999</v>
      </c>
      <c r="AE48" s="165">
        <f t="shared" si="34"/>
        <v>133.76547619047619</v>
      </c>
      <c r="AF48" s="165">
        <f t="shared" si="34"/>
        <v>129.24102564102563</v>
      </c>
      <c r="AG48" s="165">
        <f>+IFERROR(AG50/AG46,0)</f>
        <v>121.99618181818182</v>
      </c>
      <c r="AH48" s="165">
        <f t="shared" si="34"/>
        <v>120.19519999999999</v>
      </c>
      <c r="AI48" s="292">
        <f>+AI50/AI46</f>
        <v>134.63413131313132</v>
      </c>
      <c r="AJ48" s="305">
        <f>+AJ50/AJ46</f>
        <v>134.63413131313132</v>
      </c>
    </row>
    <row r="49" spans="1:38" x14ac:dyDescent="0.3">
      <c r="A49" s="203"/>
      <c r="B49" s="162"/>
      <c r="C49" s="163" t="s">
        <v>18</v>
      </c>
      <c r="D49" s="165">
        <f>+D47*D48</f>
        <v>70.788872180451122</v>
      </c>
      <c r="E49" s="165">
        <f t="shared" ref="E49:AH49" si="35">+E47*E48</f>
        <v>65.056766917293231</v>
      </c>
      <c r="F49" s="165">
        <f t="shared" si="35"/>
        <v>48.461654135338343</v>
      </c>
      <c r="G49" s="165">
        <f t="shared" si="35"/>
        <v>25.09458646616541</v>
      </c>
      <c r="H49" s="165">
        <f t="shared" si="35"/>
        <v>54.733609022556386</v>
      </c>
      <c r="I49" s="165">
        <f t="shared" si="35"/>
        <v>91.752330827067667</v>
      </c>
      <c r="J49" s="165">
        <f t="shared" si="35"/>
        <v>70.545939849624062</v>
      </c>
      <c r="K49" s="165">
        <f t="shared" si="35"/>
        <v>73.851278195488717</v>
      </c>
      <c r="L49" s="165">
        <f t="shared" si="35"/>
        <v>83.961278195488731</v>
      </c>
      <c r="M49" s="165">
        <f t="shared" si="35"/>
        <v>58.264812030075191</v>
      </c>
      <c r="N49" s="165">
        <f t="shared" si="35"/>
        <v>127.26887218045113</v>
      </c>
      <c r="O49" s="165">
        <f t="shared" si="35"/>
        <v>142.74270676691728</v>
      </c>
      <c r="P49" s="165">
        <f t="shared" si="35"/>
        <v>135.12939849624061</v>
      </c>
      <c r="Q49" s="165">
        <f t="shared" si="35"/>
        <v>115.88075187969925</v>
      </c>
      <c r="R49" s="165">
        <f t="shared" si="35"/>
        <v>73.185563909774444</v>
      </c>
      <c r="S49" s="165">
        <f t="shared" si="35"/>
        <v>81.916390977443598</v>
      </c>
      <c r="T49" s="165">
        <f t="shared" si="35"/>
        <v>93.496315789473684</v>
      </c>
      <c r="U49" s="165">
        <f t="shared" si="35"/>
        <v>141.37984962406014</v>
      </c>
      <c r="V49" s="165">
        <f t="shared" si="35"/>
        <v>141.91255639097741</v>
      </c>
      <c r="W49" s="165">
        <f t="shared" si="35"/>
        <v>146.99383458646616</v>
      </c>
      <c r="X49" s="165">
        <f t="shared" si="35"/>
        <v>128.82721804511277</v>
      </c>
      <c r="Y49" s="165">
        <f t="shared" si="35"/>
        <v>69.419172932330824</v>
      </c>
      <c r="Z49" s="165">
        <f t="shared" si="35"/>
        <v>125.5627067669173</v>
      </c>
      <c r="AA49" s="165">
        <f t="shared" si="35"/>
        <v>96.8621052631579</v>
      </c>
      <c r="AB49" s="165">
        <f t="shared" si="35"/>
        <v>152.31203007518795</v>
      </c>
      <c r="AC49" s="165">
        <f t="shared" si="35"/>
        <v>156.75511278195486</v>
      </c>
      <c r="AD49" s="165">
        <f t="shared" si="35"/>
        <v>105.37849624060149</v>
      </c>
      <c r="AE49" s="165">
        <f t="shared" si="35"/>
        <v>84.48345864661654</v>
      </c>
      <c r="AF49" s="165">
        <f t="shared" si="35"/>
        <v>75.795488721804503</v>
      </c>
      <c r="AG49" s="165">
        <f t="shared" si="35"/>
        <v>100.8990977443609</v>
      </c>
      <c r="AH49" s="165">
        <f t="shared" si="35"/>
        <v>67.77924812030075</v>
      </c>
      <c r="AI49" s="292">
        <f>+AI47*AI48</f>
        <v>96.983596895464473</v>
      </c>
      <c r="AJ49" s="305">
        <f>+AJ47*AJ48</f>
        <v>96.983596895464473</v>
      </c>
    </row>
    <row r="50" spans="1:38" s="248" customFormat="1" ht="15" thickBot="1" x14ac:dyDescent="0.35">
      <c r="A50" s="238"/>
      <c r="B50" s="212"/>
      <c r="C50" s="213" t="s">
        <v>31</v>
      </c>
      <c r="D50" s="214">
        <v>9414.92</v>
      </c>
      <c r="E50" s="214">
        <v>8652.5499999999993</v>
      </c>
      <c r="F50" s="214">
        <v>6445.4</v>
      </c>
      <c r="G50" s="214">
        <v>3337.58</v>
      </c>
      <c r="H50" s="214">
        <v>7279.57</v>
      </c>
      <c r="I50" s="214">
        <v>12203.06</v>
      </c>
      <c r="J50" s="214">
        <v>9382.61</v>
      </c>
      <c r="K50" s="214">
        <v>9822.2199999999993</v>
      </c>
      <c r="L50" s="214">
        <v>11166.85</v>
      </c>
      <c r="M50" s="214">
        <v>7749.22</v>
      </c>
      <c r="N50" s="214">
        <v>16926.759999999998</v>
      </c>
      <c r="O50" s="214">
        <v>18984.78</v>
      </c>
      <c r="P50" s="214">
        <v>17972.21</v>
      </c>
      <c r="Q50" s="214">
        <v>15412.14</v>
      </c>
      <c r="R50" s="214">
        <v>9733.68</v>
      </c>
      <c r="S50" s="214">
        <v>10894.88</v>
      </c>
      <c r="T50" s="214">
        <v>12435.01</v>
      </c>
      <c r="U50" s="214">
        <v>18803.52</v>
      </c>
      <c r="V50" s="214">
        <v>18874.37</v>
      </c>
      <c r="W50" s="214">
        <v>19550.18</v>
      </c>
      <c r="X50" s="214">
        <v>17134.02</v>
      </c>
      <c r="Y50" s="214">
        <v>9232.75</v>
      </c>
      <c r="Z50" s="214">
        <v>16699.84</v>
      </c>
      <c r="AA50" s="214">
        <v>12882.66</v>
      </c>
      <c r="AB50" s="214">
        <v>20257.5</v>
      </c>
      <c r="AC50" s="214">
        <v>20848.43</v>
      </c>
      <c r="AD50" s="214">
        <v>14015.34</v>
      </c>
      <c r="AE50" s="214">
        <v>11236.3</v>
      </c>
      <c r="AF50" s="214">
        <v>10080.799999999999</v>
      </c>
      <c r="AG50" s="214">
        <v>13419.58</v>
      </c>
      <c r="AH50" s="214">
        <v>9014.64</v>
      </c>
      <c r="AI50" s="215">
        <f>SUM(D50:AH50)</f>
        <v>399863.37</v>
      </c>
      <c r="AJ50" s="306">
        <f>+AI50/$A$1*$AK$1</f>
        <v>399863.37</v>
      </c>
    </row>
    <row r="51" spans="1:38" x14ac:dyDescent="0.3">
      <c r="A51" s="203">
        <v>91</v>
      </c>
      <c r="B51" s="159" t="s">
        <v>32</v>
      </c>
      <c r="C51" s="160" t="s">
        <v>15</v>
      </c>
      <c r="D51" s="207">
        <v>51</v>
      </c>
      <c r="E51" s="207">
        <v>44</v>
      </c>
      <c r="F51" s="207">
        <v>23</v>
      </c>
      <c r="G51" s="207">
        <v>34</v>
      </c>
      <c r="H51" s="207">
        <v>50</v>
      </c>
      <c r="I51" s="207">
        <v>36</v>
      </c>
      <c r="J51" s="207">
        <v>45</v>
      </c>
      <c r="K51" s="207">
        <v>60</v>
      </c>
      <c r="L51" s="207">
        <v>37</v>
      </c>
      <c r="M51" s="207">
        <v>30</v>
      </c>
      <c r="N51" s="207">
        <v>54</v>
      </c>
      <c r="O51" s="207">
        <v>82</v>
      </c>
      <c r="P51" s="207">
        <v>69</v>
      </c>
      <c r="Q51" s="207">
        <v>61</v>
      </c>
      <c r="R51" s="207">
        <v>61</v>
      </c>
      <c r="S51" s="207">
        <v>58</v>
      </c>
      <c r="T51" s="207">
        <v>44</v>
      </c>
      <c r="U51" s="207">
        <v>82</v>
      </c>
      <c r="V51" s="207">
        <v>91</v>
      </c>
      <c r="W51" s="207">
        <v>91</v>
      </c>
      <c r="X51" s="207">
        <v>80</v>
      </c>
      <c r="Y51" s="207">
        <v>42</v>
      </c>
      <c r="Z51" s="207">
        <v>89</v>
      </c>
      <c r="AA51" s="207">
        <v>41</v>
      </c>
      <c r="AB51" s="207">
        <v>88</v>
      </c>
      <c r="AC51" s="207">
        <v>91</v>
      </c>
      <c r="AD51" s="207">
        <v>64</v>
      </c>
      <c r="AE51" s="207">
        <v>64</v>
      </c>
      <c r="AF51" s="207">
        <v>60</v>
      </c>
      <c r="AG51" s="207">
        <v>50</v>
      </c>
      <c r="AH51" s="207">
        <v>47</v>
      </c>
      <c r="AI51" s="302">
        <f>SUM(D51:AH51)</f>
        <v>1819</v>
      </c>
      <c r="AJ51" s="289">
        <f>+$AI51/$A$1*$AK$1</f>
        <v>1819</v>
      </c>
    </row>
    <row r="52" spans="1:38" x14ac:dyDescent="0.3">
      <c r="A52" s="203"/>
      <c r="B52" s="162"/>
      <c r="C52" s="163" t="s">
        <v>16</v>
      </c>
      <c r="D52" s="164">
        <f t="shared" ref="D52:G52" si="36">D51/$A$51</f>
        <v>0.56043956043956045</v>
      </c>
      <c r="E52" s="164">
        <f t="shared" si="36"/>
        <v>0.48351648351648352</v>
      </c>
      <c r="F52" s="164">
        <f t="shared" si="36"/>
        <v>0.25274725274725274</v>
      </c>
      <c r="G52" s="164">
        <f t="shared" si="36"/>
        <v>0.37362637362637363</v>
      </c>
      <c r="H52" s="164">
        <f>H51/$A$51</f>
        <v>0.5494505494505495</v>
      </c>
      <c r="I52" s="164">
        <f t="shared" ref="I52:AH52" si="37">I51/$A$51</f>
        <v>0.39560439560439559</v>
      </c>
      <c r="J52" s="164">
        <f t="shared" si="37"/>
        <v>0.49450549450549453</v>
      </c>
      <c r="K52" s="164">
        <f t="shared" si="37"/>
        <v>0.65934065934065933</v>
      </c>
      <c r="L52" s="164">
        <f t="shared" si="37"/>
        <v>0.40659340659340659</v>
      </c>
      <c r="M52" s="164">
        <f t="shared" si="37"/>
        <v>0.32967032967032966</v>
      </c>
      <c r="N52" s="164">
        <f t="shared" si="37"/>
        <v>0.59340659340659341</v>
      </c>
      <c r="O52" s="164">
        <f t="shared" si="37"/>
        <v>0.90109890109890112</v>
      </c>
      <c r="P52" s="164">
        <f t="shared" si="37"/>
        <v>0.75824175824175821</v>
      </c>
      <c r="Q52" s="164">
        <f>Q51/$A$51</f>
        <v>0.67032967032967028</v>
      </c>
      <c r="R52" s="164">
        <f t="shared" si="37"/>
        <v>0.67032967032967028</v>
      </c>
      <c r="S52" s="164">
        <f t="shared" si="37"/>
        <v>0.63736263736263732</v>
      </c>
      <c r="T52" s="164">
        <f t="shared" si="37"/>
        <v>0.48351648351648352</v>
      </c>
      <c r="U52" s="164">
        <f t="shared" si="37"/>
        <v>0.90109890109890112</v>
      </c>
      <c r="V52" s="164">
        <f t="shared" si="37"/>
        <v>1</v>
      </c>
      <c r="W52" s="164">
        <f t="shared" si="37"/>
        <v>1</v>
      </c>
      <c r="X52" s="164">
        <f t="shared" si="37"/>
        <v>0.87912087912087911</v>
      </c>
      <c r="Y52" s="164">
        <f t="shared" si="37"/>
        <v>0.46153846153846156</v>
      </c>
      <c r="Z52" s="164">
        <f t="shared" si="37"/>
        <v>0.97802197802197799</v>
      </c>
      <c r="AA52" s="164">
        <f t="shared" si="37"/>
        <v>0.45054945054945056</v>
      </c>
      <c r="AB52" s="164">
        <f t="shared" si="37"/>
        <v>0.96703296703296704</v>
      </c>
      <c r="AC52" s="164">
        <f t="shared" si="37"/>
        <v>1</v>
      </c>
      <c r="AD52" s="164">
        <f t="shared" si="37"/>
        <v>0.70329670329670335</v>
      </c>
      <c r="AE52" s="164">
        <f t="shared" si="37"/>
        <v>0.70329670329670335</v>
      </c>
      <c r="AF52" s="164">
        <f t="shared" si="37"/>
        <v>0.65934065934065933</v>
      </c>
      <c r="AG52" s="164">
        <f t="shared" si="37"/>
        <v>0.5494505494505495</v>
      </c>
      <c r="AH52" s="164">
        <f t="shared" si="37"/>
        <v>0.51648351648351654</v>
      </c>
      <c r="AI52" s="290">
        <f>+AI51/(A51*A$1)</f>
        <v>0.6448068060971287</v>
      </c>
      <c r="AJ52" s="291">
        <f>AJ51/($A51*AK1)</f>
        <v>0.6448068060971287</v>
      </c>
    </row>
    <row r="53" spans="1:38" x14ac:dyDescent="0.3">
      <c r="A53" s="203"/>
      <c r="B53" s="162"/>
      <c r="C53" s="163" t="s">
        <v>17</v>
      </c>
      <c r="D53" s="165">
        <f>+IFERROR(D55/D51,0)</f>
        <v>101.68039215686274</v>
      </c>
      <c r="E53" s="165">
        <f t="shared" ref="E53:AH53" si="38">+IFERROR(E55/E51,0)</f>
        <v>102.86659090909092</v>
      </c>
      <c r="F53" s="165">
        <f t="shared" si="38"/>
        <v>109.38521739130435</v>
      </c>
      <c r="G53" s="165">
        <f t="shared" si="38"/>
        <v>111.34176470588235</v>
      </c>
      <c r="H53" s="165">
        <f t="shared" si="38"/>
        <v>117.14659999999999</v>
      </c>
      <c r="I53" s="165">
        <f t="shared" si="38"/>
        <v>74.536388888888894</v>
      </c>
      <c r="J53" s="165">
        <f t="shared" si="38"/>
        <v>128.32088888888887</v>
      </c>
      <c r="K53" s="165">
        <f t="shared" si="38"/>
        <v>127.13850000000001</v>
      </c>
      <c r="L53" s="165">
        <f t="shared" si="38"/>
        <v>112.64243243243244</v>
      </c>
      <c r="M53" s="165">
        <f t="shared" si="38"/>
        <v>98.88966666666667</v>
      </c>
      <c r="N53" s="165">
        <f t="shared" si="38"/>
        <v>115.15055555555556</v>
      </c>
      <c r="O53" s="165">
        <f t="shared" si="38"/>
        <v>123.36451219512195</v>
      </c>
      <c r="P53" s="165">
        <f t="shared" si="38"/>
        <v>137.54652173913041</v>
      </c>
      <c r="Q53" s="165">
        <f>+IFERROR(Q55/Q51,0)</f>
        <v>127.80409836065574</v>
      </c>
      <c r="R53" s="165">
        <f t="shared" si="38"/>
        <v>113.30344262295083</v>
      </c>
      <c r="S53" s="165">
        <f t="shared" si="38"/>
        <v>120.55327586206897</v>
      </c>
      <c r="T53" s="165">
        <f t="shared" si="38"/>
        <v>121.82636363636362</v>
      </c>
      <c r="U53" s="165">
        <f t="shared" si="38"/>
        <v>134.06170731707317</v>
      </c>
      <c r="V53" s="165">
        <f t="shared" si="38"/>
        <v>137.68417582417584</v>
      </c>
      <c r="W53" s="165">
        <f t="shared" si="38"/>
        <v>144.97824175824175</v>
      </c>
      <c r="X53" s="165">
        <f t="shared" si="38"/>
        <v>128.54300000000001</v>
      </c>
      <c r="Y53" s="165">
        <f t="shared" si="38"/>
        <v>123.91142857142856</v>
      </c>
      <c r="Z53" s="165">
        <f t="shared" si="38"/>
        <v>132.23280898876405</v>
      </c>
      <c r="AA53" s="165">
        <f t="shared" si="38"/>
        <v>122.7141463414634</v>
      </c>
      <c r="AB53" s="165">
        <f t="shared" si="38"/>
        <v>166.23147727272729</v>
      </c>
      <c r="AC53" s="165">
        <f t="shared" si="38"/>
        <v>166.72648351648351</v>
      </c>
      <c r="AD53" s="165">
        <f t="shared" si="38"/>
        <v>152.02359375</v>
      </c>
      <c r="AE53" s="165">
        <f t="shared" si="38"/>
        <v>136.15625</v>
      </c>
      <c r="AF53" s="165">
        <f t="shared" si="38"/>
        <v>105.5985</v>
      </c>
      <c r="AG53" s="165">
        <f t="shared" si="38"/>
        <v>130.38299999999998</v>
      </c>
      <c r="AH53" s="165">
        <f t="shared" si="38"/>
        <v>125.80574468085106</v>
      </c>
      <c r="AI53" s="292">
        <f>+AI55/AI51</f>
        <v>128.63709730621221</v>
      </c>
      <c r="AJ53" s="293">
        <f>+AJ55/AJ51</f>
        <v>128.63709730621221</v>
      </c>
    </row>
    <row r="54" spans="1:38" x14ac:dyDescent="0.3">
      <c r="A54" s="203"/>
      <c r="B54" s="162"/>
      <c r="C54" s="163" t="s">
        <v>18</v>
      </c>
      <c r="D54" s="165">
        <f>+D52*D53</f>
        <v>56.98571428571428</v>
      </c>
      <c r="E54" s="165">
        <f t="shared" ref="E54:AH54" si="39">+E52*E53</f>
        <v>49.737692307692313</v>
      </c>
      <c r="F54" s="165">
        <f t="shared" si="39"/>
        <v>27.646813186813187</v>
      </c>
      <c r="G54" s="165">
        <f t="shared" si="39"/>
        <v>41.600219780219781</v>
      </c>
      <c r="H54" s="165">
        <f t="shared" si="39"/>
        <v>64.366263736263733</v>
      </c>
      <c r="I54" s="165">
        <f t="shared" si="39"/>
        <v>29.486923076923077</v>
      </c>
      <c r="J54" s="165">
        <f t="shared" si="39"/>
        <v>63.45538461538461</v>
      </c>
      <c r="K54" s="165">
        <f t="shared" si="39"/>
        <v>83.82758241758242</v>
      </c>
      <c r="L54" s="165">
        <f t="shared" si="39"/>
        <v>45.799670329670334</v>
      </c>
      <c r="M54" s="165">
        <f t="shared" si="39"/>
        <v>32.600989010989011</v>
      </c>
      <c r="N54" s="165">
        <f t="shared" si="39"/>
        <v>68.331098901098898</v>
      </c>
      <c r="O54" s="165">
        <f t="shared" si="39"/>
        <v>111.16362637362637</v>
      </c>
      <c r="P54" s="165">
        <f t="shared" si="39"/>
        <v>104.29351648351646</v>
      </c>
      <c r="Q54" s="165">
        <f t="shared" si="39"/>
        <v>85.670879120879121</v>
      </c>
      <c r="R54" s="165">
        <f t="shared" si="39"/>
        <v>75.950659340659342</v>
      </c>
      <c r="S54" s="165">
        <f t="shared" si="39"/>
        <v>76.836153846153849</v>
      </c>
      <c r="T54" s="165">
        <f t="shared" si="39"/>
        <v>58.905054945054943</v>
      </c>
      <c r="U54" s="165">
        <f t="shared" si="39"/>
        <v>120.80285714285715</v>
      </c>
      <c r="V54" s="165">
        <f t="shared" si="39"/>
        <v>137.68417582417584</v>
      </c>
      <c r="W54" s="165">
        <f t="shared" si="39"/>
        <v>144.97824175824175</v>
      </c>
      <c r="X54" s="165">
        <f t="shared" si="39"/>
        <v>113.00483516483517</v>
      </c>
      <c r="Y54" s="165">
        <f t="shared" si="39"/>
        <v>57.189890109890108</v>
      </c>
      <c r="Z54" s="165">
        <f t="shared" si="39"/>
        <v>129.32659340659342</v>
      </c>
      <c r="AA54" s="165">
        <f t="shared" si="39"/>
        <v>55.288791208791203</v>
      </c>
      <c r="AB54" s="165">
        <f>+AB52*AB53</f>
        <v>160.75131868131871</v>
      </c>
      <c r="AC54" s="165">
        <f t="shared" si="39"/>
        <v>166.72648351648351</v>
      </c>
      <c r="AD54" s="165">
        <f t="shared" si="39"/>
        <v>106.91769230769232</v>
      </c>
      <c r="AE54" s="165">
        <f t="shared" si="39"/>
        <v>95.758241758241766</v>
      </c>
      <c r="AF54" s="165">
        <f t="shared" si="39"/>
        <v>69.625384615384618</v>
      </c>
      <c r="AG54" s="165">
        <f t="shared" si="39"/>
        <v>71.639010989010984</v>
      </c>
      <c r="AH54" s="165">
        <f t="shared" si="39"/>
        <v>64.976593406593409</v>
      </c>
      <c r="AI54" s="292">
        <f>+AI52*AI53</f>
        <v>82.946075859624258</v>
      </c>
      <c r="AJ54" s="293">
        <f>+AJ52*AJ53</f>
        <v>82.946075859624258</v>
      </c>
    </row>
    <row r="55" spans="1:38" s="248" customFormat="1" ht="15" thickBot="1" x14ac:dyDescent="0.35">
      <c r="A55" s="238"/>
      <c r="B55" s="212"/>
      <c r="C55" s="213" t="s">
        <v>31</v>
      </c>
      <c r="D55" s="214">
        <v>5185.7</v>
      </c>
      <c r="E55" s="214">
        <v>4526.13</v>
      </c>
      <c r="F55" s="214">
        <v>2515.86</v>
      </c>
      <c r="G55" s="214">
        <v>3785.62</v>
      </c>
      <c r="H55" s="214">
        <v>5857.33</v>
      </c>
      <c r="I55" s="214">
        <v>2683.31</v>
      </c>
      <c r="J55" s="214">
        <v>5774.44</v>
      </c>
      <c r="K55" s="214">
        <v>7628.31</v>
      </c>
      <c r="L55" s="214">
        <v>4167.7700000000004</v>
      </c>
      <c r="M55" s="214">
        <v>2966.69</v>
      </c>
      <c r="N55" s="214">
        <v>6218.13</v>
      </c>
      <c r="O55" s="214">
        <v>10115.89</v>
      </c>
      <c r="P55" s="214">
        <v>9490.7099999999991</v>
      </c>
      <c r="Q55" s="214">
        <v>7796.05</v>
      </c>
      <c r="R55" s="214">
        <v>6911.51</v>
      </c>
      <c r="S55" s="214">
        <v>6992.09</v>
      </c>
      <c r="T55" s="214">
        <v>5360.36</v>
      </c>
      <c r="U55" s="214">
        <v>10993.06</v>
      </c>
      <c r="V55" s="214">
        <v>12529.26</v>
      </c>
      <c r="W55" s="214">
        <v>13193.02</v>
      </c>
      <c r="X55" s="214">
        <v>10283.44</v>
      </c>
      <c r="Y55" s="214">
        <v>5204.28</v>
      </c>
      <c r="Z55" s="214">
        <v>11768.72</v>
      </c>
      <c r="AA55" s="214">
        <v>5031.28</v>
      </c>
      <c r="AB55" s="214">
        <v>14628.37</v>
      </c>
      <c r="AC55" s="214">
        <v>15172.11</v>
      </c>
      <c r="AD55" s="214">
        <v>9729.51</v>
      </c>
      <c r="AE55" s="214">
        <v>8714</v>
      </c>
      <c r="AF55" s="214">
        <v>6335.91</v>
      </c>
      <c r="AG55" s="214">
        <v>6519.15</v>
      </c>
      <c r="AH55" s="214">
        <v>5912.87</v>
      </c>
      <c r="AI55" s="215">
        <f>SUM(D55:AH55)</f>
        <v>233990.88</v>
      </c>
      <c r="AJ55" s="307">
        <f>+AI55/$A$1*$AK$1</f>
        <v>233990.88</v>
      </c>
    </row>
    <row r="56" spans="1:38" s="248" customFormat="1" ht="15" hidden="1" thickBot="1" x14ac:dyDescent="0.35">
      <c r="A56" s="238"/>
      <c r="B56" s="256"/>
      <c r="C56" s="257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9"/>
      <c r="AJ56" s="295"/>
    </row>
    <row r="57" spans="1:38" x14ac:dyDescent="0.3">
      <c r="A57" s="203">
        <v>224</v>
      </c>
      <c r="B57" s="159" t="s">
        <v>33</v>
      </c>
      <c r="C57" s="160" t="s">
        <v>19</v>
      </c>
      <c r="D57" s="253">
        <f t="shared" ref="D57:AH57" si="40">+D55+D50</f>
        <v>14600.619999999999</v>
      </c>
      <c r="E57" s="253">
        <f t="shared" si="40"/>
        <v>13178.68</v>
      </c>
      <c r="F57" s="253">
        <f t="shared" si="40"/>
        <v>8961.26</v>
      </c>
      <c r="G57" s="253">
        <f t="shared" si="40"/>
        <v>7123.2</v>
      </c>
      <c r="H57" s="253">
        <f t="shared" si="40"/>
        <v>13136.9</v>
      </c>
      <c r="I57" s="253">
        <f>+I55+I50</f>
        <v>14886.369999999999</v>
      </c>
      <c r="J57" s="253">
        <f t="shared" si="40"/>
        <v>15157.05</v>
      </c>
      <c r="K57" s="253">
        <f t="shared" si="40"/>
        <v>17450.53</v>
      </c>
      <c r="L57" s="253">
        <f t="shared" si="40"/>
        <v>15334.62</v>
      </c>
      <c r="M57" s="253">
        <f t="shared" si="40"/>
        <v>10715.91</v>
      </c>
      <c r="N57" s="253">
        <f t="shared" si="40"/>
        <v>23144.89</v>
      </c>
      <c r="O57" s="253">
        <f t="shared" si="40"/>
        <v>29100.67</v>
      </c>
      <c r="P57" s="253">
        <f t="shared" si="40"/>
        <v>27462.92</v>
      </c>
      <c r="Q57" s="253">
        <f t="shared" si="40"/>
        <v>23208.19</v>
      </c>
      <c r="R57" s="253">
        <f t="shared" si="40"/>
        <v>16645.190000000002</v>
      </c>
      <c r="S57" s="253">
        <f t="shared" si="40"/>
        <v>17886.97</v>
      </c>
      <c r="T57" s="253">
        <f>+T55+T50</f>
        <v>17795.37</v>
      </c>
      <c r="U57" s="253">
        <f t="shared" si="40"/>
        <v>29796.58</v>
      </c>
      <c r="V57" s="253">
        <f t="shared" si="40"/>
        <v>31403.629999999997</v>
      </c>
      <c r="W57" s="253">
        <f t="shared" si="40"/>
        <v>32743.200000000001</v>
      </c>
      <c r="X57" s="253">
        <f t="shared" si="40"/>
        <v>27417.46</v>
      </c>
      <c r="Y57" s="253">
        <f t="shared" si="40"/>
        <v>14437.029999999999</v>
      </c>
      <c r="Z57" s="253">
        <f t="shared" si="40"/>
        <v>28468.559999999998</v>
      </c>
      <c r="AA57" s="253">
        <f t="shared" si="40"/>
        <v>17913.939999999999</v>
      </c>
      <c r="AB57" s="253">
        <f t="shared" si="40"/>
        <v>34885.870000000003</v>
      </c>
      <c r="AC57" s="253">
        <f t="shared" si="40"/>
        <v>36020.54</v>
      </c>
      <c r="AD57" s="253">
        <f t="shared" si="40"/>
        <v>23744.85</v>
      </c>
      <c r="AE57" s="253">
        <f t="shared" si="40"/>
        <v>19950.3</v>
      </c>
      <c r="AF57" s="253">
        <f t="shared" si="40"/>
        <v>16416.71</v>
      </c>
      <c r="AG57" s="253">
        <f>+AG55+AG50</f>
        <v>19938.73</v>
      </c>
      <c r="AH57" s="253">
        <f t="shared" si="40"/>
        <v>14927.509999999998</v>
      </c>
      <c r="AI57" s="308">
        <f>SUM(D57:AH57)</f>
        <v>633854.25</v>
      </c>
      <c r="AJ57" s="293">
        <f>+AJ55+AJ50</f>
        <v>633854.25</v>
      </c>
    </row>
    <row r="58" spans="1:38" x14ac:dyDescent="0.3">
      <c r="A58" s="203"/>
      <c r="B58" s="162"/>
      <c r="C58" s="163" t="s">
        <v>34</v>
      </c>
      <c r="D58" s="166">
        <f t="shared" ref="D58:W58" si="41">+D59-D57</f>
        <v>127.96000000000095</v>
      </c>
      <c r="E58" s="166">
        <f t="shared" si="41"/>
        <v>856.04000000000087</v>
      </c>
      <c r="F58" s="166">
        <f t="shared" si="41"/>
        <v>327.5</v>
      </c>
      <c r="G58" s="166">
        <f t="shared" si="41"/>
        <v>333.60999999999967</v>
      </c>
      <c r="H58" s="166">
        <f t="shared" si="41"/>
        <v>3552.9100000000017</v>
      </c>
      <c r="I58" s="166">
        <f t="shared" si="41"/>
        <v>3580.8200000000033</v>
      </c>
      <c r="J58" s="166">
        <f>+J59-J57</f>
        <v>520.52000000000044</v>
      </c>
      <c r="K58" s="166">
        <f t="shared" si="41"/>
        <v>1962.75</v>
      </c>
      <c r="L58" s="166">
        <f>L59-L57</f>
        <v>538.8899999999976</v>
      </c>
      <c r="M58" s="166">
        <f t="shared" si="41"/>
        <v>763.56999999999971</v>
      </c>
      <c r="N58" s="166">
        <f t="shared" si="41"/>
        <v>1136.4300000000003</v>
      </c>
      <c r="O58" s="166">
        <f t="shared" si="41"/>
        <v>1079</v>
      </c>
      <c r="P58" s="166">
        <f t="shared" si="41"/>
        <v>2230.4500000000044</v>
      </c>
      <c r="Q58" s="166">
        <f t="shared" si="41"/>
        <v>4853.18</v>
      </c>
      <c r="R58" s="166">
        <f t="shared" si="41"/>
        <v>459.58999999999651</v>
      </c>
      <c r="S58" s="166">
        <f t="shared" si="41"/>
        <v>340.28999999999724</v>
      </c>
      <c r="T58" s="166">
        <f>+T59-T57</f>
        <v>827.68999999999869</v>
      </c>
      <c r="U58" s="166">
        <f t="shared" si="41"/>
        <v>12138.82</v>
      </c>
      <c r="V58" s="166">
        <f t="shared" si="41"/>
        <v>839.19000000000233</v>
      </c>
      <c r="W58" s="166">
        <f t="shared" si="41"/>
        <v>6476.7499999999964</v>
      </c>
      <c r="X58" s="166">
        <f>+X59-X57</f>
        <v>869.34000000000015</v>
      </c>
      <c r="Y58" s="166">
        <f t="shared" ref="Y58:AH58" si="42">+Y59-Y57</f>
        <v>52.660000000001673</v>
      </c>
      <c r="Z58" s="166">
        <f t="shared" si="42"/>
        <v>709.99000000000524</v>
      </c>
      <c r="AA58" s="166">
        <f t="shared" si="42"/>
        <v>390.20000000000073</v>
      </c>
      <c r="AB58" s="166">
        <f t="shared" si="42"/>
        <v>941.80999999999767</v>
      </c>
      <c r="AC58" s="166">
        <f t="shared" si="42"/>
        <v>583.18000000000029</v>
      </c>
      <c r="AD58" s="166">
        <f t="shared" si="42"/>
        <v>410.18000000000029</v>
      </c>
      <c r="AE58" s="166">
        <f t="shared" si="42"/>
        <v>337.75</v>
      </c>
      <c r="AF58" s="166">
        <f t="shared" si="42"/>
        <v>359.36000000000058</v>
      </c>
      <c r="AG58" s="166">
        <f t="shared" si="42"/>
        <v>421.56000000000131</v>
      </c>
      <c r="AH58" s="166">
        <f t="shared" si="42"/>
        <v>12504.509999999998</v>
      </c>
      <c r="AI58" s="294">
        <f>SUM(D58:AH58)</f>
        <v>60526.5</v>
      </c>
      <c r="AJ58" s="293">
        <f>+AI58/$A$1*AK1</f>
        <v>60526.5</v>
      </c>
      <c r="AK58" s="252"/>
      <c r="AL58" s="252"/>
    </row>
    <row r="59" spans="1:38" ht="15" thickBot="1" x14ac:dyDescent="0.35">
      <c r="A59" s="203"/>
      <c r="B59" s="205"/>
      <c r="C59" s="206" t="s">
        <v>35</v>
      </c>
      <c r="D59" s="254">
        <f>9513.09+5215.49</f>
        <v>14728.58</v>
      </c>
      <c r="E59" s="254">
        <f>4926.06+9108.66</f>
        <v>14034.720000000001</v>
      </c>
      <c r="F59" s="254">
        <f>6732.71+2556.05</f>
        <v>9288.76</v>
      </c>
      <c r="G59" s="254">
        <f>3904.79+3552.02</f>
        <v>7456.8099999999995</v>
      </c>
      <c r="H59" s="254">
        <f>5907.22+10782.59</f>
        <v>16689.810000000001</v>
      </c>
      <c r="I59" s="254">
        <f>12454.18+6013.01</f>
        <v>18467.190000000002</v>
      </c>
      <c r="J59" s="254">
        <f>6013.01+9664.56</f>
        <v>15677.57</v>
      </c>
      <c r="K59" s="254">
        <f>7736.39+11676.89</f>
        <v>19413.28</v>
      </c>
      <c r="L59" s="254">
        <f>11676.89+4196.62</f>
        <v>15873.509999999998</v>
      </c>
      <c r="M59" s="254">
        <f>3035.97+8443.51</f>
        <v>11479.48</v>
      </c>
      <c r="N59" s="254">
        <f>17775.89+6505.43</f>
        <v>24281.32</v>
      </c>
      <c r="O59" s="254">
        <f>10322.82+19856.85</f>
        <v>30179.67</v>
      </c>
      <c r="P59" s="254">
        <f>20074.25+9619.12</f>
        <v>29693.370000000003</v>
      </c>
      <c r="Q59" s="254">
        <f>7948.48+20112.89</f>
        <v>28061.37</v>
      </c>
      <c r="R59" s="254">
        <f>9878.72+7226.06</f>
        <v>17104.78</v>
      </c>
      <c r="S59" s="254">
        <f>11168.65+7058.61</f>
        <v>18227.259999999998</v>
      </c>
      <c r="T59" s="254">
        <f>5441.66+13181.4</f>
        <v>18623.059999999998</v>
      </c>
      <c r="U59" s="254">
        <f>30906.31+11029.09</f>
        <v>41935.4</v>
      </c>
      <c r="V59" s="254">
        <f>19659.97+12582.85</f>
        <v>32242.82</v>
      </c>
      <c r="W59" s="254">
        <f>26008.45+13211.5</f>
        <v>39219.949999999997</v>
      </c>
      <c r="X59" s="254">
        <f>10565.43+17721.37</f>
        <v>28286.799999999999</v>
      </c>
      <c r="Y59" s="254">
        <f>9451.69+5038</f>
        <v>14489.69</v>
      </c>
      <c r="Z59" s="254">
        <f>17155.47+12023.08</f>
        <v>29178.550000000003</v>
      </c>
      <c r="AA59" s="254">
        <f>13203.58+5100.56</f>
        <v>18304.14</v>
      </c>
      <c r="AB59" s="254">
        <f>14738.3+21089.38</f>
        <v>35827.68</v>
      </c>
      <c r="AC59" s="254">
        <f>21190.98+15412.74</f>
        <v>36603.72</v>
      </c>
      <c r="AD59" s="254">
        <f>14360.85+9794.18</f>
        <v>24155.03</v>
      </c>
      <c r="AE59" s="254">
        <f>8828.98+11459.07</f>
        <v>20288.05</v>
      </c>
      <c r="AF59" s="254">
        <f>10377.34+6398.73</f>
        <v>16776.07</v>
      </c>
      <c r="AG59" s="254">
        <f>13725.2+6635.09</f>
        <v>20360.29</v>
      </c>
      <c r="AH59" s="254">
        <f>21338.94+6093.08</f>
        <v>27432.019999999997</v>
      </c>
      <c r="AI59" s="309">
        <f>SUM(D59:AH59)</f>
        <v>694380.75000000012</v>
      </c>
      <c r="AJ59" s="295">
        <f>+AJ57+AJ58</f>
        <v>694380.75</v>
      </c>
      <c r="AK59" s="252"/>
    </row>
    <row r="60" spans="1:38" ht="15" hidden="1" thickBot="1" x14ac:dyDescent="0.35">
      <c r="A60" s="203">
        <v>74</v>
      </c>
      <c r="B60" s="33" t="s">
        <v>36</v>
      </c>
      <c r="C60" s="34" t="s">
        <v>15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310">
        <f>SUM(D60:AH60)</f>
        <v>0</v>
      </c>
      <c r="AJ60" s="285">
        <f>+$AI60/$A$1*$AK$1</f>
        <v>0</v>
      </c>
    </row>
    <row r="61" spans="1:38" ht="15" hidden="1" thickBot="1" x14ac:dyDescent="0.35">
      <c r="A61" s="203"/>
      <c r="B61" s="33"/>
      <c r="C61" s="34" t="s">
        <v>16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281">
        <f>+AI60/(A60*A$1)</f>
        <v>0</v>
      </c>
      <c r="AJ61" s="282">
        <f>AJ60/($A60*AK1)</f>
        <v>0</v>
      </c>
    </row>
    <row r="62" spans="1:38" ht="15" hidden="1" thickBot="1" x14ac:dyDescent="0.35">
      <c r="A62" s="203"/>
      <c r="B62" s="33"/>
      <c r="C62" s="34" t="s">
        <v>17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283" t="e">
        <f>+AI64/AI60</f>
        <v>#DIV/0!</v>
      </c>
      <c r="AJ62" s="279" t="e">
        <f>+AJ64/AJ60</f>
        <v>#DIV/0!</v>
      </c>
    </row>
    <row r="63" spans="1:38" ht="15" hidden="1" thickBot="1" x14ac:dyDescent="0.35">
      <c r="A63" s="203"/>
      <c r="B63" s="33"/>
      <c r="C63" s="34" t="s">
        <v>18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283" t="e">
        <f>+AI62*AI61</f>
        <v>#DIV/0!</v>
      </c>
      <c r="AJ63" s="279" t="e">
        <f>+AJ61*AJ62</f>
        <v>#DIV/0!</v>
      </c>
    </row>
    <row r="64" spans="1:38" s="249" customFormat="1" ht="15" hidden="1" thickBot="1" x14ac:dyDescent="0.35">
      <c r="A64" s="203"/>
      <c r="B64" s="141"/>
      <c r="C64" s="65" t="s">
        <v>19</v>
      </c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311">
        <f>SUM(D64:AH64)</f>
        <v>0</v>
      </c>
      <c r="AJ64" s="285">
        <f>+AI64/$A$1*$AK$1</f>
        <v>0</v>
      </c>
    </row>
    <row r="65" spans="1:36" x14ac:dyDescent="0.3">
      <c r="A65" s="203">
        <v>120</v>
      </c>
      <c r="B65" s="323" t="s">
        <v>37</v>
      </c>
      <c r="C65" s="163" t="s">
        <v>15</v>
      </c>
      <c r="D65" s="223">
        <v>66</v>
      </c>
      <c r="E65" s="223">
        <v>47</v>
      </c>
      <c r="F65" s="223">
        <v>34</v>
      </c>
      <c r="G65" s="223">
        <v>45</v>
      </c>
      <c r="H65" s="223">
        <v>90</v>
      </c>
      <c r="I65" s="223">
        <v>109</v>
      </c>
      <c r="J65" s="223">
        <v>100</v>
      </c>
      <c r="K65" s="223">
        <v>72</v>
      </c>
      <c r="L65" s="223">
        <v>74</v>
      </c>
      <c r="M65" s="223">
        <v>68</v>
      </c>
      <c r="N65" s="223">
        <v>119</v>
      </c>
      <c r="O65" s="223">
        <v>120</v>
      </c>
      <c r="P65" s="223">
        <v>103</v>
      </c>
      <c r="Q65" s="223">
        <v>98</v>
      </c>
      <c r="R65" s="223">
        <v>72</v>
      </c>
      <c r="S65" s="223">
        <v>77</v>
      </c>
      <c r="T65" s="223">
        <v>75</v>
      </c>
      <c r="U65" s="223">
        <v>112</v>
      </c>
      <c r="V65" s="223">
        <v>120</v>
      </c>
      <c r="W65" s="223">
        <v>118</v>
      </c>
      <c r="X65" s="223">
        <v>120</v>
      </c>
      <c r="Y65" s="223">
        <v>94</v>
      </c>
      <c r="Z65" s="223">
        <v>91</v>
      </c>
      <c r="AA65" s="223">
        <v>71</v>
      </c>
      <c r="AB65" s="223">
        <v>118</v>
      </c>
      <c r="AC65" s="223">
        <v>119</v>
      </c>
      <c r="AD65" s="223">
        <v>117</v>
      </c>
      <c r="AE65" s="223">
        <v>105</v>
      </c>
      <c r="AF65" s="223">
        <v>88</v>
      </c>
      <c r="AG65" s="223">
        <v>74</v>
      </c>
      <c r="AH65" s="223">
        <v>55</v>
      </c>
      <c r="AI65" s="312">
        <f>SUM(D65:AH65)</f>
        <v>2771</v>
      </c>
      <c r="AJ65" s="289">
        <f>+$AI65/$A$1*$AK$1</f>
        <v>2771</v>
      </c>
    </row>
    <row r="66" spans="1:36" x14ac:dyDescent="0.3">
      <c r="A66" s="203"/>
      <c r="B66" s="162"/>
      <c r="C66" s="163" t="s">
        <v>16</v>
      </c>
      <c r="D66" s="164">
        <f>+D65/$A65</f>
        <v>0.55000000000000004</v>
      </c>
      <c r="E66" s="164">
        <f t="shared" ref="E66:AH66" si="43">+E65/$A65</f>
        <v>0.39166666666666666</v>
      </c>
      <c r="F66" s="164">
        <f t="shared" si="43"/>
        <v>0.28333333333333333</v>
      </c>
      <c r="G66" s="164">
        <f t="shared" si="43"/>
        <v>0.375</v>
      </c>
      <c r="H66" s="164">
        <f t="shared" si="43"/>
        <v>0.75</v>
      </c>
      <c r="I66" s="164">
        <f t="shared" si="43"/>
        <v>0.90833333333333333</v>
      </c>
      <c r="J66" s="164">
        <f t="shared" si="43"/>
        <v>0.83333333333333337</v>
      </c>
      <c r="K66" s="164">
        <f t="shared" si="43"/>
        <v>0.6</v>
      </c>
      <c r="L66" s="164">
        <f t="shared" si="43"/>
        <v>0.6166666666666667</v>
      </c>
      <c r="M66" s="164">
        <f t="shared" si="43"/>
        <v>0.56666666666666665</v>
      </c>
      <c r="N66" s="164">
        <f t="shared" si="43"/>
        <v>0.9916666666666667</v>
      </c>
      <c r="O66" s="164">
        <f t="shared" si="43"/>
        <v>1</v>
      </c>
      <c r="P66" s="164">
        <f>+P65/$A65</f>
        <v>0.85833333333333328</v>
      </c>
      <c r="Q66" s="164">
        <f t="shared" ref="Q66:R66" si="44">+Q65/$A65</f>
        <v>0.81666666666666665</v>
      </c>
      <c r="R66" s="164">
        <f t="shared" si="44"/>
        <v>0.6</v>
      </c>
      <c r="S66" s="164">
        <f t="shared" si="43"/>
        <v>0.64166666666666672</v>
      </c>
      <c r="T66" s="164">
        <f t="shared" si="43"/>
        <v>0.625</v>
      </c>
      <c r="U66" s="164">
        <f t="shared" si="43"/>
        <v>0.93333333333333335</v>
      </c>
      <c r="V66" s="164">
        <f t="shared" si="43"/>
        <v>1</v>
      </c>
      <c r="W66" s="164">
        <f t="shared" si="43"/>
        <v>0.98333333333333328</v>
      </c>
      <c r="X66" s="164">
        <f t="shared" si="43"/>
        <v>1</v>
      </c>
      <c r="Y66" s="164">
        <f t="shared" si="43"/>
        <v>0.78333333333333333</v>
      </c>
      <c r="Z66" s="164">
        <f t="shared" si="43"/>
        <v>0.7583333333333333</v>
      </c>
      <c r="AA66" s="164">
        <f t="shared" si="43"/>
        <v>0.59166666666666667</v>
      </c>
      <c r="AB66" s="164">
        <f t="shared" si="43"/>
        <v>0.98333333333333328</v>
      </c>
      <c r="AC66" s="164">
        <f t="shared" si="43"/>
        <v>0.9916666666666667</v>
      </c>
      <c r="AD66" s="164">
        <f t="shared" si="43"/>
        <v>0.97499999999999998</v>
      </c>
      <c r="AE66" s="164">
        <f t="shared" si="43"/>
        <v>0.875</v>
      </c>
      <c r="AF66" s="164">
        <f t="shared" si="43"/>
        <v>0.73333333333333328</v>
      </c>
      <c r="AG66" s="164">
        <f t="shared" si="43"/>
        <v>0.6166666666666667</v>
      </c>
      <c r="AH66" s="164">
        <f t="shared" si="43"/>
        <v>0.45833333333333331</v>
      </c>
      <c r="AI66" s="290">
        <f>+AI65/(A65*A$1)</f>
        <v>0.74489247311827955</v>
      </c>
      <c r="AJ66" s="291">
        <f>AJ65/($A65*AK1)</f>
        <v>0.74489247311827955</v>
      </c>
    </row>
    <row r="67" spans="1:36" x14ac:dyDescent="0.3">
      <c r="A67" s="203"/>
      <c r="B67" s="162"/>
      <c r="C67" s="163" t="s">
        <v>17</v>
      </c>
      <c r="D67" s="165">
        <f t="shared" ref="D67:AH67" si="45">+IFERROR(D69/D65,0)</f>
        <v>116.44166666666666</v>
      </c>
      <c r="E67" s="165">
        <f t="shared" si="45"/>
        <v>121.21127659574469</v>
      </c>
      <c r="F67" s="165">
        <f t="shared" si="45"/>
        <v>110.25764705882354</v>
      </c>
      <c r="G67" s="165">
        <f t="shared" si="45"/>
        <v>106.15555555555555</v>
      </c>
      <c r="H67" s="165">
        <f t="shared" si="45"/>
        <v>102.74233333333333</v>
      </c>
      <c r="I67" s="165">
        <f t="shared" si="45"/>
        <v>109.88467889908257</v>
      </c>
      <c r="J67" s="165">
        <f t="shared" si="45"/>
        <v>108.13870000000001</v>
      </c>
      <c r="K67" s="165">
        <f t="shared" si="45"/>
        <v>115.98069444444445</v>
      </c>
      <c r="L67" s="165">
        <f t="shared" si="45"/>
        <v>119.77851351351352</v>
      </c>
      <c r="M67" s="165">
        <f t="shared" si="45"/>
        <v>109.75088235294118</v>
      </c>
      <c r="N67" s="165">
        <f t="shared" si="45"/>
        <v>120.03344537815126</v>
      </c>
      <c r="O67" s="165">
        <f t="shared" si="45"/>
        <v>119.43249999999999</v>
      </c>
      <c r="P67" s="165">
        <f t="shared" si="45"/>
        <v>111.02291262135923</v>
      </c>
      <c r="Q67" s="165">
        <f t="shared" si="45"/>
        <v>107.84142857142857</v>
      </c>
      <c r="R67" s="165">
        <f t="shared" si="45"/>
        <v>114.55319444444444</v>
      </c>
      <c r="S67" s="165">
        <f t="shared" si="45"/>
        <v>115.44805194805195</v>
      </c>
      <c r="T67" s="165">
        <f t="shared" si="45"/>
        <v>107.32986666666666</v>
      </c>
      <c r="U67" s="165">
        <f t="shared" si="45"/>
        <v>116.60928571428572</v>
      </c>
      <c r="V67" s="165">
        <f t="shared" si="45"/>
        <v>119.14775</v>
      </c>
      <c r="W67" s="165">
        <f t="shared" si="45"/>
        <v>120.3277966101695</v>
      </c>
      <c r="X67" s="165">
        <f t="shared" si="45"/>
        <v>122.24408333333334</v>
      </c>
      <c r="Y67" s="165">
        <f t="shared" si="45"/>
        <v>118.86404255319148</v>
      </c>
      <c r="Z67" s="165">
        <f t="shared" si="45"/>
        <v>122.59626373626374</v>
      </c>
      <c r="AA67" s="165">
        <f t="shared" si="45"/>
        <v>109.77338028169014</v>
      </c>
      <c r="AB67" s="165">
        <f t="shared" si="45"/>
        <v>120.49991525423728</v>
      </c>
      <c r="AC67" s="165">
        <f t="shared" si="45"/>
        <v>124.32453781512606</v>
      </c>
      <c r="AD67" s="165">
        <f t="shared" si="45"/>
        <v>119.80811965811965</v>
      </c>
      <c r="AE67" s="165">
        <f t="shared" si="45"/>
        <v>116.37542857142857</v>
      </c>
      <c r="AF67" s="165">
        <f t="shared" si="45"/>
        <v>119.32920454545454</v>
      </c>
      <c r="AG67" s="165">
        <f t="shared" si="45"/>
        <v>128.38283783783783</v>
      </c>
      <c r="AH67" s="165">
        <f t="shared" si="45"/>
        <v>105.33527272727272</v>
      </c>
      <c r="AI67" s="292">
        <f>+AI69/AI65</f>
        <v>116.14025622518945</v>
      </c>
      <c r="AJ67" s="293">
        <f>+AJ69/AJ65</f>
        <v>116.14025622518945</v>
      </c>
    </row>
    <row r="68" spans="1:36" x14ac:dyDescent="0.3">
      <c r="A68" s="203"/>
      <c r="B68" s="162"/>
      <c r="C68" s="163" t="s">
        <v>18</v>
      </c>
      <c r="D68" s="165">
        <f t="shared" ref="D68:AH68" si="46">+D66*D67</f>
        <v>64.04291666666667</v>
      </c>
      <c r="E68" s="165">
        <f t="shared" si="46"/>
        <v>47.47441666666667</v>
      </c>
      <c r="F68" s="165">
        <f t="shared" si="46"/>
        <v>31.239666666666668</v>
      </c>
      <c r="G68" s="165">
        <f t="shared" si="46"/>
        <v>39.80833333333333</v>
      </c>
      <c r="H68" s="165">
        <f t="shared" si="46"/>
        <v>77.056749999999994</v>
      </c>
      <c r="I68" s="165">
        <f t="shared" si="46"/>
        <v>99.811916666666676</v>
      </c>
      <c r="J68" s="165">
        <f t="shared" si="46"/>
        <v>90.115583333333348</v>
      </c>
      <c r="K68" s="165">
        <f t="shared" si="46"/>
        <v>69.588416666666674</v>
      </c>
      <c r="L68" s="165">
        <f t="shared" si="46"/>
        <v>73.863416666666666</v>
      </c>
      <c r="M68" s="165">
        <f t="shared" si="46"/>
        <v>62.192166666666665</v>
      </c>
      <c r="N68" s="165">
        <f t="shared" si="46"/>
        <v>119.03316666666666</v>
      </c>
      <c r="O68" s="165">
        <f t="shared" si="46"/>
        <v>119.43249999999999</v>
      </c>
      <c r="P68" s="165">
        <f>+P66*P67</f>
        <v>95.294666666666657</v>
      </c>
      <c r="Q68" s="165">
        <f t="shared" ref="Q68:R68" si="47">+Q66*Q67</f>
        <v>88.070499999999996</v>
      </c>
      <c r="R68" s="165">
        <f t="shared" si="47"/>
        <v>68.731916666666663</v>
      </c>
      <c r="S68" s="165">
        <f t="shared" si="46"/>
        <v>74.07916666666668</v>
      </c>
      <c r="T68" s="165">
        <f t="shared" si="46"/>
        <v>67.081166666666661</v>
      </c>
      <c r="U68" s="165">
        <f t="shared" si="46"/>
        <v>108.83533333333334</v>
      </c>
      <c r="V68" s="165">
        <f t="shared" si="46"/>
        <v>119.14775</v>
      </c>
      <c r="W68" s="165">
        <f t="shared" si="46"/>
        <v>118.32233333333333</v>
      </c>
      <c r="X68" s="165">
        <f t="shared" si="46"/>
        <v>122.24408333333334</v>
      </c>
      <c r="Y68" s="165">
        <f t="shared" si="46"/>
        <v>93.110166666666657</v>
      </c>
      <c r="Z68" s="165">
        <f t="shared" si="46"/>
        <v>92.968833333333336</v>
      </c>
      <c r="AA68" s="165">
        <f t="shared" si="46"/>
        <v>64.949249999999992</v>
      </c>
      <c r="AB68" s="165">
        <f t="shared" si="46"/>
        <v>118.49158333333332</v>
      </c>
      <c r="AC68" s="165">
        <f t="shared" si="46"/>
        <v>123.28850000000001</v>
      </c>
      <c r="AD68" s="165">
        <f t="shared" si="46"/>
        <v>116.81291666666665</v>
      </c>
      <c r="AE68" s="165">
        <f t="shared" si="46"/>
        <v>101.82850000000001</v>
      </c>
      <c r="AF68" s="165">
        <f t="shared" si="46"/>
        <v>87.508083333333332</v>
      </c>
      <c r="AG68" s="165">
        <f t="shared" si="46"/>
        <v>79.169416666666663</v>
      </c>
      <c r="AH68" s="165">
        <f t="shared" si="46"/>
        <v>48.278666666666666</v>
      </c>
      <c r="AI68" s="292">
        <f>+AI67*AI66</f>
        <v>86.512002688172032</v>
      </c>
      <c r="AJ68" s="293">
        <f>+AJ66*AJ67</f>
        <v>86.512002688172032</v>
      </c>
    </row>
    <row r="69" spans="1:36" ht="15" thickBot="1" x14ac:dyDescent="0.35">
      <c r="A69" s="203"/>
      <c r="B69" s="162"/>
      <c r="C69" s="163" t="s">
        <v>19</v>
      </c>
      <c r="D69" s="166">
        <v>7685.15</v>
      </c>
      <c r="E69" s="166">
        <v>5696.93</v>
      </c>
      <c r="F69" s="166">
        <v>3748.76</v>
      </c>
      <c r="G69" s="166">
        <v>4777</v>
      </c>
      <c r="H69" s="166">
        <v>9246.81</v>
      </c>
      <c r="I69" s="166">
        <v>11977.43</v>
      </c>
      <c r="J69" s="166">
        <v>10813.87</v>
      </c>
      <c r="K69" s="166">
        <v>8350.61</v>
      </c>
      <c r="L69" s="166">
        <v>8863.61</v>
      </c>
      <c r="M69" s="166">
        <v>7463.06</v>
      </c>
      <c r="N69" s="166">
        <v>14283.98</v>
      </c>
      <c r="O69" s="166">
        <v>14331.9</v>
      </c>
      <c r="P69" s="166">
        <v>11435.36</v>
      </c>
      <c r="Q69" s="166">
        <v>10568.46</v>
      </c>
      <c r="R69" s="166">
        <v>8247.83</v>
      </c>
      <c r="S69" s="166">
        <v>8889.5</v>
      </c>
      <c r="T69" s="166">
        <v>8049.74</v>
      </c>
      <c r="U69" s="166">
        <v>13060.24</v>
      </c>
      <c r="V69" s="166">
        <v>14297.73</v>
      </c>
      <c r="W69" s="166">
        <v>14198.68</v>
      </c>
      <c r="X69" s="166">
        <v>14669.29</v>
      </c>
      <c r="Y69" s="166">
        <v>11173.22</v>
      </c>
      <c r="Z69" s="166">
        <v>11156.26</v>
      </c>
      <c r="AA69" s="166">
        <v>7793.91</v>
      </c>
      <c r="AB69" s="166">
        <v>14218.99</v>
      </c>
      <c r="AC69" s="166">
        <v>14794.62</v>
      </c>
      <c r="AD69" s="166">
        <v>14017.55</v>
      </c>
      <c r="AE69" s="166">
        <v>12219.42</v>
      </c>
      <c r="AF69" s="166">
        <v>10500.97</v>
      </c>
      <c r="AG69" s="166">
        <v>9500.33</v>
      </c>
      <c r="AH69" s="166">
        <v>5793.44</v>
      </c>
      <c r="AI69" s="294">
        <f>SUM(D69:AH69)</f>
        <v>321824.64999999997</v>
      </c>
      <c r="AJ69" s="307">
        <f>+AI69/$A$1*$AK$1</f>
        <v>321824.64999999997</v>
      </c>
    </row>
    <row r="70" spans="1:36" ht="15" thickTop="1" x14ac:dyDescent="0.3">
      <c r="A70" s="203">
        <v>93</v>
      </c>
      <c r="B70" s="28" t="s">
        <v>38</v>
      </c>
      <c r="C70" s="29" t="s">
        <v>15</v>
      </c>
      <c r="D70" s="30">
        <v>66</v>
      </c>
      <c r="E70" s="30">
        <v>74</v>
      </c>
      <c r="F70" s="30">
        <v>43</v>
      </c>
      <c r="G70" s="30">
        <v>40</v>
      </c>
      <c r="H70" s="30">
        <v>49</v>
      </c>
      <c r="I70" s="30">
        <v>52</v>
      </c>
      <c r="J70" s="30">
        <v>49</v>
      </c>
      <c r="K70" s="30">
        <v>59</v>
      </c>
      <c r="L70" s="30">
        <v>72</v>
      </c>
      <c r="M70" s="30">
        <v>62</v>
      </c>
      <c r="N70" s="30">
        <v>89</v>
      </c>
      <c r="O70" s="30">
        <v>90</v>
      </c>
      <c r="P70" s="30">
        <v>85</v>
      </c>
      <c r="Q70" s="30">
        <v>82</v>
      </c>
      <c r="R70" s="30">
        <v>64</v>
      </c>
      <c r="S70" s="30">
        <v>66</v>
      </c>
      <c r="T70" s="30">
        <v>61</v>
      </c>
      <c r="U70" s="30">
        <v>83</v>
      </c>
      <c r="V70" s="30">
        <v>91</v>
      </c>
      <c r="W70" s="30">
        <v>90</v>
      </c>
      <c r="X70" s="30">
        <v>89</v>
      </c>
      <c r="Y70" s="30">
        <v>89</v>
      </c>
      <c r="Z70" s="30">
        <v>85</v>
      </c>
      <c r="AA70" s="30">
        <v>63</v>
      </c>
      <c r="AB70" s="30">
        <v>77</v>
      </c>
      <c r="AC70" s="30">
        <v>91</v>
      </c>
      <c r="AD70" s="30">
        <v>88</v>
      </c>
      <c r="AE70" s="30">
        <v>90</v>
      </c>
      <c r="AF70" s="30">
        <v>87</v>
      </c>
      <c r="AG70" s="30">
        <v>82</v>
      </c>
      <c r="AH70" s="30">
        <v>77</v>
      </c>
      <c r="AI70" s="313">
        <f>SUM(D70:AH70)</f>
        <v>2285</v>
      </c>
      <c r="AJ70" s="285">
        <f>+$AI70/$A$1*$AK$1</f>
        <v>2285</v>
      </c>
    </row>
    <row r="71" spans="1:36" x14ac:dyDescent="0.3">
      <c r="A71" s="203"/>
      <c r="B71" s="33"/>
      <c r="C71" s="34" t="s">
        <v>16</v>
      </c>
      <c r="D71" s="35">
        <f t="shared" ref="D71:AH71" si="48">+D70/$A70</f>
        <v>0.70967741935483875</v>
      </c>
      <c r="E71" s="35">
        <f t="shared" si="48"/>
        <v>0.79569892473118276</v>
      </c>
      <c r="F71" s="35">
        <f t="shared" si="48"/>
        <v>0.46236559139784944</v>
      </c>
      <c r="G71" s="35">
        <f t="shared" si="48"/>
        <v>0.43010752688172044</v>
      </c>
      <c r="H71" s="35">
        <f t="shared" si="48"/>
        <v>0.5268817204301075</v>
      </c>
      <c r="I71" s="35">
        <f t="shared" si="48"/>
        <v>0.55913978494623651</v>
      </c>
      <c r="J71" s="35">
        <f t="shared" si="48"/>
        <v>0.5268817204301075</v>
      </c>
      <c r="K71" s="35">
        <f t="shared" si="48"/>
        <v>0.63440860215053763</v>
      </c>
      <c r="L71" s="35">
        <f>+L70/$A70</f>
        <v>0.77419354838709675</v>
      </c>
      <c r="M71" s="35">
        <f t="shared" si="48"/>
        <v>0.66666666666666663</v>
      </c>
      <c r="N71" s="35">
        <f t="shared" si="48"/>
        <v>0.956989247311828</v>
      </c>
      <c r="O71" s="35">
        <f t="shared" si="48"/>
        <v>0.967741935483871</v>
      </c>
      <c r="P71" s="35">
        <f t="shared" si="48"/>
        <v>0.91397849462365588</v>
      </c>
      <c r="Q71" s="35">
        <f t="shared" si="48"/>
        <v>0.88172043010752688</v>
      </c>
      <c r="R71" s="35">
        <f t="shared" si="48"/>
        <v>0.68817204301075274</v>
      </c>
      <c r="S71" s="35">
        <f t="shared" si="48"/>
        <v>0.70967741935483875</v>
      </c>
      <c r="T71" s="35">
        <f t="shared" si="48"/>
        <v>0.65591397849462363</v>
      </c>
      <c r="U71" s="35">
        <f t="shared" si="48"/>
        <v>0.89247311827956988</v>
      </c>
      <c r="V71" s="35">
        <f t="shared" si="48"/>
        <v>0.978494623655914</v>
      </c>
      <c r="W71" s="35">
        <f t="shared" si="48"/>
        <v>0.967741935483871</v>
      </c>
      <c r="X71" s="35">
        <f t="shared" si="48"/>
        <v>0.956989247311828</v>
      </c>
      <c r="Y71" s="35">
        <f t="shared" si="48"/>
        <v>0.956989247311828</v>
      </c>
      <c r="Z71" s="35">
        <f t="shared" si="48"/>
        <v>0.91397849462365588</v>
      </c>
      <c r="AA71" s="35">
        <f t="shared" si="48"/>
        <v>0.67741935483870963</v>
      </c>
      <c r="AB71" s="35">
        <f t="shared" si="48"/>
        <v>0.82795698924731187</v>
      </c>
      <c r="AC71" s="35">
        <f t="shared" si="48"/>
        <v>0.978494623655914</v>
      </c>
      <c r="AD71" s="35">
        <f t="shared" si="48"/>
        <v>0.94623655913978499</v>
      </c>
      <c r="AE71" s="35">
        <f t="shared" si="48"/>
        <v>0.967741935483871</v>
      </c>
      <c r="AF71" s="35">
        <f t="shared" si="48"/>
        <v>0.93548387096774188</v>
      </c>
      <c r="AG71" s="35">
        <f t="shared" si="48"/>
        <v>0.88172043010752688</v>
      </c>
      <c r="AH71" s="35">
        <f t="shared" si="48"/>
        <v>0.82795698924731187</v>
      </c>
      <c r="AI71" s="281">
        <f>+AI70/(A70*A$1)</f>
        <v>0.79257717655220261</v>
      </c>
      <c r="AJ71" s="282">
        <f>AJ70/($A70*AK1)</f>
        <v>0.79257717655220261</v>
      </c>
    </row>
    <row r="72" spans="1:36" x14ac:dyDescent="0.3">
      <c r="A72" s="203"/>
      <c r="B72" s="33"/>
      <c r="C72" s="34" t="s">
        <v>17</v>
      </c>
      <c r="D72" s="37">
        <f>+IFERROR(D74/D70,0)</f>
        <v>108.6969696969697</v>
      </c>
      <c r="E72" s="37">
        <f t="shared" ref="E72:AH72" si="49">+IFERROR(E74/E70,0)</f>
        <v>102.16216216216216</v>
      </c>
      <c r="F72" s="37">
        <f t="shared" si="49"/>
        <v>106.88372093023256</v>
      </c>
      <c r="G72" s="37">
        <f t="shared" si="49"/>
        <v>110.75</v>
      </c>
      <c r="H72" s="37">
        <f t="shared" si="49"/>
        <v>114.07346938775511</v>
      </c>
      <c r="I72" s="37">
        <f t="shared" si="49"/>
        <v>111.2025</v>
      </c>
      <c r="J72" s="37">
        <f t="shared" si="49"/>
        <v>119.69897959183673</v>
      </c>
      <c r="K72" s="37">
        <f t="shared" si="49"/>
        <v>123.76881355932203</v>
      </c>
      <c r="L72" s="37">
        <f t="shared" si="49"/>
        <v>114.74138888888888</v>
      </c>
      <c r="M72" s="37">
        <f t="shared" si="49"/>
        <v>111.33629032258065</v>
      </c>
      <c r="N72" s="37">
        <f t="shared" si="49"/>
        <v>122.44157303370785</v>
      </c>
      <c r="O72" s="37">
        <f t="shared" si="49"/>
        <v>112.73388888888888</v>
      </c>
      <c r="P72" s="37">
        <f t="shared" si="49"/>
        <v>124.33882352941175</v>
      </c>
      <c r="Q72" s="37">
        <f t="shared" si="49"/>
        <v>110.46829268292683</v>
      </c>
      <c r="R72" s="37">
        <f t="shared" si="49"/>
        <v>112.82234375</v>
      </c>
      <c r="S72" s="37">
        <f t="shared" si="49"/>
        <v>109.84666666666666</v>
      </c>
      <c r="T72" s="37">
        <f t="shared" si="49"/>
        <v>106.83967213114755</v>
      </c>
      <c r="U72" s="37">
        <f t="shared" si="49"/>
        <v>110.56951807228916</v>
      </c>
      <c r="V72" s="37">
        <f t="shared" si="49"/>
        <v>117.82714285714286</v>
      </c>
      <c r="W72" s="37">
        <f t="shared" si="49"/>
        <v>118.57522222222222</v>
      </c>
      <c r="X72" s="37">
        <f t="shared" si="49"/>
        <v>109.03179775280898</v>
      </c>
      <c r="Y72" s="37">
        <f t="shared" si="49"/>
        <v>112.4096629213483</v>
      </c>
      <c r="Z72" s="37">
        <f t="shared" si="49"/>
        <v>115.32058823529412</v>
      </c>
      <c r="AA72" s="37">
        <f t="shared" si="49"/>
        <v>123.60984126984127</v>
      </c>
      <c r="AB72" s="37">
        <f t="shared" si="49"/>
        <v>124.17532467532467</v>
      </c>
      <c r="AC72" s="37">
        <f t="shared" si="49"/>
        <v>129.59615384615384</v>
      </c>
      <c r="AD72" s="37">
        <f t="shared" si="49"/>
        <v>135.98386363636362</v>
      </c>
      <c r="AE72" s="37">
        <f t="shared" si="49"/>
        <v>131.13533333333334</v>
      </c>
      <c r="AF72" s="37">
        <f t="shared" si="49"/>
        <v>137.8625287356322</v>
      </c>
      <c r="AG72" s="37">
        <f t="shared" si="49"/>
        <v>133.28414634146341</v>
      </c>
      <c r="AH72" s="37">
        <f t="shared" si="49"/>
        <v>157.20727272727271</v>
      </c>
      <c r="AI72" s="283">
        <f>+AI74/AI70</f>
        <v>119.53756236323849</v>
      </c>
      <c r="AJ72" s="279">
        <f>+AJ74/AJ70</f>
        <v>119.53756236323849</v>
      </c>
    </row>
    <row r="73" spans="1:36" x14ac:dyDescent="0.3">
      <c r="A73" s="203"/>
      <c r="B73" s="33"/>
      <c r="C73" s="34" t="s">
        <v>18</v>
      </c>
      <c r="D73" s="37">
        <f>+D71*D72</f>
        <v>77.13978494623656</v>
      </c>
      <c r="E73" s="37">
        <f t="shared" ref="E73:AH73" si="50">+E71*E72</f>
        <v>81.290322580645153</v>
      </c>
      <c r="F73" s="37">
        <f t="shared" si="50"/>
        <v>49.419354838709673</v>
      </c>
      <c r="G73" s="37">
        <f t="shared" si="50"/>
        <v>47.634408602150536</v>
      </c>
      <c r="H73" s="37">
        <f t="shared" si="50"/>
        <v>60.103225806451611</v>
      </c>
      <c r="I73" s="37">
        <f t="shared" si="50"/>
        <v>62.177741935483866</v>
      </c>
      <c r="J73" s="37">
        <f t="shared" si="50"/>
        <v>63.067204301075265</v>
      </c>
      <c r="K73" s="37">
        <f t="shared" si="50"/>
        <v>78.52</v>
      </c>
      <c r="L73" s="37">
        <f t="shared" si="50"/>
        <v>88.83204301075267</v>
      </c>
      <c r="M73" s="37">
        <f t="shared" si="50"/>
        <v>74.224193548387092</v>
      </c>
      <c r="N73" s="37">
        <f t="shared" si="50"/>
        <v>117.1752688172043</v>
      </c>
      <c r="O73" s="37">
        <f t="shared" si="50"/>
        <v>109.09731182795699</v>
      </c>
      <c r="P73" s="37">
        <f t="shared" si="50"/>
        <v>113.64301075268816</v>
      </c>
      <c r="Q73" s="37">
        <f t="shared" si="50"/>
        <v>97.402150537634412</v>
      </c>
      <c r="R73" s="37">
        <f t="shared" si="50"/>
        <v>77.641182795698938</v>
      </c>
      <c r="S73" s="37">
        <f t="shared" si="50"/>
        <v>77.95569892473118</v>
      </c>
      <c r="T73" s="37">
        <f t="shared" si="50"/>
        <v>70.077634408602151</v>
      </c>
      <c r="U73" s="37">
        <f t="shared" si="50"/>
        <v>98.680322580645154</v>
      </c>
      <c r="V73" s="37">
        <f t="shared" si="50"/>
        <v>115.29322580645162</v>
      </c>
      <c r="W73" s="37">
        <f t="shared" si="50"/>
        <v>114.75021505376344</v>
      </c>
      <c r="X73" s="37">
        <f t="shared" si="50"/>
        <v>104.34225806451613</v>
      </c>
      <c r="Y73" s="37">
        <f t="shared" si="50"/>
        <v>107.57483870967741</v>
      </c>
      <c r="Z73" s="37">
        <f t="shared" si="50"/>
        <v>105.40053763440861</v>
      </c>
      <c r="AA73" s="37">
        <f t="shared" si="50"/>
        <v>83.735698924731182</v>
      </c>
      <c r="AB73" s="37">
        <f t="shared" si="50"/>
        <v>102.81182795698925</v>
      </c>
      <c r="AC73" s="37">
        <f t="shared" si="50"/>
        <v>126.80913978494624</v>
      </c>
      <c r="AD73" s="37">
        <f t="shared" si="50"/>
        <v>128.67290322580644</v>
      </c>
      <c r="AE73" s="37">
        <f t="shared" si="50"/>
        <v>126.90516129032258</v>
      </c>
      <c r="AF73" s="37">
        <f t="shared" si="50"/>
        <v>128.96817204301075</v>
      </c>
      <c r="AG73" s="37">
        <f t="shared" si="50"/>
        <v>117.51935483870967</v>
      </c>
      <c r="AH73" s="37">
        <f t="shared" si="50"/>
        <v>130.16086021505376</v>
      </c>
      <c r="AI73" s="283">
        <f>+AI72*AI71</f>
        <v>94.74274366978841</v>
      </c>
      <c r="AJ73" s="279">
        <f>+AJ71*AJ72</f>
        <v>94.74274366978841</v>
      </c>
    </row>
    <row r="74" spans="1:36" ht="15" thickBot="1" x14ac:dyDescent="0.35">
      <c r="A74" s="203"/>
      <c r="B74" s="33"/>
      <c r="C74" s="34" t="s">
        <v>19</v>
      </c>
      <c r="D74" s="158">
        <v>7174</v>
      </c>
      <c r="E74" s="158">
        <v>7560</v>
      </c>
      <c r="F74" s="158">
        <v>4596</v>
      </c>
      <c r="G74" s="158">
        <v>4430</v>
      </c>
      <c r="H74" s="158">
        <v>5589.6</v>
      </c>
      <c r="I74" s="158">
        <v>5782.53</v>
      </c>
      <c r="J74" s="326">
        <v>5865.25</v>
      </c>
      <c r="K74" s="158">
        <v>7302.36</v>
      </c>
      <c r="L74" s="158">
        <v>8261.3799999999992</v>
      </c>
      <c r="M74" s="326">
        <v>6902.85</v>
      </c>
      <c r="N74" s="158">
        <v>10897.3</v>
      </c>
      <c r="O74" s="158">
        <v>10146.049999999999</v>
      </c>
      <c r="P74" s="158">
        <v>10568.8</v>
      </c>
      <c r="Q74" s="158">
        <v>9058.4</v>
      </c>
      <c r="R74" s="158">
        <v>7220.63</v>
      </c>
      <c r="S74" s="158">
        <v>7249.88</v>
      </c>
      <c r="T74" s="158">
        <v>6517.22</v>
      </c>
      <c r="U74" s="158">
        <v>9177.27</v>
      </c>
      <c r="V74" s="158">
        <v>10722.27</v>
      </c>
      <c r="W74" s="158">
        <v>10671.77</v>
      </c>
      <c r="X74" s="158">
        <v>9703.83</v>
      </c>
      <c r="Y74" s="158">
        <v>10004.459999999999</v>
      </c>
      <c r="Z74" s="158">
        <v>9802.25</v>
      </c>
      <c r="AA74" s="158">
        <v>7787.42</v>
      </c>
      <c r="AB74" s="158">
        <v>9561.5</v>
      </c>
      <c r="AC74" s="158">
        <v>11793.25</v>
      </c>
      <c r="AD74" s="158">
        <v>11966.58</v>
      </c>
      <c r="AE74" s="158">
        <v>11802.18</v>
      </c>
      <c r="AF74" s="158">
        <v>11994.04</v>
      </c>
      <c r="AG74" s="158">
        <v>10929.3</v>
      </c>
      <c r="AH74" s="158">
        <v>12104.96</v>
      </c>
      <c r="AI74" s="284">
        <f>SUM(D74:AH74)</f>
        <v>273143.32999999996</v>
      </c>
      <c r="AJ74" s="285">
        <f>+AI74/$A$1*$AK$1</f>
        <v>273143.32999999996</v>
      </c>
    </row>
    <row r="75" spans="1:36" ht="15" hidden="1" thickBot="1" x14ac:dyDescent="0.35">
      <c r="A75" s="203"/>
      <c r="B75" s="33"/>
      <c r="C75" s="34" t="s">
        <v>22</v>
      </c>
      <c r="D75" s="226"/>
      <c r="E75" s="226"/>
      <c r="F75" s="194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194"/>
      <c r="AB75" s="226"/>
      <c r="AC75" s="226"/>
      <c r="AD75" s="226"/>
      <c r="AE75" s="226"/>
      <c r="AF75" s="226"/>
      <c r="AG75" s="226"/>
      <c r="AH75" s="226"/>
      <c r="AI75" s="284"/>
      <c r="AJ75" s="279"/>
    </row>
    <row r="76" spans="1:36" ht="15" hidden="1" thickBot="1" x14ac:dyDescent="0.35">
      <c r="A76" s="203"/>
      <c r="B76" s="33"/>
      <c r="C76" s="34" t="s">
        <v>23</v>
      </c>
      <c r="D76" s="226"/>
      <c r="E76" s="226"/>
      <c r="F76" s="194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194"/>
      <c r="AB76" s="226"/>
      <c r="AC76" s="226"/>
      <c r="AD76" s="226"/>
      <c r="AE76" s="226"/>
      <c r="AF76" s="226"/>
      <c r="AG76" s="226"/>
      <c r="AH76" s="226"/>
      <c r="AI76" s="284"/>
      <c r="AJ76" s="279"/>
    </row>
    <row r="77" spans="1:36" ht="15" hidden="1" thickBot="1" x14ac:dyDescent="0.35">
      <c r="A77" s="237"/>
      <c r="B77" s="40"/>
      <c r="C77" s="34" t="s">
        <v>24</v>
      </c>
      <c r="D77" s="226"/>
      <c r="E77" s="226"/>
      <c r="F77" s="194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194"/>
      <c r="AB77" s="226"/>
      <c r="AC77" s="226"/>
      <c r="AD77" s="226"/>
      <c r="AE77" s="226"/>
      <c r="AF77" s="226"/>
      <c r="AG77" s="226"/>
      <c r="AH77" s="226"/>
      <c r="AI77" s="314"/>
      <c r="AJ77" s="279"/>
    </row>
    <row r="78" spans="1:36" x14ac:dyDescent="0.3">
      <c r="A78" s="203">
        <v>118</v>
      </c>
      <c r="B78" s="159" t="s">
        <v>39</v>
      </c>
      <c r="C78" s="160" t="s">
        <v>15</v>
      </c>
      <c r="D78" s="228">
        <v>39</v>
      </c>
      <c r="E78" s="228">
        <v>46</v>
      </c>
      <c r="F78" s="228">
        <v>34</v>
      </c>
      <c r="G78" s="228">
        <v>21</v>
      </c>
      <c r="H78" s="228">
        <v>49</v>
      </c>
      <c r="I78" s="228">
        <v>51</v>
      </c>
      <c r="J78" s="228">
        <v>72</v>
      </c>
      <c r="K78" s="228">
        <v>93</v>
      </c>
      <c r="L78" s="228">
        <v>95</v>
      </c>
      <c r="M78" s="228">
        <v>47</v>
      </c>
      <c r="N78" s="228">
        <v>95</v>
      </c>
      <c r="O78" s="228">
        <v>97</v>
      </c>
      <c r="P78" s="228">
        <v>94</v>
      </c>
      <c r="Q78" s="228">
        <v>89</v>
      </c>
      <c r="R78" s="228">
        <v>82</v>
      </c>
      <c r="S78" s="228">
        <v>80</v>
      </c>
      <c r="T78" s="228">
        <v>60</v>
      </c>
      <c r="U78" s="228">
        <v>94</v>
      </c>
      <c r="V78" s="228">
        <v>93</v>
      </c>
      <c r="W78" s="228">
        <v>98</v>
      </c>
      <c r="X78" s="228">
        <v>95</v>
      </c>
      <c r="Y78" s="228">
        <v>92</v>
      </c>
      <c r="Z78" s="228">
        <v>88</v>
      </c>
      <c r="AA78" s="228">
        <v>45</v>
      </c>
      <c r="AB78" s="228">
        <v>69</v>
      </c>
      <c r="AC78" s="228">
        <v>77</v>
      </c>
      <c r="AD78" s="228">
        <v>68</v>
      </c>
      <c r="AE78" s="228">
        <v>73</v>
      </c>
      <c r="AF78" s="228">
        <v>82</v>
      </c>
      <c r="AG78" s="228">
        <v>64</v>
      </c>
      <c r="AH78" s="228">
        <v>47</v>
      </c>
      <c r="AI78" s="288">
        <f>SUM(D78:AH78)</f>
        <v>2229</v>
      </c>
      <c r="AJ78" s="289">
        <f>+$AI78/$A$1*$AK$1</f>
        <v>2229</v>
      </c>
    </row>
    <row r="79" spans="1:36" x14ac:dyDescent="0.3">
      <c r="A79" s="203"/>
      <c r="B79" s="162"/>
      <c r="C79" s="163" t="s">
        <v>16</v>
      </c>
      <c r="D79" s="164">
        <f>+D78/$A78</f>
        <v>0.33050847457627119</v>
      </c>
      <c r="E79" s="164">
        <f t="shared" ref="E79:AH79" si="51">+E78/$A78</f>
        <v>0.38983050847457629</v>
      </c>
      <c r="F79" s="164">
        <f t="shared" si="51"/>
        <v>0.28813559322033899</v>
      </c>
      <c r="G79" s="164">
        <f t="shared" si="51"/>
        <v>0.17796610169491525</v>
      </c>
      <c r="H79" s="164">
        <f t="shared" si="51"/>
        <v>0.4152542372881356</v>
      </c>
      <c r="I79" s="164">
        <f t="shared" si="51"/>
        <v>0.43220338983050849</v>
      </c>
      <c r="J79" s="164">
        <f t="shared" si="51"/>
        <v>0.61016949152542377</v>
      </c>
      <c r="K79" s="164">
        <f t="shared" si="51"/>
        <v>0.78813559322033899</v>
      </c>
      <c r="L79" s="164">
        <f t="shared" si="51"/>
        <v>0.80508474576271183</v>
      </c>
      <c r="M79" s="164">
        <f t="shared" si="51"/>
        <v>0.39830508474576271</v>
      </c>
      <c r="N79" s="164">
        <f t="shared" si="51"/>
        <v>0.80508474576271183</v>
      </c>
      <c r="O79" s="164">
        <f t="shared" si="51"/>
        <v>0.82203389830508478</v>
      </c>
      <c r="P79" s="164">
        <f t="shared" si="51"/>
        <v>0.79661016949152541</v>
      </c>
      <c r="Q79" s="164">
        <f t="shared" si="51"/>
        <v>0.75423728813559321</v>
      </c>
      <c r="R79" s="164">
        <f t="shared" si="51"/>
        <v>0.69491525423728817</v>
      </c>
      <c r="S79" s="164">
        <f t="shared" si="51"/>
        <v>0.67796610169491522</v>
      </c>
      <c r="T79" s="164">
        <f t="shared" si="51"/>
        <v>0.50847457627118642</v>
      </c>
      <c r="U79" s="164">
        <f t="shared" si="51"/>
        <v>0.79661016949152541</v>
      </c>
      <c r="V79" s="164">
        <f t="shared" si="51"/>
        <v>0.78813559322033899</v>
      </c>
      <c r="W79" s="164">
        <f t="shared" si="51"/>
        <v>0.83050847457627119</v>
      </c>
      <c r="X79" s="164">
        <f t="shared" si="51"/>
        <v>0.80508474576271183</v>
      </c>
      <c r="Y79" s="164">
        <f t="shared" si="51"/>
        <v>0.77966101694915257</v>
      </c>
      <c r="Z79" s="164">
        <f t="shared" si="51"/>
        <v>0.74576271186440679</v>
      </c>
      <c r="AA79" s="164">
        <f>+AA78/$A78</f>
        <v>0.38135593220338981</v>
      </c>
      <c r="AB79" s="164">
        <f t="shared" si="51"/>
        <v>0.5847457627118644</v>
      </c>
      <c r="AC79" s="164">
        <f t="shared" si="51"/>
        <v>0.65254237288135597</v>
      </c>
      <c r="AD79" s="164">
        <f t="shared" si="51"/>
        <v>0.57627118644067798</v>
      </c>
      <c r="AE79" s="164">
        <f t="shared" si="51"/>
        <v>0.61864406779661019</v>
      </c>
      <c r="AF79" s="164">
        <f t="shared" si="51"/>
        <v>0.69491525423728817</v>
      </c>
      <c r="AG79" s="164">
        <f t="shared" si="51"/>
        <v>0.5423728813559322</v>
      </c>
      <c r="AH79" s="164">
        <f t="shared" si="51"/>
        <v>0.39830508474576271</v>
      </c>
      <c r="AI79" s="290">
        <f>+AI78/(A78*A$1)</f>
        <v>0.60934937124111532</v>
      </c>
      <c r="AJ79" s="291">
        <f>AJ78/($A78*AK1)</f>
        <v>0.60934937124111532</v>
      </c>
    </row>
    <row r="80" spans="1:36" x14ac:dyDescent="0.3">
      <c r="A80" s="203"/>
      <c r="B80" s="162"/>
      <c r="C80" s="163" t="s">
        <v>17</v>
      </c>
      <c r="D80" s="165">
        <f t="shared" ref="D80:AH80" si="52">+IFERROR(D82/D78,0)</f>
        <v>127.11</v>
      </c>
      <c r="E80" s="165">
        <f t="shared" si="52"/>
        <v>135.54347826086956</v>
      </c>
      <c r="F80" s="165">
        <f t="shared" si="52"/>
        <v>92.682352941176461</v>
      </c>
      <c r="G80" s="165">
        <f t="shared" si="52"/>
        <v>89.523809523809518</v>
      </c>
      <c r="H80" s="165">
        <f t="shared" si="52"/>
        <v>97.511632653061213</v>
      </c>
      <c r="I80" s="165">
        <f t="shared" si="52"/>
        <v>94.515686274509804</v>
      </c>
      <c r="J80" s="165">
        <f t="shared" si="52"/>
        <v>99.460138888888892</v>
      </c>
      <c r="K80" s="165">
        <f t="shared" si="52"/>
        <v>110.40516129032258</v>
      </c>
      <c r="L80" s="165">
        <f t="shared" si="52"/>
        <v>113.56084210526316</v>
      </c>
      <c r="M80" s="165">
        <f t="shared" si="52"/>
        <v>90.896170212765952</v>
      </c>
      <c r="N80" s="165">
        <f t="shared" si="52"/>
        <v>99.999473684210528</v>
      </c>
      <c r="O80" s="165">
        <f t="shared" si="52"/>
        <v>99.620824742268042</v>
      </c>
      <c r="P80" s="165">
        <f t="shared" si="52"/>
        <v>107.03053191489363</v>
      </c>
      <c r="Q80" s="165">
        <f t="shared" si="52"/>
        <v>101.34303370786517</v>
      </c>
      <c r="R80" s="165">
        <f t="shared" si="52"/>
        <v>114.65073170731708</v>
      </c>
      <c r="S80" s="165">
        <f t="shared" si="52"/>
        <v>114.65562500000001</v>
      </c>
      <c r="T80" s="165">
        <f t="shared" si="52"/>
        <v>97.143666666666661</v>
      </c>
      <c r="U80" s="165">
        <f t="shared" si="52"/>
        <v>105.73223404255319</v>
      </c>
      <c r="V80" s="165">
        <f t="shared" si="52"/>
        <v>102.76344086021506</v>
      </c>
      <c r="W80" s="165">
        <f t="shared" si="52"/>
        <v>104.77448979591837</v>
      </c>
      <c r="X80" s="165">
        <f t="shared" si="52"/>
        <v>108.25431578947368</v>
      </c>
      <c r="Y80" s="165">
        <f t="shared" si="52"/>
        <v>112.69228260869566</v>
      </c>
      <c r="Z80" s="165">
        <f t="shared" si="52"/>
        <v>114.51261363636364</v>
      </c>
      <c r="AA80" s="165">
        <f>+IFERROR(AA82/AA78,0)</f>
        <v>100.27622222222223</v>
      </c>
      <c r="AB80" s="165">
        <f t="shared" si="52"/>
        <v>99.870144927536231</v>
      </c>
      <c r="AC80" s="165">
        <f t="shared" si="52"/>
        <v>99.900779220779214</v>
      </c>
      <c r="AD80" s="165">
        <f t="shared" si="52"/>
        <v>102.22308823529411</v>
      </c>
      <c r="AE80" s="165">
        <f t="shared" si="52"/>
        <v>93.923972602739724</v>
      </c>
      <c r="AF80" s="165">
        <f t="shared" si="52"/>
        <v>114.78536585365853</v>
      </c>
      <c r="AG80" s="165">
        <f t="shared" si="52"/>
        <v>109.796875</v>
      </c>
      <c r="AH80" s="165">
        <f t="shared" si="52"/>
        <v>88.158297872340412</v>
      </c>
      <c r="AI80" s="292">
        <f>+AI82/AI78</f>
        <v>105.39975325257964</v>
      </c>
      <c r="AJ80" s="293">
        <f>+AJ82/AJ78</f>
        <v>105.39975325257964</v>
      </c>
    </row>
    <row r="81" spans="1:36" x14ac:dyDescent="0.3">
      <c r="A81" s="203"/>
      <c r="B81" s="162"/>
      <c r="C81" s="163" t="s">
        <v>18</v>
      </c>
      <c r="D81" s="165">
        <f t="shared" ref="D81:AH81" si="53">+D79*D80</f>
        <v>42.010932203389828</v>
      </c>
      <c r="E81" s="165">
        <f t="shared" si="53"/>
        <v>52.83898305084746</v>
      </c>
      <c r="F81" s="165">
        <f t="shared" si="53"/>
        <v>26.705084745762711</v>
      </c>
      <c r="G81" s="165">
        <f t="shared" si="53"/>
        <v>15.932203389830507</v>
      </c>
      <c r="H81" s="165">
        <f t="shared" si="53"/>
        <v>40.492118644067794</v>
      </c>
      <c r="I81" s="165">
        <f t="shared" si="53"/>
        <v>40.85</v>
      </c>
      <c r="J81" s="165">
        <f t="shared" si="53"/>
        <v>60.68754237288136</v>
      </c>
      <c r="K81" s="165">
        <f t="shared" si="53"/>
        <v>87.01423728813559</v>
      </c>
      <c r="L81" s="165">
        <f t="shared" si="53"/>
        <v>91.426101694915261</v>
      </c>
      <c r="M81" s="165">
        <f t="shared" si="53"/>
        <v>36.204406779661014</v>
      </c>
      <c r="N81" s="165">
        <f t="shared" si="53"/>
        <v>80.508050847457625</v>
      </c>
      <c r="O81" s="165">
        <f t="shared" si="53"/>
        <v>81.891694915254234</v>
      </c>
      <c r="P81" s="165">
        <f t="shared" si="53"/>
        <v>85.261610169491533</v>
      </c>
      <c r="Q81" s="165">
        <f t="shared" si="53"/>
        <v>76.436694915254236</v>
      </c>
      <c r="R81" s="165">
        <f t="shared" si="53"/>
        <v>79.672542372881367</v>
      </c>
      <c r="S81" s="165">
        <f t="shared" si="53"/>
        <v>77.732627118644075</v>
      </c>
      <c r="T81" s="165">
        <f t="shared" si="53"/>
        <v>49.395084745762709</v>
      </c>
      <c r="U81" s="165">
        <f t="shared" si="53"/>
        <v>84.227372881355933</v>
      </c>
      <c r="V81" s="165">
        <f t="shared" si="53"/>
        <v>80.991525423728817</v>
      </c>
      <c r="W81" s="165">
        <f t="shared" si="53"/>
        <v>87.016101694915264</v>
      </c>
      <c r="X81" s="165">
        <f t="shared" si="53"/>
        <v>87.153898305084738</v>
      </c>
      <c r="Y81" s="165">
        <f t="shared" si="53"/>
        <v>87.861779661016968</v>
      </c>
      <c r="Z81" s="165">
        <f t="shared" si="53"/>
        <v>85.399237288135595</v>
      </c>
      <c r="AA81" s="165">
        <f t="shared" si="53"/>
        <v>38.240932203389832</v>
      </c>
      <c r="AB81" s="165">
        <f t="shared" si="53"/>
        <v>58.39864406779661</v>
      </c>
      <c r="AC81" s="165">
        <f t="shared" si="53"/>
        <v>65.189491525423733</v>
      </c>
      <c r="AD81" s="165">
        <f t="shared" si="53"/>
        <v>58.90822033898305</v>
      </c>
      <c r="AE81" s="165">
        <f t="shared" si="53"/>
        <v>58.105508474576268</v>
      </c>
      <c r="AF81" s="165">
        <f t="shared" si="53"/>
        <v>79.76610169491525</v>
      </c>
      <c r="AG81" s="165">
        <f t="shared" si="53"/>
        <v>59.550847457627121</v>
      </c>
      <c r="AH81" s="165">
        <f t="shared" si="53"/>
        <v>35.113898305084739</v>
      </c>
      <c r="AI81" s="292">
        <f>+AI80*AI79</f>
        <v>64.225273373428109</v>
      </c>
      <c r="AJ81" s="293">
        <f>+AJ79*AJ80</f>
        <v>64.225273373428109</v>
      </c>
    </row>
    <row r="82" spans="1:36" ht="15" thickBot="1" x14ac:dyDescent="0.35">
      <c r="A82" s="203"/>
      <c r="B82" s="162"/>
      <c r="C82" s="163" t="s">
        <v>19</v>
      </c>
      <c r="D82" s="166">
        <v>4957.29</v>
      </c>
      <c r="E82" s="166">
        <v>6235</v>
      </c>
      <c r="F82" s="166">
        <v>3151.2</v>
      </c>
      <c r="G82" s="166">
        <v>1880</v>
      </c>
      <c r="H82" s="166">
        <v>4778.07</v>
      </c>
      <c r="I82" s="166">
        <v>4820.3</v>
      </c>
      <c r="J82" s="166">
        <v>7161.13</v>
      </c>
      <c r="K82" s="166">
        <v>10267.68</v>
      </c>
      <c r="L82" s="166">
        <v>10788.28</v>
      </c>
      <c r="M82" s="166">
        <v>4272.12</v>
      </c>
      <c r="N82" s="166">
        <v>9499.9500000000007</v>
      </c>
      <c r="O82" s="166">
        <v>9663.2199999999993</v>
      </c>
      <c r="P82" s="166">
        <v>10060.870000000001</v>
      </c>
      <c r="Q82" s="166">
        <v>9019.5300000000007</v>
      </c>
      <c r="R82" s="166">
        <v>9401.36</v>
      </c>
      <c r="S82" s="166">
        <v>9172.4500000000007</v>
      </c>
      <c r="T82" s="166">
        <v>5828.62</v>
      </c>
      <c r="U82" s="166">
        <v>9938.83</v>
      </c>
      <c r="V82" s="166">
        <v>9557</v>
      </c>
      <c r="W82" s="166">
        <v>10267.9</v>
      </c>
      <c r="X82" s="166">
        <v>10284.16</v>
      </c>
      <c r="Y82" s="166">
        <v>10367.69</v>
      </c>
      <c r="Z82" s="166">
        <v>10077.11</v>
      </c>
      <c r="AA82" s="166">
        <v>4512.43</v>
      </c>
      <c r="AB82" s="166">
        <v>6891.04</v>
      </c>
      <c r="AC82" s="166">
        <v>7692.36</v>
      </c>
      <c r="AD82" s="166">
        <v>6951.17</v>
      </c>
      <c r="AE82" s="166">
        <v>6856.45</v>
      </c>
      <c r="AF82" s="166">
        <v>9412.4</v>
      </c>
      <c r="AG82" s="166">
        <v>7027</v>
      </c>
      <c r="AH82" s="166">
        <v>4143.4399999999996</v>
      </c>
      <c r="AI82" s="294">
        <f>SUM(D82:AH82)</f>
        <v>234936.05000000002</v>
      </c>
      <c r="AJ82" s="295">
        <f>+AI82/$A$1*$AK$1</f>
        <v>234936.05000000002</v>
      </c>
    </row>
    <row r="83" spans="1:36" x14ac:dyDescent="0.3">
      <c r="A83" s="203">
        <v>103</v>
      </c>
      <c r="B83" s="201" t="s">
        <v>40</v>
      </c>
      <c r="C83" s="104" t="s">
        <v>15</v>
      </c>
      <c r="D83" s="59">
        <v>30</v>
      </c>
      <c r="E83" s="59">
        <v>41</v>
      </c>
      <c r="F83" s="59">
        <v>39</v>
      </c>
      <c r="G83" s="59">
        <v>26</v>
      </c>
      <c r="H83" s="59">
        <v>32</v>
      </c>
      <c r="I83" s="59">
        <v>37</v>
      </c>
      <c r="J83" s="59">
        <v>38</v>
      </c>
      <c r="K83" s="59">
        <v>41</v>
      </c>
      <c r="L83" s="59">
        <v>45</v>
      </c>
      <c r="M83" s="59">
        <v>20</v>
      </c>
      <c r="N83" s="59">
        <v>28</v>
      </c>
      <c r="O83" s="59">
        <v>38</v>
      </c>
      <c r="P83" s="59">
        <v>42</v>
      </c>
      <c r="Q83" s="59">
        <v>32</v>
      </c>
      <c r="R83" s="59">
        <v>36</v>
      </c>
      <c r="S83" s="59">
        <v>36</v>
      </c>
      <c r="T83" s="59">
        <v>34</v>
      </c>
      <c r="U83" s="59">
        <v>48</v>
      </c>
      <c r="V83" s="59">
        <v>50</v>
      </c>
      <c r="W83" s="59">
        <v>51</v>
      </c>
      <c r="X83" s="59">
        <v>46</v>
      </c>
      <c r="Y83" s="59">
        <v>53</v>
      </c>
      <c r="Z83" s="59">
        <v>48</v>
      </c>
      <c r="AA83" s="59">
        <v>36</v>
      </c>
      <c r="AB83" s="59">
        <v>38</v>
      </c>
      <c r="AC83" s="59">
        <v>45</v>
      </c>
      <c r="AD83" s="59">
        <v>38</v>
      </c>
      <c r="AE83" s="59">
        <v>38</v>
      </c>
      <c r="AF83" s="59">
        <v>48</v>
      </c>
      <c r="AG83" s="59">
        <v>53</v>
      </c>
      <c r="AH83" s="59">
        <v>31</v>
      </c>
      <c r="AI83" s="315">
        <f>SUM(D83:AH83)</f>
        <v>1218</v>
      </c>
      <c r="AJ83" s="280">
        <f>+$AI83/$A$1*$AK$1</f>
        <v>1218</v>
      </c>
    </row>
    <row r="84" spans="1:36" x14ac:dyDescent="0.3">
      <c r="A84" s="203"/>
      <c r="B84" s="33"/>
      <c r="C84" s="34" t="s">
        <v>16</v>
      </c>
      <c r="D84" s="35">
        <f t="shared" ref="D84:AH84" si="54">+D83/$A83</f>
        <v>0.29126213592233008</v>
      </c>
      <c r="E84" s="35">
        <f t="shared" si="54"/>
        <v>0.39805825242718446</v>
      </c>
      <c r="F84" s="35">
        <f t="shared" si="54"/>
        <v>0.37864077669902912</v>
      </c>
      <c r="G84" s="35">
        <f t="shared" si="54"/>
        <v>0.25242718446601942</v>
      </c>
      <c r="H84" s="35">
        <f t="shared" si="54"/>
        <v>0.31067961165048541</v>
      </c>
      <c r="I84" s="35">
        <f t="shared" si="54"/>
        <v>0.35922330097087379</v>
      </c>
      <c r="J84" s="35">
        <f t="shared" si="54"/>
        <v>0.36893203883495146</v>
      </c>
      <c r="K84" s="35">
        <f t="shared" si="54"/>
        <v>0.39805825242718446</v>
      </c>
      <c r="L84" s="35">
        <f t="shared" si="54"/>
        <v>0.43689320388349512</v>
      </c>
      <c r="M84" s="35">
        <f t="shared" si="54"/>
        <v>0.1941747572815534</v>
      </c>
      <c r="N84" s="35">
        <f t="shared" si="54"/>
        <v>0.27184466019417475</v>
      </c>
      <c r="O84" s="35">
        <f t="shared" si="54"/>
        <v>0.36893203883495146</v>
      </c>
      <c r="P84" s="35">
        <f>+P83/$A83</f>
        <v>0.40776699029126212</v>
      </c>
      <c r="Q84" s="35">
        <f t="shared" si="54"/>
        <v>0.31067961165048541</v>
      </c>
      <c r="R84" s="35">
        <f t="shared" si="54"/>
        <v>0.34951456310679613</v>
      </c>
      <c r="S84" s="35">
        <f t="shared" si="54"/>
        <v>0.34951456310679613</v>
      </c>
      <c r="T84" s="35">
        <f>+T83/$A83</f>
        <v>0.3300970873786408</v>
      </c>
      <c r="U84" s="35">
        <f>+U83/$A83</f>
        <v>0.46601941747572817</v>
      </c>
      <c r="V84" s="35">
        <f t="shared" si="54"/>
        <v>0.4854368932038835</v>
      </c>
      <c r="W84" s="35">
        <f t="shared" si="54"/>
        <v>0.49514563106796117</v>
      </c>
      <c r="X84" s="35">
        <f t="shared" si="54"/>
        <v>0.44660194174757284</v>
      </c>
      <c r="Y84" s="35">
        <f t="shared" si="54"/>
        <v>0.5145631067961165</v>
      </c>
      <c r="Z84" s="35">
        <f t="shared" si="54"/>
        <v>0.46601941747572817</v>
      </c>
      <c r="AA84" s="35">
        <f t="shared" si="54"/>
        <v>0.34951456310679613</v>
      </c>
      <c r="AB84" s="35">
        <f t="shared" si="54"/>
        <v>0.36893203883495146</v>
      </c>
      <c r="AC84" s="35">
        <f t="shared" si="54"/>
        <v>0.43689320388349512</v>
      </c>
      <c r="AD84" s="35">
        <f t="shared" si="54"/>
        <v>0.36893203883495146</v>
      </c>
      <c r="AE84" s="35">
        <f t="shared" si="54"/>
        <v>0.36893203883495146</v>
      </c>
      <c r="AF84" s="35">
        <f t="shared" si="54"/>
        <v>0.46601941747572817</v>
      </c>
      <c r="AG84" s="35">
        <f t="shared" si="54"/>
        <v>0.5145631067961165</v>
      </c>
      <c r="AH84" s="35">
        <f t="shared" si="54"/>
        <v>0.30097087378640774</v>
      </c>
      <c r="AI84" s="281">
        <f>+AI83/(A83*A$1)</f>
        <v>0.38145944253053554</v>
      </c>
      <c r="AJ84" s="282">
        <f>AJ83/($A83*AK1)</f>
        <v>0.38145944253053554</v>
      </c>
    </row>
    <row r="85" spans="1:36" x14ac:dyDescent="0.3">
      <c r="A85" s="203"/>
      <c r="B85" s="33"/>
      <c r="C85" s="34" t="s">
        <v>17</v>
      </c>
      <c r="D85" s="37">
        <f t="shared" ref="D85:R85" si="55">+IFERROR(D87/D83,0)</f>
        <v>143.46466666666666</v>
      </c>
      <c r="E85" s="37">
        <f t="shared" si="55"/>
        <v>103.04804878048782</v>
      </c>
      <c r="F85" s="37">
        <f t="shared" si="55"/>
        <v>84.745641025641021</v>
      </c>
      <c r="G85" s="37">
        <f t="shared" si="55"/>
        <v>82.654615384615383</v>
      </c>
      <c r="H85" s="37">
        <f t="shared" si="55"/>
        <v>76.423437500000006</v>
      </c>
      <c r="I85" s="37">
        <f t="shared" si="55"/>
        <v>77.764864864864876</v>
      </c>
      <c r="J85" s="37">
        <f t="shared" si="55"/>
        <v>95.446315789473687</v>
      </c>
      <c r="K85" s="37">
        <f t="shared" si="55"/>
        <v>92.882926829268285</v>
      </c>
      <c r="L85" s="37">
        <f t="shared" si="55"/>
        <v>100.68422222222222</v>
      </c>
      <c r="M85" s="37">
        <f t="shared" si="55"/>
        <v>75.385500000000008</v>
      </c>
      <c r="N85" s="37">
        <f t="shared" si="55"/>
        <v>93.226428571428571</v>
      </c>
      <c r="O85" s="37">
        <f t="shared" si="55"/>
        <v>92.381052631578953</v>
      </c>
      <c r="P85" s="37">
        <f t="shared" si="55"/>
        <v>94.462142857142851</v>
      </c>
      <c r="Q85" s="37">
        <f t="shared" si="55"/>
        <v>94.025312499999998</v>
      </c>
      <c r="R85" s="37">
        <f t="shared" si="55"/>
        <v>107.22333333333333</v>
      </c>
      <c r="S85" s="37">
        <f>+IFERROR(S87/S83,0)</f>
        <v>104.34972222222223</v>
      </c>
      <c r="T85" s="37">
        <f t="shared" ref="T85:AH85" si="56">+IFERROR(T87/T83,0)</f>
        <v>91.233235294117648</v>
      </c>
      <c r="U85" s="37">
        <f t="shared" si="56"/>
        <v>92.089999999999989</v>
      </c>
      <c r="V85" s="37">
        <f t="shared" si="56"/>
        <v>103.6806</v>
      </c>
      <c r="W85" s="37">
        <f t="shared" si="56"/>
        <v>93.66901960784314</v>
      </c>
      <c r="X85" s="37">
        <f t="shared" si="56"/>
        <v>107.54913043478261</v>
      </c>
      <c r="Y85" s="37">
        <f t="shared" si="56"/>
        <v>101.18660377358491</v>
      </c>
      <c r="Z85" s="37">
        <f t="shared" si="56"/>
        <v>105.29020833333334</v>
      </c>
      <c r="AA85" s="37">
        <f t="shared" si="56"/>
        <v>83.61</v>
      </c>
      <c r="AB85" s="37">
        <f t="shared" si="56"/>
        <v>101.1921052631579</v>
      </c>
      <c r="AC85" s="37">
        <f t="shared" si="56"/>
        <v>100.24911111111111</v>
      </c>
      <c r="AD85" s="37">
        <f t="shared" si="56"/>
        <v>97.355789473684212</v>
      </c>
      <c r="AE85" s="37">
        <f t="shared" si="56"/>
        <v>91.89473684210526</v>
      </c>
      <c r="AF85" s="37">
        <f t="shared" si="56"/>
        <v>102.15166666666666</v>
      </c>
      <c r="AG85" s="37">
        <f t="shared" si="56"/>
        <v>108.84641509433962</v>
      </c>
      <c r="AH85" s="37">
        <f t="shared" si="56"/>
        <v>92.25322580645161</v>
      </c>
      <c r="AI85" s="283">
        <f>+AI87/AI83</f>
        <v>97.233702791461425</v>
      </c>
      <c r="AJ85" s="279">
        <f>+AJ87/AJ83</f>
        <v>97.233702791461425</v>
      </c>
    </row>
    <row r="86" spans="1:36" x14ac:dyDescent="0.3">
      <c r="A86" s="203"/>
      <c r="B86" s="33"/>
      <c r="C86" s="34" t="s">
        <v>18</v>
      </c>
      <c r="D86" s="37">
        <f t="shared" ref="D86:AH86" si="57">+D84*D85</f>
        <v>41.785825242718438</v>
      </c>
      <c r="E86" s="37">
        <f t="shared" si="57"/>
        <v>41.019126213592237</v>
      </c>
      <c r="F86" s="37">
        <f t="shared" si="57"/>
        <v>32.088155339805823</v>
      </c>
      <c r="G86" s="37">
        <f t="shared" si="57"/>
        <v>20.864271844660195</v>
      </c>
      <c r="H86" s="37">
        <f t="shared" si="57"/>
        <v>23.743203883495145</v>
      </c>
      <c r="I86" s="37">
        <f t="shared" si="57"/>
        <v>27.934951456310685</v>
      </c>
      <c r="J86" s="37">
        <f t="shared" si="57"/>
        <v>35.213203883495147</v>
      </c>
      <c r="K86" s="37">
        <f t="shared" si="57"/>
        <v>36.97281553398058</v>
      </c>
      <c r="L86" s="37">
        <f t="shared" si="57"/>
        <v>43.988252427184463</v>
      </c>
      <c r="M86" s="37">
        <f t="shared" si="57"/>
        <v>14.637961165048544</v>
      </c>
      <c r="N86" s="37">
        <f t="shared" si="57"/>
        <v>25.343106796116505</v>
      </c>
      <c r="O86" s="37">
        <f t="shared" si="57"/>
        <v>34.082330097087379</v>
      </c>
      <c r="P86" s="37">
        <f t="shared" si="57"/>
        <v>38.518543689320381</v>
      </c>
      <c r="Q86" s="37">
        <f t="shared" si="57"/>
        <v>29.211747572815533</v>
      </c>
      <c r="R86" s="37">
        <f t="shared" si="57"/>
        <v>37.476116504854367</v>
      </c>
      <c r="S86" s="37">
        <f t="shared" si="57"/>
        <v>36.471747572815538</v>
      </c>
      <c r="T86" s="37">
        <f t="shared" si="57"/>
        <v>30.115825242718447</v>
      </c>
      <c r="U86" s="37">
        <f t="shared" si="57"/>
        <v>42.915728155339799</v>
      </c>
      <c r="V86" s="37">
        <f t="shared" si="57"/>
        <v>50.330388349514564</v>
      </c>
      <c r="W86" s="37">
        <f t="shared" si="57"/>
        <v>46.37980582524272</v>
      </c>
      <c r="X86" s="37">
        <f t="shared" si="57"/>
        <v>48.031650485436899</v>
      </c>
      <c r="Y86" s="37">
        <f t="shared" si="57"/>
        <v>52.066893203883495</v>
      </c>
      <c r="Z86" s="37">
        <f t="shared" si="57"/>
        <v>49.067281553398061</v>
      </c>
      <c r="AA86" s="37">
        <f t="shared" si="57"/>
        <v>29.222912621359225</v>
      </c>
      <c r="AB86" s="37">
        <f t="shared" si="57"/>
        <v>37.333009708737869</v>
      </c>
      <c r="AC86" s="37">
        <f t="shared" si="57"/>
        <v>43.798155339805817</v>
      </c>
      <c r="AD86" s="37">
        <f t="shared" si="57"/>
        <v>35.917669902912621</v>
      </c>
      <c r="AE86" s="37">
        <f t="shared" si="57"/>
        <v>33.902912621359221</v>
      </c>
      <c r="AF86" s="37">
        <f t="shared" si="57"/>
        <v>47.604660194174755</v>
      </c>
      <c r="AG86" s="37">
        <f t="shared" si="57"/>
        <v>56.008349514563108</v>
      </c>
      <c r="AH86" s="37">
        <f t="shared" si="57"/>
        <v>27.765533980582521</v>
      </c>
      <c r="AI86" s="283">
        <f>+AI85*AI84</f>
        <v>37.090714062010655</v>
      </c>
      <c r="AJ86" s="279">
        <f>+AJ84*AJ85</f>
        <v>37.090714062010655</v>
      </c>
    </row>
    <row r="87" spans="1:36" ht="15" thickBot="1" x14ac:dyDescent="0.35">
      <c r="A87" s="203"/>
      <c r="B87" s="33"/>
      <c r="C87" s="34" t="s">
        <v>19</v>
      </c>
      <c r="D87" s="158">
        <v>4303.9399999999996</v>
      </c>
      <c r="E87" s="158">
        <v>4224.97</v>
      </c>
      <c r="F87" s="158">
        <v>3305.08</v>
      </c>
      <c r="G87" s="158">
        <v>2149.02</v>
      </c>
      <c r="H87" s="158">
        <v>2445.5500000000002</v>
      </c>
      <c r="I87" s="158">
        <v>2877.3</v>
      </c>
      <c r="J87" s="158">
        <v>3626.96</v>
      </c>
      <c r="K87" s="158">
        <v>3808.2</v>
      </c>
      <c r="L87" s="158">
        <v>4530.79</v>
      </c>
      <c r="M87" s="158">
        <v>1507.71</v>
      </c>
      <c r="N87" s="158">
        <v>2610.34</v>
      </c>
      <c r="O87" s="158">
        <v>3510.48</v>
      </c>
      <c r="P87" s="158">
        <v>3967.41</v>
      </c>
      <c r="Q87" s="158">
        <v>3008.81</v>
      </c>
      <c r="R87" s="222">
        <v>3860.04</v>
      </c>
      <c r="S87" s="158">
        <v>3756.59</v>
      </c>
      <c r="T87" s="158">
        <v>3101.93</v>
      </c>
      <c r="U87" s="158">
        <v>4420.32</v>
      </c>
      <c r="V87" s="158">
        <v>5184.03</v>
      </c>
      <c r="W87" s="158">
        <v>4777.12</v>
      </c>
      <c r="X87" s="158">
        <v>4947.26</v>
      </c>
      <c r="Y87" s="158">
        <v>5362.89</v>
      </c>
      <c r="Z87" s="158">
        <v>5053.93</v>
      </c>
      <c r="AA87" s="158">
        <v>3009.96</v>
      </c>
      <c r="AB87" s="158">
        <v>3845.3</v>
      </c>
      <c r="AC87" s="158">
        <v>4511.21</v>
      </c>
      <c r="AD87" s="158">
        <v>3699.52</v>
      </c>
      <c r="AE87" s="158">
        <v>3492</v>
      </c>
      <c r="AF87" s="158">
        <v>4903.28</v>
      </c>
      <c r="AG87" s="158">
        <v>5768.86</v>
      </c>
      <c r="AH87" s="158">
        <v>2859.85</v>
      </c>
      <c r="AI87" s="284">
        <f>SUM(D87:AH87)</f>
        <v>118430.65000000001</v>
      </c>
      <c r="AJ87" s="285">
        <f>+AI87/$A$1*$AK$1</f>
        <v>118430.65000000001</v>
      </c>
    </row>
    <row r="88" spans="1:36" x14ac:dyDescent="0.3">
      <c r="A88" s="203">
        <v>115</v>
      </c>
      <c r="B88" s="159" t="s">
        <v>41</v>
      </c>
      <c r="C88" s="160" t="s">
        <v>15</v>
      </c>
      <c r="D88" s="228">
        <v>67</v>
      </c>
      <c r="E88" s="228">
        <v>77</v>
      </c>
      <c r="F88" s="228">
        <v>46</v>
      </c>
      <c r="G88" s="228">
        <v>30</v>
      </c>
      <c r="H88" s="228">
        <v>53</v>
      </c>
      <c r="I88" s="228">
        <v>33</v>
      </c>
      <c r="J88" s="228">
        <v>45</v>
      </c>
      <c r="K88" s="228">
        <v>69</v>
      </c>
      <c r="L88" s="228">
        <v>69</v>
      </c>
      <c r="M88" s="228">
        <v>48</v>
      </c>
      <c r="N88" s="228">
        <v>50</v>
      </c>
      <c r="O88" s="228">
        <v>79</v>
      </c>
      <c r="P88" s="228">
        <v>76</v>
      </c>
      <c r="Q88" s="228">
        <v>71</v>
      </c>
      <c r="R88" s="228">
        <v>80</v>
      </c>
      <c r="S88" s="228">
        <v>110</v>
      </c>
      <c r="T88" s="228">
        <v>47</v>
      </c>
      <c r="U88" s="228">
        <v>96</v>
      </c>
      <c r="V88" s="228">
        <v>106</v>
      </c>
      <c r="W88" s="228">
        <v>75</v>
      </c>
      <c r="X88" s="228">
        <v>74</v>
      </c>
      <c r="Y88" s="228">
        <v>78</v>
      </c>
      <c r="Z88" s="228">
        <v>80</v>
      </c>
      <c r="AA88" s="228">
        <v>42</v>
      </c>
      <c r="AB88" s="228">
        <v>73</v>
      </c>
      <c r="AC88" s="228">
        <v>88</v>
      </c>
      <c r="AD88" s="228">
        <v>93</v>
      </c>
      <c r="AE88" s="228">
        <v>90</v>
      </c>
      <c r="AF88" s="228">
        <v>98</v>
      </c>
      <c r="AG88" s="228">
        <v>106</v>
      </c>
      <c r="AH88" s="228">
        <v>38</v>
      </c>
      <c r="AI88" s="288">
        <f>SUM(D88:AH88)</f>
        <v>2187</v>
      </c>
      <c r="AJ88" s="289">
        <f>+$AI88/$A$1*$AK$1</f>
        <v>2187</v>
      </c>
    </row>
    <row r="89" spans="1:36" x14ac:dyDescent="0.3">
      <c r="A89" s="203"/>
      <c r="B89" s="162"/>
      <c r="C89" s="163" t="s">
        <v>16</v>
      </c>
      <c r="D89" s="164">
        <f>+D88/$A88</f>
        <v>0.58260869565217388</v>
      </c>
      <c r="E89" s="164">
        <f t="shared" ref="E89:AH89" si="58">+E88/$A88</f>
        <v>0.66956521739130437</v>
      </c>
      <c r="F89" s="164">
        <f t="shared" si="58"/>
        <v>0.4</v>
      </c>
      <c r="G89" s="164">
        <f t="shared" si="58"/>
        <v>0.2608695652173913</v>
      </c>
      <c r="H89" s="164">
        <f t="shared" si="58"/>
        <v>0.46086956521739131</v>
      </c>
      <c r="I89" s="164">
        <f t="shared" si="58"/>
        <v>0.28695652173913044</v>
      </c>
      <c r="J89" s="164">
        <f t="shared" si="58"/>
        <v>0.39130434782608697</v>
      </c>
      <c r="K89" s="164">
        <f t="shared" si="58"/>
        <v>0.6</v>
      </c>
      <c r="L89" s="164">
        <f t="shared" si="58"/>
        <v>0.6</v>
      </c>
      <c r="M89" s="164">
        <f t="shared" si="58"/>
        <v>0.41739130434782606</v>
      </c>
      <c r="N89" s="164">
        <f t="shared" si="58"/>
        <v>0.43478260869565216</v>
      </c>
      <c r="O89" s="164">
        <f t="shared" si="58"/>
        <v>0.68695652173913047</v>
      </c>
      <c r="P89" s="164">
        <f t="shared" si="58"/>
        <v>0.66086956521739126</v>
      </c>
      <c r="Q89" s="164">
        <f t="shared" si="58"/>
        <v>0.61739130434782608</v>
      </c>
      <c r="R89" s="164">
        <f t="shared" si="58"/>
        <v>0.69565217391304346</v>
      </c>
      <c r="S89" s="164">
        <f t="shared" si="58"/>
        <v>0.95652173913043481</v>
      </c>
      <c r="T89" s="164">
        <f t="shared" si="58"/>
        <v>0.40869565217391307</v>
      </c>
      <c r="U89" s="164">
        <f t="shared" si="58"/>
        <v>0.83478260869565213</v>
      </c>
      <c r="V89" s="164">
        <f t="shared" si="58"/>
        <v>0.92173913043478262</v>
      </c>
      <c r="W89" s="164">
        <f t="shared" si="58"/>
        <v>0.65217391304347827</v>
      </c>
      <c r="X89" s="164">
        <f t="shared" si="58"/>
        <v>0.64347826086956517</v>
      </c>
      <c r="Y89" s="164">
        <f t="shared" si="58"/>
        <v>0.67826086956521736</v>
      </c>
      <c r="Z89" s="164">
        <f t="shared" si="58"/>
        <v>0.69565217391304346</v>
      </c>
      <c r="AA89" s="164">
        <f>+AA88/$A88</f>
        <v>0.36521739130434783</v>
      </c>
      <c r="AB89" s="164">
        <f t="shared" si="58"/>
        <v>0.63478260869565217</v>
      </c>
      <c r="AC89" s="164">
        <f t="shared" si="58"/>
        <v>0.76521739130434785</v>
      </c>
      <c r="AD89" s="164">
        <f t="shared" si="58"/>
        <v>0.80869565217391304</v>
      </c>
      <c r="AE89" s="164">
        <f t="shared" si="58"/>
        <v>0.78260869565217395</v>
      </c>
      <c r="AF89" s="164">
        <f t="shared" si="58"/>
        <v>0.85217391304347823</v>
      </c>
      <c r="AG89" s="164">
        <f t="shared" si="58"/>
        <v>0.92173913043478262</v>
      </c>
      <c r="AH89" s="164">
        <f t="shared" si="58"/>
        <v>0.33043478260869563</v>
      </c>
      <c r="AI89" s="290">
        <f>+AI88/(A88*A$1)</f>
        <v>0.61346423562412344</v>
      </c>
      <c r="AJ89" s="291">
        <f>AJ88/($A88*AK1)</f>
        <v>0.61346423562412344</v>
      </c>
    </row>
    <row r="90" spans="1:36" x14ac:dyDescent="0.3">
      <c r="A90" s="203"/>
      <c r="B90" s="162"/>
      <c r="C90" s="163" t="s">
        <v>17</v>
      </c>
      <c r="D90" s="165">
        <f>+IFERROR(D92/D88,0)</f>
        <v>109.02119402985075</v>
      </c>
      <c r="E90" s="165">
        <f t="shared" ref="E90:AG90" si="59">+IFERROR(E92/E88,0)</f>
        <v>111.76428571428572</v>
      </c>
      <c r="F90" s="165">
        <f t="shared" si="59"/>
        <v>106.14217391304348</v>
      </c>
      <c r="G90" s="165">
        <f t="shared" si="59"/>
        <v>104.12966666666667</v>
      </c>
      <c r="H90" s="165">
        <f t="shared" si="59"/>
        <v>99.074339622641503</v>
      </c>
      <c r="I90" s="165">
        <f t="shared" si="59"/>
        <v>100.93939393939394</v>
      </c>
      <c r="J90" s="165">
        <f t="shared" si="59"/>
        <v>119.22866666666667</v>
      </c>
      <c r="K90" s="165">
        <f t="shared" si="59"/>
        <v>120.26797101449274</v>
      </c>
      <c r="L90" s="165">
        <f t="shared" si="59"/>
        <v>110.61188405797103</v>
      </c>
      <c r="M90" s="165">
        <f t="shared" si="59"/>
        <v>108.00125000000001</v>
      </c>
      <c r="N90" s="165">
        <f t="shared" si="59"/>
        <v>110.8364</v>
      </c>
      <c r="O90" s="165">
        <f t="shared" si="59"/>
        <v>112.46468354430378</v>
      </c>
      <c r="P90" s="165">
        <f t="shared" si="59"/>
        <v>113.21210526315791</v>
      </c>
      <c r="Q90" s="165">
        <f t="shared" si="59"/>
        <v>110.21915492957747</v>
      </c>
      <c r="R90" s="165">
        <f t="shared" si="59"/>
        <v>107.482</v>
      </c>
      <c r="S90" s="165">
        <f t="shared" si="59"/>
        <v>112.96172727272729</v>
      </c>
      <c r="T90" s="165">
        <f t="shared" si="59"/>
        <v>106.78617021276595</v>
      </c>
      <c r="U90" s="165">
        <f t="shared" si="59"/>
        <v>124.47729166666666</v>
      </c>
      <c r="V90" s="165">
        <f t="shared" si="59"/>
        <v>129.34905660377359</v>
      </c>
      <c r="W90" s="165">
        <f t="shared" si="59"/>
        <v>123.13786666666667</v>
      </c>
      <c r="X90" s="165">
        <f t="shared" si="59"/>
        <v>110.07972972972972</v>
      </c>
      <c r="Y90" s="165">
        <f t="shared" si="59"/>
        <v>112.29128205128204</v>
      </c>
      <c r="Z90" s="165">
        <f t="shared" si="59"/>
        <v>109.817875</v>
      </c>
      <c r="AA90" s="165">
        <f>+IFERROR(AA92/AA88,0)</f>
        <v>122.85761904761905</v>
      </c>
      <c r="AB90" s="165">
        <f t="shared" si="59"/>
        <v>121.06082191780823</v>
      </c>
      <c r="AC90" s="165">
        <f t="shared" si="59"/>
        <v>125.43545454545455</v>
      </c>
      <c r="AD90" s="165">
        <f t="shared" si="59"/>
        <v>127.67333333333335</v>
      </c>
      <c r="AE90" s="165">
        <f t="shared" si="59"/>
        <v>124.25044444444445</v>
      </c>
      <c r="AF90" s="165">
        <f t="shared" si="59"/>
        <v>120.36704081632652</v>
      </c>
      <c r="AG90" s="165">
        <f t="shared" si="59"/>
        <v>122.84641509433962</v>
      </c>
      <c r="AH90" s="165">
        <f>+IFERROR(AH92/AH88,0)</f>
        <v>104.41078947368422</v>
      </c>
      <c r="AI90" s="292">
        <f>+AI92/AI88</f>
        <v>115.83980795610422</v>
      </c>
      <c r="AJ90" s="293">
        <f>+AJ92/AJ88</f>
        <v>115.83980795610422</v>
      </c>
    </row>
    <row r="91" spans="1:36" x14ac:dyDescent="0.3">
      <c r="A91" s="203"/>
      <c r="B91" s="162"/>
      <c r="C91" s="163" t="s">
        <v>18</v>
      </c>
      <c r="D91" s="165">
        <f>+D89*D90</f>
        <v>63.516695652173908</v>
      </c>
      <c r="E91" s="165">
        <f t="shared" ref="E91:AH91" si="60">+E89*E90</f>
        <v>74.833478260869569</v>
      </c>
      <c r="F91" s="165">
        <f t="shared" si="60"/>
        <v>42.456869565217396</v>
      </c>
      <c r="G91" s="165">
        <f t="shared" si="60"/>
        <v>27.164260869565215</v>
      </c>
      <c r="H91" s="165">
        <f t="shared" si="60"/>
        <v>45.660347826086955</v>
      </c>
      <c r="I91" s="165">
        <f t="shared" si="60"/>
        <v>28.96521739130435</v>
      </c>
      <c r="J91" s="165">
        <f t="shared" si="60"/>
        <v>46.654695652173913</v>
      </c>
      <c r="K91" s="165">
        <f t="shared" si="60"/>
        <v>72.160782608695641</v>
      </c>
      <c r="L91" s="165">
        <f t="shared" si="60"/>
        <v>66.367130434782609</v>
      </c>
      <c r="M91" s="165">
        <f t="shared" si="60"/>
        <v>45.078782608695654</v>
      </c>
      <c r="N91" s="165">
        <f t="shared" si="60"/>
        <v>48.189739130434781</v>
      </c>
      <c r="O91" s="165">
        <f t="shared" si="60"/>
        <v>77.258347826086947</v>
      </c>
      <c r="P91" s="165">
        <f t="shared" si="60"/>
        <v>74.818434782608705</v>
      </c>
      <c r="Q91" s="165">
        <f t="shared" si="60"/>
        <v>68.048347826086953</v>
      </c>
      <c r="R91" s="165">
        <f t="shared" si="60"/>
        <v>74.770086956521737</v>
      </c>
      <c r="S91" s="165">
        <f t="shared" si="60"/>
        <v>108.05034782608698</v>
      </c>
      <c r="T91" s="165">
        <f t="shared" si="60"/>
        <v>43.643043478260871</v>
      </c>
      <c r="U91" s="165">
        <f t="shared" si="60"/>
        <v>103.91147826086956</v>
      </c>
      <c r="V91" s="165">
        <f t="shared" si="60"/>
        <v>119.22608695652174</v>
      </c>
      <c r="W91" s="165">
        <f t="shared" si="60"/>
        <v>80.30730434782609</v>
      </c>
      <c r="X91" s="165">
        <f t="shared" si="60"/>
        <v>70.833913043478248</v>
      </c>
      <c r="Y91" s="165">
        <f t="shared" si="60"/>
        <v>76.162782608695636</v>
      </c>
      <c r="Z91" s="165">
        <f t="shared" si="60"/>
        <v>76.395043478260874</v>
      </c>
      <c r="AA91" s="165">
        <f t="shared" si="60"/>
        <v>44.869739130434787</v>
      </c>
      <c r="AB91" s="165">
        <f t="shared" si="60"/>
        <v>76.847304347826096</v>
      </c>
      <c r="AC91" s="165">
        <f t="shared" si="60"/>
        <v>95.985391304347829</v>
      </c>
      <c r="AD91" s="165">
        <f t="shared" si="60"/>
        <v>103.2488695652174</v>
      </c>
      <c r="AE91" s="165">
        <f t="shared" si="60"/>
        <v>97.239478260869575</v>
      </c>
      <c r="AF91" s="165">
        <f t="shared" si="60"/>
        <v>102.57365217391303</v>
      </c>
      <c r="AG91" s="165">
        <f t="shared" si="60"/>
        <v>113.23234782608695</v>
      </c>
      <c r="AH91" s="165">
        <f t="shared" si="60"/>
        <v>34.500956521739134</v>
      </c>
      <c r="AI91" s="292">
        <f>+AI90*AI89</f>
        <v>71.063579242636735</v>
      </c>
      <c r="AJ91" s="293">
        <f>+AJ89*AJ90</f>
        <v>71.063579242636735</v>
      </c>
    </row>
    <row r="92" spans="1:36" ht="15" thickBot="1" x14ac:dyDescent="0.35">
      <c r="A92" s="203"/>
      <c r="B92" s="205"/>
      <c r="C92" s="206" t="s">
        <v>19</v>
      </c>
      <c r="D92" s="254">
        <v>7304.42</v>
      </c>
      <c r="E92" s="254">
        <v>8605.85</v>
      </c>
      <c r="F92" s="254">
        <v>4882.54</v>
      </c>
      <c r="G92" s="254">
        <v>3123.89</v>
      </c>
      <c r="H92" s="254">
        <v>5250.94</v>
      </c>
      <c r="I92" s="254">
        <v>3331</v>
      </c>
      <c r="J92" s="254">
        <v>5365.29</v>
      </c>
      <c r="K92" s="254">
        <v>8298.49</v>
      </c>
      <c r="L92" s="254">
        <v>7632.22</v>
      </c>
      <c r="M92" s="254">
        <v>5184.0600000000004</v>
      </c>
      <c r="N92" s="254">
        <v>5541.82</v>
      </c>
      <c r="O92" s="254">
        <v>8884.7099999999991</v>
      </c>
      <c r="P92" s="254">
        <v>8604.1200000000008</v>
      </c>
      <c r="Q92" s="254">
        <v>7825.56</v>
      </c>
      <c r="R92" s="254">
        <v>8598.56</v>
      </c>
      <c r="S92" s="254">
        <v>12425.79</v>
      </c>
      <c r="T92" s="254">
        <v>5018.95</v>
      </c>
      <c r="U92" s="254">
        <v>11949.82</v>
      </c>
      <c r="V92" s="254">
        <v>13711</v>
      </c>
      <c r="W92" s="254">
        <v>9235.34</v>
      </c>
      <c r="X92" s="254">
        <v>8145.9</v>
      </c>
      <c r="Y92" s="254">
        <v>8758.7199999999993</v>
      </c>
      <c r="Z92" s="254">
        <v>8785.43</v>
      </c>
      <c r="AA92" s="254">
        <v>5160.0200000000004</v>
      </c>
      <c r="AB92" s="254">
        <v>8837.44</v>
      </c>
      <c r="AC92" s="254">
        <v>11038.32</v>
      </c>
      <c r="AD92" s="254">
        <v>11873.62</v>
      </c>
      <c r="AE92" s="254">
        <v>11182.54</v>
      </c>
      <c r="AF92" s="254">
        <v>11795.97</v>
      </c>
      <c r="AG92" s="254">
        <v>13021.72</v>
      </c>
      <c r="AH92" s="254">
        <v>3967.61</v>
      </c>
      <c r="AI92" s="309">
        <f>SUM(D92:AH92)</f>
        <v>253341.65999999995</v>
      </c>
      <c r="AJ92" s="307">
        <f>+AI92/$A$1*$AK$1</f>
        <v>253341.65999999995</v>
      </c>
    </row>
    <row r="93" spans="1:36" ht="15" hidden="1" thickBot="1" x14ac:dyDescent="0.35">
      <c r="A93" s="203">
        <f>100-100</f>
        <v>0</v>
      </c>
      <c r="B93" s="33" t="s">
        <v>42</v>
      </c>
      <c r="C93" s="34" t="s">
        <v>15</v>
      </c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310">
        <f>SUM(D93:AH93)</f>
        <v>0</v>
      </c>
      <c r="AJ93" s="285">
        <f>+$AI93/$A$1*$AK$1</f>
        <v>0</v>
      </c>
    </row>
    <row r="94" spans="1:36" ht="15" hidden="1" thickBot="1" x14ac:dyDescent="0.35">
      <c r="A94" s="203"/>
      <c r="B94" s="33"/>
      <c r="C94" s="34" t="s">
        <v>16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281" t="e">
        <f>+AI93/(A93*A$1)</f>
        <v>#DIV/0!</v>
      </c>
      <c r="AJ94" s="282" t="e">
        <f>AJ93/($A93*AK1)</f>
        <v>#DIV/0!</v>
      </c>
    </row>
    <row r="95" spans="1:36" ht="15" hidden="1" thickBot="1" x14ac:dyDescent="0.35">
      <c r="A95" s="203"/>
      <c r="B95" s="33"/>
      <c r="C95" s="34" t="s">
        <v>17</v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283" t="e">
        <f>+AI97/AI93</f>
        <v>#DIV/0!</v>
      </c>
      <c r="AJ95" s="279" t="e">
        <f>+AJ97/AJ93</f>
        <v>#DIV/0!</v>
      </c>
    </row>
    <row r="96" spans="1:36" ht="15" hidden="1" thickBot="1" x14ac:dyDescent="0.35">
      <c r="A96" s="203"/>
      <c r="B96" s="33"/>
      <c r="C96" s="34" t="s">
        <v>18</v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283" t="e">
        <f>+AI95*AI94</f>
        <v>#DIV/0!</v>
      </c>
      <c r="AJ96" s="279" t="e">
        <f>+AJ94*AJ95</f>
        <v>#DIV/0!</v>
      </c>
    </row>
    <row r="97" spans="1:36" ht="15" hidden="1" thickBot="1" x14ac:dyDescent="0.35">
      <c r="A97" s="203"/>
      <c r="B97" s="33"/>
      <c r="C97" s="34" t="s">
        <v>19</v>
      </c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284">
        <f>SUM(D97:AH97)</f>
        <v>0</v>
      </c>
      <c r="AJ97" s="285">
        <f>+AI97/$A$1*$AK$1</f>
        <v>0</v>
      </c>
    </row>
    <row r="98" spans="1:36" x14ac:dyDescent="0.3">
      <c r="A98" s="203">
        <v>107</v>
      </c>
      <c r="B98" s="159" t="s">
        <v>43</v>
      </c>
      <c r="C98" s="160" t="s">
        <v>15</v>
      </c>
      <c r="D98" s="228">
        <v>85</v>
      </c>
      <c r="E98" s="228">
        <v>72</v>
      </c>
      <c r="F98" s="228">
        <v>54</v>
      </c>
      <c r="G98" s="228">
        <v>57</v>
      </c>
      <c r="H98" s="228">
        <v>96</v>
      </c>
      <c r="I98" s="228">
        <v>95</v>
      </c>
      <c r="J98" s="228">
        <v>92</v>
      </c>
      <c r="K98" s="228">
        <v>82</v>
      </c>
      <c r="L98" s="228">
        <v>75</v>
      </c>
      <c r="M98" s="228">
        <v>58</v>
      </c>
      <c r="N98" s="228">
        <v>79</v>
      </c>
      <c r="O98" s="228">
        <v>67</v>
      </c>
      <c r="P98" s="228">
        <v>79</v>
      </c>
      <c r="Q98" s="228">
        <v>79</v>
      </c>
      <c r="R98" s="228">
        <v>84</v>
      </c>
      <c r="S98" s="228">
        <v>103</v>
      </c>
      <c r="T98" s="228">
        <v>66</v>
      </c>
      <c r="U98" s="228">
        <v>64</v>
      </c>
      <c r="V98" s="228">
        <v>83</v>
      </c>
      <c r="W98" s="228">
        <v>76</v>
      </c>
      <c r="X98" s="228">
        <v>94</v>
      </c>
      <c r="Y98" s="228">
        <v>79</v>
      </c>
      <c r="Z98" s="228">
        <v>71</v>
      </c>
      <c r="AA98" s="228">
        <v>45</v>
      </c>
      <c r="AB98" s="228">
        <v>55</v>
      </c>
      <c r="AC98" s="228">
        <v>58</v>
      </c>
      <c r="AD98" s="228">
        <v>61</v>
      </c>
      <c r="AE98" s="228">
        <v>80</v>
      </c>
      <c r="AF98" s="228">
        <v>102</v>
      </c>
      <c r="AG98" s="228">
        <v>91</v>
      </c>
      <c r="AH98" s="228">
        <v>60</v>
      </c>
      <c r="AI98" s="288">
        <f>SUM(D98:AH98)</f>
        <v>2342</v>
      </c>
      <c r="AJ98" s="289">
        <f>+$AI98/$A$1*$AK$1</f>
        <v>2342</v>
      </c>
    </row>
    <row r="99" spans="1:36" x14ac:dyDescent="0.3">
      <c r="A99" s="203"/>
      <c r="B99" s="162"/>
      <c r="C99" s="163" t="s">
        <v>16</v>
      </c>
      <c r="D99" s="164">
        <f>+D98/$A98</f>
        <v>0.79439252336448596</v>
      </c>
      <c r="E99" s="164">
        <f t="shared" ref="E99:AH99" si="61">+E98/$A98</f>
        <v>0.67289719626168221</v>
      </c>
      <c r="F99" s="164">
        <f t="shared" si="61"/>
        <v>0.50467289719626163</v>
      </c>
      <c r="G99" s="164">
        <f t="shared" si="61"/>
        <v>0.53271028037383172</v>
      </c>
      <c r="H99" s="164">
        <f t="shared" si="61"/>
        <v>0.89719626168224298</v>
      </c>
      <c r="I99" s="164">
        <f t="shared" si="61"/>
        <v>0.88785046728971961</v>
      </c>
      <c r="J99" s="164">
        <f t="shared" si="61"/>
        <v>0.85981308411214952</v>
      </c>
      <c r="K99" s="164">
        <f t="shared" si="61"/>
        <v>0.76635514018691586</v>
      </c>
      <c r="L99" s="164">
        <f t="shared" si="61"/>
        <v>0.7009345794392523</v>
      </c>
      <c r="M99" s="164">
        <f t="shared" si="61"/>
        <v>0.54205607476635509</v>
      </c>
      <c r="N99" s="164">
        <f t="shared" si="61"/>
        <v>0.73831775700934577</v>
      </c>
      <c r="O99" s="164">
        <f t="shared" si="61"/>
        <v>0.62616822429906538</v>
      </c>
      <c r="P99" s="164">
        <f t="shared" si="61"/>
        <v>0.73831775700934577</v>
      </c>
      <c r="Q99" s="164">
        <f t="shared" si="61"/>
        <v>0.73831775700934577</v>
      </c>
      <c r="R99" s="164">
        <f t="shared" si="61"/>
        <v>0.78504672897196259</v>
      </c>
      <c r="S99" s="164">
        <f t="shared" si="61"/>
        <v>0.96261682242990654</v>
      </c>
      <c r="T99" s="164">
        <f t="shared" si="61"/>
        <v>0.61682242990654201</v>
      </c>
      <c r="U99" s="164">
        <f t="shared" si="61"/>
        <v>0.59813084112149528</v>
      </c>
      <c r="V99" s="164">
        <f t="shared" si="61"/>
        <v>0.77570093457943923</v>
      </c>
      <c r="W99" s="164">
        <f t="shared" si="61"/>
        <v>0.71028037383177567</v>
      </c>
      <c r="X99" s="164">
        <f>+X98/$A98</f>
        <v>0.87850467289719625</v>
      </c>
      <c r="Y99" s="164">
        <f t="shared" si="61"/>
        <v>0.73831775700934577</v>
      </c>
      <c r="Z99" s="164">
        <f t="shared" si="61"/>
        <v>0.66355140186915884</v>
      </c>
      <c r="AA99" s="164">
        <f>+AA98/$A98</f>
        <v>0.42056074766355139</v>
      </c>
      <c r="AB99" s="164">
        <f t="shared" si="61"/>
        <v>0.51401869158878499</v>
      </c>
      <c r="AC99" s="164">
        <f t="shared" si="61"/>
        <v>0.54205607476635509</v>
      </c>
      <c r="AD99" s="164">
        <f t="shared" si="61"/>
        <v>0.57009345794392519</v>
      </c>
      <c r="AE99" s="164">
        <f t="shared" si="61"/>
        <v>0.74766355140186913</v>
      </c>
      <c r="AF99" s="164">
        <f t="shared" si="61"/>
        <v>0.95327102803738317</v>
      </c>
      <c r="AG99" s="164">
        <f t="shared" si="61"/>
        <v>0.85046728971962615</v>
      </c>
      <c r="AH99" s="164">
        <f t="shared" si="61"/>
        <v>0.56074766355140182</v>
      </c>
      <c r="AI99" s="290">
        <f>+AI98/(A98*A$1)</f>
        <v>0.70605969249321676</v>
      </c>
      <c r="AJ99" s="291">
        <f>AJ98/($A98*AK1)</f>
        <v>0.70605969249321676</v>
      </c>
    </row>
    <row r="100" spans="1:36" x14ac:dyDescent="0.3">
      <c r="A100" s="203"/>
      <c r="B100" s="162"/>
      <c r="C100" s="163" t="s">
        <v>17</v>
      </c>
      <c r="D100" s="165">
        <f>+IFERROR(D102/D98,0)</f>
        <v>134.26105882352942</v>
      </c>
      <c r="E100" s="165">
        <f t="shared" ref="E100:AH100" si="62">+IFERROR(E102/E98,0)</f>
        <v>127.31750000000001</v>
      </c>
      <c r="F100" s="165">
        <f t="shared" si="62"/>
        <v>104.60518518518519</v>
      </c>
      <c r="G100" s="165">
        <f t="shared" si="62"/>
        <v>123.19105263157896</v>
      </c>
      <c r="H100" s="165">
        <f t="shared" si="62"/>
        <v>116.0878125</v>
      </c>
      <c r="I100" s="165">
        <f t="shared" si="62"/>
        <v>121.27652631578948</v>
      </c>
      <c r="J100" s="165">
        <f t="shared" si="62"/>
        <v>122.99869565217391</v>
      </c>
      <c r="K100" s="165">
        <f t="shared" si="62"/>
        <v>129.28024390243903</v>
      </c>
      <c r="L100" s="165">
        <f t="shared" si="62"/>
        <v>132.82706666666667</v>
      </c>
      <c r="M100" s="165">
        <f t="shared" si="62"/>
        <v>112.87706896551724</v>
      </c>
      <c r="N100" s="165">
        <f t="shared" si="62"/>
        <v>120.98</v>
      </c>
      <c r="O100" s="165">
        <f t="shared" si="62"/>
        <v>121.48149253731344</v>
      </c>
      <c r="P100" s="165">
        <f t="shared" si="62"/>
        <v>123.90848101265823</v>
      </c>
      <c r="Q100" s="165">
        <f t="shared" si="62"/>
        <v>123.89139240506329</v>
      </c>
      <c r="R100" s="165">
        <f t="shared" si="62"/>
        <v>127.14285714285714</v>
      </c>
      <c r="S100" s="165">
        <f t="shared" si="62"/>
        <v>130.27165048543688</v>
      </c>
      <c r="T100" s="165">
        <f t="shared" si="62"/>
        <v>104.44363636363636</v>
      </c>
      <c r="U100" s="165">
        <f t="shared" si="62"/>
        <v>122.84375</v>
      </c>
      <c r="V100" s="165">
        <f t="shared" si="62"/>
        <v>122.49337349397591</v>
      </c>
      <c r="W100" s="165">
        <f t="shared" si="62"/>
        <v>120.15618421052632</v>
      </c>
      <c r="X100" s="165">
        <f>+IFERROR(X102/X98,0)</f>
        <v>118.46138297872341</v>
      </c>
      <c r="Y100" s="165">
        <f t="shared" si="62"/>
        <v>127.42949367088607</v>
      </c>
      <c r="Z100" s="165">
        <f t="shared" si="62"/>
        <v>123.70295774647887</v>
      </c>
      <c r="AA100" s="165">
        <f t="shared" si="62"/>
        <v>99.310444444444457</v>
      </c>
      <c r="AB100" s="165">
        <f t="shared" si="62"/>
        <v>121.00036363636364</v>
      </c>
      <c r="AC100" s="165">
        <f t="shared" si="62"/>
        <v>118.58810344827586</v>
      </c>
      <c r="AD100" s="165">
        <f t="shared" si="62"/>
        <v>118.49819672131149</v>
      </c>
      <c r="AE100" s="165">
        <f t="shared" si="62"/>
        <v>111.0125</v>
      </c>
      <c r="AF100" s="165">
        <f t="shared" si="62"/>
        <v>126.59872549019607</v>
      </c>
      <c r="AG100" s="165">
        <f t="shared" si="62"/>
        <v>123.77648351648351</v>
      </c>
      <c r="AH100" s="165">
        <f t="shared" si="62"/>
        <v>106.66666666666667</v>
      </c>
      <c r="AI100" s="292">
        <f>+AI102/AI98</f>
        <v>121.45152006831766</v>
      </c>
      <c r="AJ100" s="293">
        <f>+AJ102/AJ98</f>
        <v>121.45152006831766</v>
      </c>
    </row>
    <row r="101" spans="1:36" x14ac:dyDescent="0.3">
      <c r="A101" s="203"/>
      <c r="B101" s="162"/>
      <c r="C101" s="163" t="s">
        <v>18</v>
      </c>
      <c r="D101" s="165">
        <f>+D99*D100</f>
        <v>106.65598130841123</v>
      </c>
      <c r="E101" s="165">
        <f t="shared" ref="E101:AH101" si="63">+E99*E100</f>
        <v>85.671588785046737</v>
      </c>
      <c r="F101" s="165">
        <f t="shared" si="63"/>
        <v>52.791401869158875</v>
      </c>
      <c r="G101" s="165">
        <f t="shared" si="63"/>
        <v>65.625140186915885</v>
      </c>
      <c r="H101" s="165">
        <f t="shared" si="63"/>
        <v>104.15355140186915</v>
      </c>
      <c r="I101" s="165">
        <f t="shared" si="63"/>
        <v>107.67542056074767</v>
      </c>
      <c r="J101" s="165">
        <f t="shared" si="63"/>
        <v>105.75588785046729</v>
      </c>
      <c r="K101" s="165">
        <f t="shared" si="63"/>
        <v>99.074579439252332</v>
      </c>
      <c r="L101" s="165">
        <f t="shared" si="63"/>
        <v>93.103084112149531</v>
      </c>
      <c r="M101" s="165">
        <f t="shared" si="63"/>
        <v>61.18570093457943</v>
      </c>
      <c r="N101" s="165">
        <f t="shared" si="63"/>
        <v>89.321682242990647</v>
      </c>
      <c r="O101" s="165">
        <f t="shared" si="63"/>
        <v>76.067850467289716</v>
      </c>
      <c r="P101" s="165">
        <f t="shared" si="63"/>
        <v>91.483831775700935</v>
      </c>
      <c r="Q101" s="165">
        <f t="shared" si="63"/>
        <v>91.471214953271016</v>
      </c>
      <c r="R101" s="165">
        <f t="shared" si="63"/>
        <v>99.813084112149525</v>
      </c>
      <c r="S101" s="165">
        <f t="shared" si="63"/>
        <v>125.40168224299065</v>
      </c>
      <c r="T101" s="165">
        <f t="shared" si="63"/>
        <v>64.423177570093443</v>
      </c>
      <c r="U101" s="165">
        <f t="shared" si="63"/>
        <v>73.476635514018682</v>
      </c>
      <c r="V101" s="165">
        <f t="shared" si="63"/>
        <v>95.018224299065423</v>
      </c>
      <c r="W101" s="165">
        <f t="shared" si="63"/>
        <v>85.344579439252328</v>
      </c>
      <c r="X101" s="165">
        <f>+X99*X100</f>
        <v>104.0688785046729</v>
      </c>
      <c r="Y101" s="165">
        <f t="shared" si="63"/>
        <v>94.083457943925225</v>
      </c>
      <c r="Z101" s="165">
        <f t="shared" si="63"/>
        <v>82.083271028037373</v>
      </c>
      <c r="AA101" s="165">
        <f t="shared" si="63"/>
        <v>41.766074766355146</v>
      </c>
      <c r="AB101" s="165">
        <f t="shared" si="63"/>
        <v>62.196448598130836</v>
      </c>
      <c r="AC101" s="165">
        <f t="shared" si="63"/>
        <v>64.28140186915887</v>
      </c>
      <c r="AD101" s="165">
        <f t="shared" si="63"/>
        <v>67.555046728971959</v>
      </c>
      <c r="AE101" s="165">
        <f t="shared" si="63"/>
        <v>83</v>
      </c>
      <c r="AF101" s="165">
        <f t="shared" si="63"/>
        <v>120.68289719626168</v>
      </c>
      <c r="AG101" s="165">
        <f t="shared" si="63"/>
        <v>105.2678504672897</v>
      </c>
      <c r="AH101" s="165">
        <f t="shared" si="63"/>
        <v>59.813084112149532</v>
      </c>
      <c r="AI101" s="292">
        <f>+AI100*AI99</f>
        <v>85.752022912270107</v>
      </c>
      <c r="AJ101" s="293">
        <f>+AJ99*AJ100</f>
        <v>85.752022912270107</v>
      </c>
    </row>
    <row r="102" spans="1:36" ht="15" thickBot="1" x14ac:dyDescent="0.35">
      <c r="A102" s="203"/>
      <c r="B102" s="162"/>
      <c r="C102" s="163" t="s">
        <v>19</v>
      </c>
      <c r="D102" s="166">
        <v>11412.19</v>
      </c>
      <c r="E102" s="166">
        <v>9166.86</v>
      </c>
      <c r="F102" s="166">
        <v>5648.68</v>
      </c>
      <c r="G102" s="166">
        <v>7021.89</v>
      </c>
      <c r="H102" s="166">
        <v>11144.43</v>
      </c>
      <c r="I102" s="166">
        <v>11521.27</v>
      </c>
      <c r="J102" s="166">
        <v>11315.88</v>
      </c>
      <c r="K102" s="166">
        <v>10600.98</v>
      </c>
      <c r="L102" s="166">
        <v>9962.0300000000007</v>
      </c>
      <c r="M102" s="166">
        <v>6546.87</v>
      </c>
      <c r="N102" s="166">
        <v>9557.42</v>
      </c>
      <c r="O102" s="166">
        <v>8139.26</v>
      </c>
      <c r="P102" s="166">
        <v>9788.77</v>
      </c>
      <c r="Q102" s="166">
        <v>9787.42</v>
      </c>
      <c r="R102" s="166">
        <v>10680</v>
      </c>
      <c r="S102" s="166">
        <v>13417.98</v>
      </c>
      <c r="T102" s="166">
        <v>6893.28</v>
      </c>
      <c r="U102" s="166">
        <v>7862</v>
      </c>
      <c r="V102" s="166">
        <v>10166.950000000001</v>
      </c>
      <c r="W102" s="166">
        <v>9131.8700000000008</v>
      </c>
      <c r="X102" s="166">
        <v>11135.37</v>
      </c>
      <c r="Y102" s="166">
        <v>10066.93</v>
      </c>
      <c r="Z102" s="166">
        <v>8782.91</v>
      </c>
      <c r="AA102" s="166">
        <v>4468.97</v>
      </c>
      <c r="AB102" s="166">
        <v>6655.02</v>
      </c>
      <c r="AC102" s="166">
        <v>6878.11</v>
      </c>
      <c r="AD102" s="166">
        <v>7228.39</v>
      </c>
      <c r="AE102" s="166">
        <v>8881</v>
      </c>
      <c r="AF102" s="166">
        <v>12913.07</v>
      </c>
      <c r="AG102" s="166">
        <v>11263.66</v>
      </c>
      <c r="AH102" s="166">
        <v>6400</v>
      </c>
      <c r="AI102" s="294">
        <f>SUM(D102:AH102)</f>
        <v>284439.45999999996</v>
      </c>
      <c r="AJ102" s="295">
        <f>+AI102/$A$1*$AK$1</f>
        <v>284439.45999999996</v>
      </c>
    </row>
    <row r="103" spans="1:36" x14ac:dyDescent="0.3">
      <c r="A103" s="203">
        <v>125</v>
      </c>
      <c r="B103" s="201" t="s">
        <v>44</v>
      </c>
      <c r="C103" s="104" t="s">
        <v>15</v>
      </c>
      <c r="D103" s="59">
        <v>103</v>
      </c>
      <c r="E103" s="59">
        <v>121</v>
      </c>
      <c r="F103" s="59">
        <v>65</v>
      </c>
      <c r="G103" s="59">
        <v>57</v>
      </c>
      <c r="H103" s="59">
        <v>95</v>
      </c>
      <c r="I103" s="59">
        <v>91</v>
      </c>
      <c r="J103" s="59">
        <v>94</v>
      </c>
      <c r="K103" s="59">
        <v>93</v>
      </c>
      <c r="L103" s="59">
        <v>102</v>
      </c>
      <c r="M103" s="59">
        <v>52</v>
      </c>
      <c r="N103" s="59">
        <v>57</v>
      </c>
      <c r="O103" s="59">
        <v>55</v>
      </c>
      <c r="P103" s="59">
        <v>61</v>
      </c>
      <c r="Q103" s="59">
        <v>69</v>
      </c>
      <c r="R103" s="59">
        <v>77</v>
      </c>
      <c r="S103" s="59">
        <v>101</v>
      </c>
      <c r="T103" s="59">
        <v>52</v>
      </c>
      <c r="U103" s="59">
        <v>66</v>
      </c>
      <c r="V103" s="59">
        <v>62</v>
      </c>
      <c r="W103" s="59">
        <v>69</v>
      </c>
      <c r="X103" s="59">
        <v>95</v>
      </c>
      <c r="Y103" s="59">
        <v>96</v>
      </c>
      <c r="Z103" s="59">
        <v>91</v>
      </c>
      <c r="AA103" s="59">
        <v>36</v>
      </c>
      <c r="AB103" s="59">
        <v>61</v>
      </c>
      <c r="AC103" s="59">
        <v>91</v>
      </c>
      <c r="AD103" s="59">
        <v>86</v>
      </c>
      <c r="AE103" s="59">
        <v>121</v>
      </c>
      <c r="AF103" s="59">
        <v>123</v>
      </c>
      <c r="AG103" s="59">
        <v>124</v>
      </c>
      <c r="AH103" s="59">
        <v>46</v>
      </c>
      <c r="AI103" s="315">
        <f>SUM(D103:AH103)</f>
        <v>2512</v>
      </c>
      <c r="AJ103" s="280">
        <f>+$AI103/$A$1*$AK$1</f>
        <v>2512</v>
      </c>
    </row>
    <row r="104" spans="1:36" x14ac:dyDescent="0.3">
      <c r="A104" s="203"/>
      <c r="B104" s="33"/>
      <c r="C104" s="34" t="s">
        <v>16</v>
      </c>
      <c r="D104" s="35">
        <f t="shared" ref="D104:AH104" si="64">+D103/$A103</f>
        <v>0.82399999999999995</v>
      </c>
      <c r="E104" s="35">
        <f t="shared" si="64"/>
        <v>0.96799999999999997</v>
      </c>
      <c r="F104" s="35">
        <f t="shared" si="64"/>
        <v>0.52</v>
      </c>
      <c r="G104" s="35">
        <f t="shared" si="64"/>
        <v>0.45600000000000002</v>
      </c>
      <c r="H104" s="35">
        <f t="shared" si="64"/>
        <v>0.76</v>
      </c>
      <c r="I104" s="35">
        <f t="shared" si="64"/>
        <v>0.72799999999999998</v>
      </c>
      <c r="J104" s="35">
        <f t="shared" si="64"/>
        <v>0.752</v>
      </c>
      <c r="K104" s="35">
        <f t="shared" si="64"/>
        <v>0.74399999999999999</v>
      </c>
      <c r="L104" s="35">
        <f t="shared" si="64"/>
        <v>0.81599999999999995</v>
      </c>
      <c r="M104" s="35">
        <f t="shared" si="64"/>
        <v>0.41599999999999998</v>
      </c>
      <c r="N104" s="35">
        <f t="shared" si="64"/>
        <v>0.45600000000000002</v>
      </c>
      <c r="O104" s="35">
        <f t="shared" si="64"/>
        <v>0.44</v>
      </c>
      <c r="P104" s="35">
        <f t="shared" si="64"/>
        <v>0.48799999999999999</v>
      </c>
      <c r="Q104" s="35">
        <f t="shared" si="64"/>
        <v>0.55200000000000005</v>
      </c>
      <c r="R104" s="35">
        <f t="shared" si="64"/>
        <v>0.61599999999999999</v>
      </c>
      <c r="S104" s="35">
        <f t="shared" si="64"/>
        <v>0.80800000000000005</v>
      </c>
      <c r="T104" s="35">
        <f t="shared" si="64"/>
        <v>0.41599999999999998</v>
      </c>
      <c r="U104" s="35">
        <f t="shared" si="64"/>
        <v>0.52800000000000002</v>
      </c>
      <c r="V104" s="35">
        <f t="shared" si="64"/>
        <v>0.496</v>
      </c>
      <c r="W104" s="35">
        <f t="shared" si="64"/>
        <v>0.55200000000000005</v>
      </c>
      <c r="X104" s="35">
        <f t="shared" si="64"/>
        <v>0.76</v>
      </c>
      <c r="Y104" s="35">
        <f t="shared" si="64"/>
        <v>0.76800000000000002</v>
      </c>
      <c r="Z104" s="35">
        <f t="shared" si="64"/>
        <v>0.72799999999999998</v>
      </c>
      <c r="AA104" s="35">
        <f t="shared" si="64"/>
        <v>0.28799999999999998</v>
      </c>
      <c r="AB104" s="35">
        <f t="shared" si="64"/>
        <v>0.48799999999999999</v>
      </c>
      <c r="AC104" s="35">
        <f t="shared" si="64"/>
        <v>0.72799999999999998</v>
      </c>
      <c r="AD104" s="35">
        <f t="shared" si="64"/>
        <v>0.68799999999999994</v>
      </c>
      <c r="AE104" s="35">
        <f t="shared" si="64"/>
        <v>0.96799999999999997</v>
      </c>
      <c r="AF104" s="35">
        <f t="shared" si="64"/>
        <v>0.98399999999999999</v>
      </c>
      <c r="AG104" s="35">
        <f t="shared" si="64"/>
        <v>0.99199999999999999</v>
      </c>
      <c r="AH104" s="35">
        <f t="shared" si="64"/>
        <v>0.36799999999999999</v>
      </c>
      <c r="AI104" s="281">
        <f>+AI103/(A103*A$1)</f>
        <v>0.648258064516129</v>
      </c>
      <c r="AJ104" s="282">
        <f>AJ103/($A103*AK1)</f>
        <v>0.648258064516129</v>
      </c>
    </row>
    <row r="105" spans="1:36" x14ac:dyDescent="0.3">
      <c r="A105" s="203"/>
      <c r="B105" s="33"/>
      <c r="C105" s="34" t="s">
        <v>17</v>
      </c>
      <c r="D105" s="37">
        <f>+IFERROR(D107/D103,0)</f>
        <v>117.12</v>
      </c>
      <c r="E105" s="37">
        <f t="shared" ref="E105:AH105" si="65">+IFERROR(E107/E103,0)</f>
        <v>119.66090909090909</v>
      </c>
      <c r="F105" s="37">
        <f t="shared" si="65"/>
        <v>89.873076923076923</v>
      </c>
      <c r="G105" s="37">
        <f t="shared" si="65"/>
        <v>102.84719298245614</v>
      </c>
      <c r="H105" s="37">
        <f t="shared" si="65"/>
        <v>109.98242105263158</v>
      </c>
      <c r="I105" s="37">
        <f t="shared" si="65"/>
        <v>109.22538461538461</v>
      </c>
      <c r="J105" s="37">
        <f t="shared" si="65"/>
        <v>120.87734042553191</v>
      </c>
      <c r="K105" s="37">
        <f t="shared" si="65"/>
        <v>124.62021505376345</v>
      </c>
      <c r="L105" s="37">
        <f t="shared" si="65"/>
        <v>125.35578431372549</v>
      </c>
      <c r="M105" s="37">
        <f t="shared" si="65"/>
        <v>102.7225</v>
      </c>
      <c r="N105" s="37">
        <f t="shared" si="65"/>
        <v>109.64912280701755</v>
      </c>
      <c r="O105" s="37">
        <f t="shared" si="65"/>
        <v>109.28436363636364</v>
      </c>
      <c r="P105" s="37">
        <f t="shared" si="65"/>
        <v>105.94065573770492</v>
      </c>
      <c r="Q105" s="37">
        <f t="shared" si="65"/>
        <v>101.58536231884058</v>
      </c>
      <c r="R105" s="37">
        <f t="shared" si="65"/>
        <v>112.56363636363636</v>
      </c>
      <c r="S105" s="37">
        <f t="shared" si="65"/>
        <v>102.80029702970297</v>
      </c>
      <c r="T105" s="37">
        <f t="shared" si="65"/>
        <v>94.80153846153847</v>
      </c>
      <c r="U105" s="37">
        <f t="shared" si="65"/>
        <v>105.4380303030303</v>
      </c>
      <c r="V105" s="37">
        <f t="shared" si="65"/>
        <v>114.04435483870968</v>
      </c>
      <c r="W105" s="37">
        <f t="shared" si="65"/>
        <v>116.08202898550725</v>
      </c>
      <c r="X105" s="37">
        <f t="shared" si="65"/>
        <v>114.66431578947369</v>
      </c>
      <c r="Y105" s="37">
        <f t="shared" si="65"/>
        <v>130.94270833333334</v>
      </c>
      <c r="Z105" s="37">
        <f t="shared" si="65"/>
        <v>128.98043956043955</v>
      </c>
      <c r="AA105" s="37">
        <f t="shared" si="65"/>
        <v>94.545833333333334</v>
      </c>
      <c r="AB105" s="37">
        <f t="shared" si="65"/>
        <v>92.25737704918032</v>
      </c>
      <c r="AC105" s="37">
        <f t="shared" si="65"/>
        <v>110.41846153846154</v>
      </c>
      <c r="AD105" s="37">
        <f t="shared" si="65"/>
        <v>110.89325581395349</v>
      </c>
      <c r="AE105" s="37">
        <f t="shared" si="65"/>
        <v>108.24793388429752</v>
      </c>
      <c r="AF105" s="37">
        <f t="shared" si="65"/>
        <v>107.69975609756098</v>
      </c>
      <c r="AG105" s="37">
        <f t="shared" si="65"/>
        <v>108.52629032258065</v>
      </c>
      <c r="AH105" s="37">
        <f t="shared" si="65"/>
        <v>99.024565217391313</v>
      </c>
      <c r="AI105" s="283">
        <f>+AI107/AI103</f>
        <v>111.32181528662421</v>
      </c>
      <c r="AJ105" s="279">
        <f>+AJ107/AJ103</f>
        <v>111.32181528662421</v>
      </c>
    </row>
    <row r="106" spans="1:36" x14ac:dyDescent="0.3">
      <c r="A106" s="203"/>
      <c r="B106" s="33"/>
      <c r="C106" s="34" t="s">
        <v>18</v>
      </c>
      <c r="D106" s="37">
        <f t="shared" ref="D106:AH106" si="66">+D104*D105</f>
        <v>96.506879999999995</v>
      </c>
      <c r="E106" s="37">
        <f t="shared" si="66"/>
        <v>115.83175999999999</v>
      </c>
      <c r="F106" s="37">
        <f t="shared" si="66"/>
        <v>46.734000000000002</v>
      </c>
      <c r="G106" s="37">
        <f t="shared" si="66"/>
        <v>46.898319999999998</v>
      </c>
      <c r="H106" s="37">
        <f t="shared" si="66"/>
        <v>83.586640000000003</v>
      </c>
      <c r="I106" s="37">
        <f t="shared" si="66"/>
        <v>79.516080000000002</v>
      </c>
      <c r="J106" s="37">
        <f t="shared" si="66"/>
        <v>90.899760000000001</v>
      </c>
      <c r="K106" s="37">
        <f t="shared" si="66"/>
        <v>92.717439999999996</v>
      </c>
      <c r="L106" s="37">
        <f t="shared" si="66"/>
        <v>102.29031999999999</v>
      </c>
      <c r="M106" s="37">
        <f>+M104*M105</f>
        <v>42.732559999999999</v>
      </c>
      <c r="N106" s="37">
        <f t="shared" si="66"/>
        <v>50.000000000000007</v>
      </c>
      <c r="O106" s="37">
        <f t="shared" si="66"/>
        <v>48.085120000000003</v>
      </c>
      <c r="P106" s="37">
        <f t="shared" si="66"/>
        <v>51.699039999999997</v>
      </c>
      <c r="Q106" s="37">
        <f t="shared" si="66"/>
        <v>56.075120000000005</v>
      </c>
      <c r="R106" s="37">
        <f t="shared" si="66"/>
        <v>69.339200000000005</v>
      </c>
      <c r="S106" s="37">
        <f t="shared" si="66"/>
        <v>83.062640000000016</v>
      </c>
      <c r="T106" s="37">
        <f t="shared" si="66"/>
        <v>39.437440000000002</v>
      </c>
      <c r="U106" s="37">
        <f t="shared" si="66"/>
        <v>55.671280000000003</v>
      </c>
      <c r="V106" s="37">
        <f t="shared" si="66"/>
        <v>56.566000000000003</v>
      </c>
      <c r="W106" s="37">
        <f t="shared" si="66"/>
        <v>64.077280000000002</v>
      </c>
      <c r="X106" s="37">
        <f t="shared" si="66"/>
        <v>87.144880000000001</v>
      </c>
      <c r="Y106" s="37">
        <f t="shared" si="66"/>
        <v>100.56400000000001</v>
      </c>
      <c r="Z106" s="37">
        <f t="shared" si="66"/>
        <v>93.897759999999991</v>
      </c>
      <c r="AA106" s="37">
        <f t="shared" si="66"/>
        <v>27.229199999999999</v>
      </c>
      <c r="AB106" s="37">
        <f t="shared" si="66"/>
        <v>45.021599999999992</v>
      </c>
      <c r="AC106" s="37">
        <f t="shared" si="66"/>
        <v>80.384640000000005</v>
      </c>
      <c r="AD106" s="37">
        <f t="shared" si="66"/>
        <v>76.29455999999999</v>
      </c>
      <c r="AE106" s="37">
        <f t="shared" si="66"/>
        <v>104.78400000000001</v>
      </c>
      <c r="AF106" s="37">
        <f t="shared" si="66"/>
        <v>105.97656000000001</v>
      </c>
      <c r="AG106" s="37">
        <f t="shared" si="66"/>
        <v>107.65808</v>
      </c>
      <c r="AH106" s="37">
        <f t="shared" si="66"/>
        <v>36.441040000000001</v>
      </c>
      <c r="AI106" s="283">
        <f>+AI105*AI104</f>
        <v>72.165264516129042</v>
      </c>
      <c r="AJ106" s="279">
        <f>+AJ104*AJ105</f>
        <v>72.165264516129042</v>
      </c>
    </row>
    <row r="107" spans="1:36" ht="15" thickBot="1" x14ac:dyDescent="0.35">
      <c r="A107" s="203"/>
      <c r="B107" s="33"/>
      <c r="C107" s="34" t="s">
        <v>19</v>
      </c>
      <c r="D107" s="158">
        <v>12063.36</v>
      </c>
      <c r="E107" s="158">
        <v>14478.97</v>
      </c>
      <c r="F107" s="158">
        <v>5841.75</v>
      </c>
      <c r="G107" s="158">
        <v>5862.29</v>
      </c>
      <c r="H107" s="158">
        <v>10448.33</v>
      </c>
      <c r="I107" s="158">
        <v>9939.51</v>
      </c>
      <c r="J107" s="158">
        <v>11362.47</v>
      </c>
      <c r="K107" s="158">
        <v>11589.68</v>
      </c>
      <c r="L107" s="158">
        <v>12786.29</v>
      </c>
      <c r="M107" s="158">
        <v>5341.57</v>
      </c>
      <c r="N107" s="158">
        <v>6250</v>
      </c>
      <c r="O107" s="158">
        <v>6010.64</v>
      </c>
      <c r="P107" s="158">
        <v>6462.38</v>
      </c>
      <c r="Q107" s="158">
        <v>7009.39</v>
      </c>
      <c r="R107" s="158">
        <v>8667.4</v>
      </c>
      <c r="S107" s="158">
        <v>10382.83</v>
      </c>
      <c r="T107" s="158">
        <v>4929.68</v>
      </c>
      <c r="U107" s="158">
        <v>6958.91</v>
      </c>
      <c r="V107" s="158">
        <v>7070.75</v>
      </c>
      <c r="W107" s="158">
        <v>8009.66</v>
      </c>
      <c r="X107" s="158">
        <v>10893.11</v>
      </c>
      <c r="Y107" s="158">
        <v>12570.5</v>
      </c>
      <c r="Z107" s="158">
        <v>11737.22</v>
      </c>
      <c r="AA107" s="158">
        <v>3403.65</v>
      </c>
      <c r="AB107" s="158">
        <v>5627.7</v>
      </c>
      <c r="AC107" s="158">
        <v>10048.08</v>
      </c>
      <c r="AD107" s="158">
        <v>9536.82</v>
      </c>
      <c r="AE107" s="158">
        <v>13098</v>
      </c>
      <c r="AF107" s="158">
        <v>13247.07</v>
      </c>
      <c r="AG107" s="158">
        <v>13457.26</v>
      </c>
      <c r="AH107" s="158">
        <v>4555.13</v>
      </c>
      <c r="AI107" s="284">
        <f>SUM(D107:AH107)</f>
        <v>279640.40000000002</v>
      </c>
      <c r="AJ107" s="285">
        <f>+AI107/$A$1*$AK$1</f>
        <v>279640.40000000002</v>
      </c>
    </row>
    <row r="108" spans="1:36" x14ac:dyDescent="0.3">
      <c r="A108" s="203">
        <v>141</v>
      </c>
      <c r="B108" s="233" t="s">
        <v>45</v>
      </c>
      <c r="C108" s="160" t="s">
        <v>15</v>
      </c>
      <c r="D108" s="228">
        <v>110</v>
      </c>
      <c r="E108" s="228">
        <v>126</v>
      </c>
      <c r="F108" s="228">
        <v>113</v>
      </c>
      <c r="G108" s="228">
        <v>88</v>
      </c>
      <c r="H108" s="228">
        <v>88</v>
      </c>
      <c r="I108" s="228">
        <v>81</v>
      </c>
      <c r="J108" s="228">
        <v>94</v>
      </c>
      <c r="K108" s="228">
        <v>93</v>
      </c>
      <c r="L108" s="228">
        <v>101</v>
      </c>
      <c r="M108" s="228">
        <v>90</v>
      </c>
      <c r="N108" s="228">
        <v>93</v>
      </c>
      <c r="O108" s="228">
        <v>105</v>
      </c>
      <c r="P108" s="228">
        <v>116</v>
      </c>
      <c r="Q108" s="228">
        <v>107</v>
      </c>
      <c r="R108" s="228">
        <v>146</v>
      </c>
      <c r="S108" s="228">
        <v>123</v>
      </c>
      <c r="T108" s="228">
        <v>72</v>
      </c>
      <c r="U108" s="228">
        <v>122</v>
      </c>
      <c r="V108" s="228">
        <v>137</v>
      </c>
      <c r="W108" s="228">
        <v>118</v>
      </c>
      <c r="X108" s="228">
        <v>96</v>
      </c>
      <c r="Y108" s="228">
        <v>82</v>
      </c>
      <c r="Z108" s="228">
        <v>97</v>
      </c>
      <c r="AA108" s="228">
        <v>75</v>
      </c>
      <c r="AB108" s="228">
        <v>83</v>
      </c>
      <c r="AC108" s="228">
        <v>107</v>
      </c>
      <c r="AD108" s="228">
        <v>130</v>
      </c>
      <c r="AE108" s="228">
        <v>122</v>
      </c>
      <c r="AF108" s="228">
        <v>132</v>
      </c>
      <c r="AG108" s="228">
        <v>132</v>
      </c>
      <c r="AH108" s="228">
        <v>64</v>
      </c>
      <c r="AI108" s="288">
        <f>SUM(D108:AH108)</f>
        <v>3243</v>
      </c>
      <c r="AJ108" s="289">
        <f>+$AI108/$A$1*$AK$1</f>
        <v>3243</v>
      </c>
    </row>
    <row r="109" spans="1:36" x14ac:dyDescent="0.3">
      <c r="A109" s="237"/>
      <c r="B109" s="167"/>
      <c r="C109" s="163" t="s">
        <v>16</v>
      </c>
      <c r="D109" s="164">
        <f>D108/$A$108</f>
        <v>0.78014184397163122</v>
      </c>
      <c r="E109" s="164">
        <f t="shared" ref="E109:AH109" si="67">E108/$A$108</f>
        <v>0.8936170212765957</v>
      </c>
      <c r="F109" s="164">
        <f t="shared" si="67"/>
        <v>0.8014184397163121</v>
      </c>
      <c r="G109" s="164">
        <f t="shared" si="67"/>
        <v>0.62411347517730498</v>
      </c>
      <c r="H109" s="164">
        <f t="shared" si="67"/>
        <v>0.62411347517730498</v>
      </c>
      <c r="I109" s="164">
        <f t="shared" si="67"/>
        <v>0.57446808510638303</v>
      </c>
      <c r="J109" s="164">
        <f t="shared" si="67"/>
        <v>0.66666666666666663</v>
      </c>
      <c r="K109" s="164">
        <f t="shared" si="67"/>
        <v>0.65957446808510634</v>
      </c>
      <c r="L109" s="164">
        <f t="shared" si="67"/>
        <v>0.71631205673758869</v>
      </c>
      <c r="M109" s="164">
        <f t="shared" si="67"/>
        <v>0.63829787234042556</v>
      </c>
      <c r="N109" s="164">
        <f t="shared" si="67"/>
        <v>0.65957446808510634</v>
      </c>
      <c r="O109" s="164">
        <f t="shared" si="67"/>
        <v>0.74468085106382975</v>
      </c>
      <c r="P109" s="164">
        <f t="shared" si="67"/>
        <v>0.82269503546099287</v>
      </c>
      <c r="Q109" s="164">
        <f t="shared" si="67"/>
        <v>0.75886524822695034</v>
      </c>
      <c r="R109" s="164">
        <f t="shared" si="67"/>
        <v>1.0354609929078014</v>
      </c>
      <c r="S109" s="164">
        <f t="shared" si="67"/>
        <v>0.87234042553191493</v>
      </c>
      <c r="T109" s="164">
        <f t="shared" si="67"/>
        <v>0.51063829787234039</v>
      </c>
      <c r="U109" s="164">
        <f t="shared" si="67"/>
        <v>0.86524822695035464</v>
      </c>
      <c r="V109" s="164">
        <f t="shared" si="67"/>
        <v>0.97163120567375882</v>
      </c>
      <c r="W109" s="164">
        <f t="shared" si="67"/>
        <v>0.83687943262411346</v>
      </c>
      <c r="X109" s="164">
        <f t="shared" si="67"/>
        <v>0.68085106382978722</v>
      </c>
      <c r="Y109" s="164">
        <f t="shared" si="67"/>
        <v>0.58156028368794321</v>
      </c>
      <c r="Z109" s="164">
        <f t="shared" si="67"/>
        <v>0.68794326241134751</v>
      </c>
      <c r="AA109" s="164">
        <f t="shared" si="67"/>
        <v>0.53191489361702127</v>
      </c>
      <c r="AB109" s="164">
        <f t="shared" si="67"/>
        <v>0.58865248226950351</v>
      </c>
      <c r="AC109" s="164">
        <f t="shared" si="67"/>
        <v>0.75886524822695034</v>
      </c>
      <c r="AD109" s="164">
        <f t="shared" si="67"/>
        <v>0.92198581560283688</v>
      </c>
      <c r="AE109" s="164">
        <f t="shared" si="67"/>
        <v>0.86524822695035464</v>
      </c>
      <c r="AF109" s="164">
        <f t="shared" si="67"/>
        <v>0.93617021276595747</v>
      </c>
      <c r="AG109" s="164">
        <f t="shared" si="67"/>
        <v>0.93617021276595747</v>
      </c>
      <c r="AH109" s="164">
        <f t="shared" si="67"/>
        <v>0.45390070921985815</v>
      </c>
      <c r="AI109" s="290">
        <f>+AI108/(A108*A$1)</f>
        <v>0.74193548387096775</v>
      </c>
      <c r="AJ109" s="291">
        <f>AJ108/($A108*AK1)</f>
        <v>0.74193548387096775</v>
      </c>
    </row>
    <row r="110" spans="1:36" x14ac:dyDescent="0.3">
      <c r="A110" s="237"/>
      <c r="B110" s="167"/>
      <c r="C110" s="163" t="s">
        <v>17</v>
      </c>
      <c r="D110" s="165">
        <f>+IFERROR(D112/D108,0)</f>
        <v>116.65318181818182</v>
      </c>
      <c r="E110" s="165">
        <f t="shared" ref="E110:AH110" si="68">+IFERROR(E112/E108,0)</f>
        <v>123.99563492063493</v>
      </c>
      <c r="F110" s="165">
        <f t="shared" si="68"/>
        <v>126.42070796460177</v>
      </c>
      <c r="G110" s="165">
        <f t="shared" si="68"/>
        <v>115.62443181818183</v>
      </c>
      <c r="H110" s="165">
        <f t="shared" si="68"/>
        <v>144.71454545454546</v>
      </c>
      <c r="I110" s="165">
        <f t="shared" si="68"/>
        <v>131.12530864197529</v>
      </c>
      <c r="J110" s="165">
        <f t="shared" si="68"/>
        <v>133.41340425531916</v>
      </c>
      <c r="K110" s="165">
        <f t="shared" si="68"/>
        <v>142.40924731182795</v>
      </c>
      <c r="L110" s="165">
        <f t="shared" si="68"/>
        <v>148.0037623762376</v>
      </c>
      <c r="M110" s="165">
        <f t="shared" si="68"/>
        <v>132.88266666666667</v>
      </c>
      <c r="N110" s="165">
        <f t="shared" si="68"/>
        <v>136.1189247311828</v>
      </c>
      <c r="O110" s="165">
        <f t="shared" si="68"/>
        <v>135.60066666666665</v>
      </c>
      <c r="P110" s="165">
        <f t="shared" si="68"/>
        <v>135.94508620689655</v>
      </c>
      <c r="Q110" s="165">
        <f t="shared" si="68"/>
        <v>138.4785046728972</v>
      </c>
      <c r="R110" s="165">
        <f t="shared" si="68"/>
        <v>107.68178082191781</v>
      </c>
      <c r="S110" s="165">
        <f t="shared" si="68"/>
        <v>141.50430894308943</v>
      </c>
      <c r="T110" s="165">
        <f t="shared" si="68"/>
        <v>123.96111111111112</v>
      </c>
      <c r="U110" s="165">
        <f t="shared" si="68"/>
        <v>138.06983606557378</v>
      </c>
      <c r="V110" s="165">
        <f t="shared" si="68"/>
        <v>148.19160583941607</v>
      </c>
      <c r="W110" s="165">
        <f t="shared" si="68"/>
        <v>134.84398305084747</v>
      </c>
      <c r="X110" s="165">
        <f t="shared" si="68"/>
        <v>115.30770833333334</v>
      </c>
      <c r="Y110" s="165">
        <f>+IFERROR(Y112/Y108,0)</f>
        <v>139.31048780487805</v>
      </c>
      <c r="Z110" s="165">
        <f t="shared" si="68"/>
        <v>143.31463917525772</v>
      </c>
      <c r="AA110" s="165">
        <f t="shared" si="68"/>
        <v>127.35613333333332</v>
      </c>
      <c r="AB110" s="165">
        <f t="shared" si="68"/>
        <v>131.11518072289155</v>
      </c>
      <c r="AC110" s="165">
        <f t="shared" si="68"/>
        <v>133.45869158878506</v>
      </c>
      <c r="AD110" s="165">
        <f t="shared" si="68"/>
        <v>148.10553846153846</v>
      </c>
      <c r="AE110" s="165">
        <f t="shared" si="68"/>
        <v>132.40729508196722</v>
      </c>
      <c r="AF110" s="165">
        <f t="shared" si="68"/>
        <v>141.31348484848485</v>
      </c>
      <c r="AG110" s="165">
        <f t="shared" si="68"/>
        <v>147.52484848484846</v>
      </c>
      <c r="AH110" s="165">
        <f t="shared" si="68"/>
        <v>115.640625</v>
      </c>
      <c r="AI110" s="292">
        <f>+AI112/AI108</f>
        <v>133.70415972864635</v>
      </c>
      <c r="AJ110" s="293">
        <f>+AJ112/AJ108</f>
        <v>133.70415972864635</v>
      </c>
    </row>
    <row r="111" spans="1:36" x14ac:dyDescent="0.3">
      <c r="A111" s="237"/>
      <c r="B111" s="167"/>
      <c r="C111" s="163" t="s">
        <v>18</v>
      </c>
      <c r="D111" s="165">
        <f>+D109*D110</f>
        <v>91.006028368794333</v>
      </c>
      <c r="E111" s="165">
        <f t="shared" ref="E111:AH111" si="69">+E109*E110</f>
        <v>110.80460992907801</v>
      </c>
      <c r="F111" s="165">
        <f t="shared" si="69"/>
        <v>101.3158865248227</v>
      </c>
      <c r="G111" s="165">
        <f t="shared" si="69"/>
        <v>72.162765957446823</v>
      </c>
      <c r="H111" s="165">
        <f t="shared" si="69"/>
        <v>90.318297872340423</v>
      </c>
      <c r="I111" s="165">
        <f t="shared" si="69"/>
        <v>75.32730496453901</v>
      </c>
      <c r="J111" s="165">
        <f t="shared" si="69"/>
        <v>88.9422695035461</v>
      </c>
      <c r="K111" s="165">
        <f t="shared" si="69"/>
        <v>93.929503546099284</v>
      </c>
      <c r="L111" s="165">
        <f t="shared" si="69"/>
        <v>106.01687943262411</v>
      </c>
      <c r="M111" s="165">
        <f t="shared" si="69"/>
        <v>84.818723404255323</v>
      </c>
      <c r="N111" s="165">
        <f t="shared" si="69"/>
        <v>89.78056737588652</v>
      </c>
      <c r="O111" s="165">
        <f t="shared" si="69"/>
        <v>100.97921985815601</v>
      </c>
      <c r="P111" s="165">
        <f t="shared" si="69"/>
        <v>111.84134751773048</v>
      </c>
      <c r="Q111" s="165">
        <f t="shared" si="69"/>
        <v>105.08652482269504</v>
      </c>
      <c r="R111" s="165">
        <f t="shared" si="69"/>
        <v>111.50028368794327</v>
      </c>
      <c r="S111" s="165">
        <f t="shared" si="69"/>
        <v>123.43992907801419</v>
      </c>
      <c r="T111" s="165">
        <f t="shared" si="69"/>
        <v>63.299290780141845</v>
      </c>
      <c r="U111" s="165">
        <f t="shared" si="69"/>
        <v>119.46468085106385</v>
      </c>
      <c r="V111" s="165">
        <f t="shared" si="69"/>
        <v>143.98758865248229</v>
      </c>
      <c r="W111" s="165">
        <f t="shared" si="69"/>
        <v>112.84815602836881</v>
      </c>
      <c r="X111" s="165">
        <f t="shared" si="69"/>
        <v>78.507375886524827</v>
      </c>
      <c r="Y111" s="165">
        <f t="shared" si="69"/>
        <v>81.017446808510627</v>
      </c>
      <c r="Z111" s="165">
        <f t="shared" si="69"/>
        <v>98.592340425531916</v>
      </c>
      <c r="AA111" s="165">
        <f t="shared" si="69"/>
        <v>67.742624113475173</v>
      </c>
      <c r="AB111" s="165">
        <f t="shared" si="69"/>
        <v>77.181276595744663</v>
      </c>
      <c r="AC111" s="165">
        <f t="shared" si="69"/>
        <v>101.27716312056738</v>
      </c>
      <c r="AD111" s="165">
        <f t="shared" si="69"/>
        <v>136.55120567375886</v>
      </c>
      <c r="AE111" s="165">
        <f t="shared" si="69"/>
        <v>114.56517730496455</v>
      </c>
      <c r="AF111" s="165">
        <f t="shared" si="69"/>
        <v>132.29347517730497</v>
      </c>
      <c r="AG111" s="165">
        <f t="shared" si="69"/>
        <v>138.10836879432622</v>
      </c>
      <c r="AH111" s="165">
        <f t="shared" si="69"/>
        <v>52.48936170212766</v>
      </c>
      <c r="AI111" s="292">
        <f>+AI110*AI109</f>
        <v>99.199860443834382</v>
      </c>
      <c r="AJ111" s="293">
        <f>+AJ109*AJ110</f>
        <v>99.199860443834382</v>
      </c>
    </row>
    <row r="112" spans="1:36" ht="15" thickBot="1" x14ac:dyDescent="0.35">
      <c r="A112" s="203"/>
      <c r="B112" s="162"/>
      <c r="C112" s="163" t="s">
        <v>19</v>
      </c>
      <c r="D112" s="166">
        <v>12831.85</v>
      </c>
      <c r="E112" s="166">
        <v>15623.45</v>
      </c>
      <c r="F112" s="166">
        <v>14285.54</v>
      </c>
      <c r="G112" s="166">
        <v>10174.950000000001</v>
      </c>
      <c r="H112" s="166">
        <v>12734.88</v>
      </c>
      <c r="I112" s="166">
        <v>10621.15</v>
      </c>
      <c r="J112" s="166">
        <v>12540.86</v>
      </c>
      <c r="K112" s="166">
        <v>13244.06</v>
      </c>
      <c r="L112" s="166">
        <v>14948.38</v>
      </c>
      <c r="M112" s="254">
        <v>11959.44</v>
      </c>
      <c r="N112" s="166">
        <v>12659.06</v>
      </c>
      <c r="O112" s="166">
        <v>14238.07</v>
      </c>
      <c r="P112" s="166">
        <v>15769.63</v>
      </c>
      <c r="Q112" s="166">
        <v>14817.2</v>
      </c>
      <c r="R112" s="166">
        <v>15721.54</v>
      </c>
      <c r="S112" s="166">
        <v>17405.03</v>
      </c>
      <c r="T112" s="166">
        <v>8925.2000000000007</v>
      </c>
      <c r="U112" s="166">
        <v>16844.52</v>
      </c>
      <c r="V112" s="166">
        <v>20302.25</v>
      </c>
      <c r="W112" s="166">
        <v>15911.59</v>
      </c>
      <c r="X112" s="166">
        <v>11069.54</v>
      </c>
      <c r="Y112" s="166">
        <v>11423.46</v>
      </c>
      <c r="Z112" s="166">
        <v>13901.52</v>
      </c>
      <c r="AA112" s="166">
        <v>9551.7099999999991</v>
      </c>
      <c r="AB112" s="166">
        <v>10882.56</v>
      </c>
      <c r="AC112" s="166">
        <v>14280.08</v>
      </c>
      <c r="AD112" s="166">
        <v>19253.72</v>
      </c>
      <c r="AE112" s="166">
        <v>16153.69</v>
      </c>
      <c r="AF112" s="166">
        <v>18653.38</v>
      </c>
      <c r="AG112" s="166">
        <v>19473.28</v>
      </c>
      <c r="AH112" s="166">
        <v>7401</v>
      </c>
      <c r="AI112" s="294">
        <f>SUM(D112:AH112)</f>
        <v>433602.59000000008</v>
      </c>
      <c r="AJ112" s="295">
        <f>+AI112/$A$1*$AK$1</f>
        <v>433602.59000000008</v>
      </c>
    </row>
    <row r="113" spans="1:37" x14ac:dyDescent="0.3">
      <c r="A113" s="203">
        <v>98</v>
      </c>
      <c r="B113" s="201" t="s">
        <v>46</v>
      </c>
      <c r="C113" s="104" t="s">
        <v>15</v>
      </c>
      <c r="D113" s="59">
        <v>66</v>
      </c>
      <c r="E113" s="59">
        <v>88</v>
      </c>
      <c r="F113" s="59">
        <v>94</v>
      </c>
      <c r="G113" s="59">
        <v>69</v>
      </c>
      <c r="H113" s="59">
        <v>67</v>
      </c>
      <c r="I113" s="59">
        <v>80</v>
      </c>
      <c r="J113" s="59">
        <v>86</v>
      </c>
      <c r="K113" s="59">
        <v>68</v>
      </c>
      <c r="L113" s="59">
        <v>84</v>
      </c>
      <c r="M113" s="59">
        <v>72</v>
      </c>
      <c r="N113" s="59">
        <v>88</v>
      </c>
      <c r="O113" s="59">
        <v>96</v>
      </c>
      <c r="P113" s="59">
        <v>95</v>
      </c>
      <c r="Q113" s="59">
        <v>83</v>
      </c>
      <c r="R113" s="59">
        <v>64</v>
      </c>
      <c r="S113" s="59">
        <v>76</v>
      </c>
      <c r="T113" s="59">
        <v>53</v>
      </c>
      <c r="U113" s="59">
        <v>80</v>
      </c>
      <c r="V113" s="59">
        <v>94</v>
      </c>
      <c r="W113" s="59">
        <v>95</v>
      </c>
      <c r="X113" s="59">
        <v>72</v>
      </c>
      <c r="Y113" s="59">
        <v>68</v>
      </c>
      <c r="Z113" s="59">
        <v>80</v>
      </c>
      <c r="AA113" s="59">
        <v>52</v>
      </c>
      <c r="AB113" s="59">
        <v>63</v>
      </c>
      <c r="AC113" s="59">
        <v>73</v>
      </c>
      <c r="AD113" s="59">
        <v>71</v>
      </c>
      <c r="AE113" s="59">
        <v>62</v>
      </c>
      <c r="AF113" s="59">
        <v>64</v>
      </c>
      <c r="AG113" s="59">
        <v>83</v>
      </c>
      <c r="AH113" s="59">
        <v>56</v>
      </c>
      <c r="AI113" s="276">
        <f>SUM(D113:AH113)</f>
        <v>2342</v>
      </c>
      <c r="AJ113" s="285">
        <f>+$AI113/$A$1*$AK$1</f>
        <v>2342</v>
      </c>
    </row>
    <row r="114" spans="1:37" x14ac:dyDescent="0.3">
      <c r="A114" s="203"/>
      <c r="B114" s="33"/>
      <c r="C114" s="34" t="s">
        <v>16</v>
      </c>
      <c r="D114" s="35">
        <f t="shared" ref="D114:AH114" si="70">+D113/$A113</f>
        <v>0.67346938775510201</v>
      </c>
      <c r="E114" s="35">
        <f t="shared" si="70"/>
        <v>0.89795918367346939</v>
      </c>
      <c r="F114" s="35">
        <f t="shared" si="70"/>
        <v>0.95918367346938771</v>
      </c>
      <c r="G114" s="35">
        <f t="shared" si="70"/>
        <v>0.70408163265306123</v>
      </c>
      <c r="H114" s="35">
        <f t="shared" si="70"/>
        <v>0.68367346938775508</v>
      </c>
      <c r="I114" s="35">
        <f t="shared" si="70"/>
        <v>0.81632653061224492</v>
      </c>
      <c r="J114" s="35">
        <f t="shared" si="70"/>
        <v>0.87755102040816324</v>
      </c>
      <c r="K114" s="35">
        <f t="shared" si="70"/>
        <v>0.69387755102040816</v>
      </c>
      <c r="L114" s="35">
        <f>+L113/$A113</f>
        <v>0.8571428571428571</v>
      </c>
      <c r="M114" s="35">
        <f t="shared" si="70"/>
        <v>0.73469387755102045</v>
      </c>
      <c r="N114" s="35">
        <f t="shared" si="70"/>
        <v>0.89795918367346939</v>
      </c>
      <c r="O114" s="35">
        <f t="shared" si="70"/>
        <v>0.97959183673469385</v>
      </c>
      <c r="P114" s="35">
        <f t="shared" si="70"/>
        <v>0.96938775510204078</v>
      </c>
      <c r="Q114" s="35">
        <f t="shared" si="70"/>
        <v>0.84693877551020413</v>
      </c>
      <c r="R114" s="35">
        <f t="shared" si="70"/>
        <v>0.65306122448979587</v>
      </c>
      <c r="S114" s="35">
        <f t="shared" si="70"/>
        <v>0.77551020408163263</v>
      </c>
      <c r="T114" s="35">
        <f t="shared" si="70"/>
        <v>0.54081632653061229</v>
      </c>
      <c r="U114" s="35">
        <f t="shared" si="70"/>
        <v>0.81632653061224492</v>
      </c>
      <c r="V114" s="35">
        <f t="shared" si="70"/>
        <v>0.95918367346938771</v>
      </c>
      <c r="W114" s="35">
        <f t="shared" si="70"/>
        <v>0.96938775510204078</v>
      </c>
      <c r="X114" s="35">
        <f t="shared" si="70"/>
        <v>0.73469387755102045</v>
      </c>
      <c r="Y114" s="35">
        <f>+Y113/$A113</f>
        <v>0.69387755102040816</v>
      </c>
      <c r="Z114" s="35">
        <f t="shared" si="70"/>
        <v>0.81632653061224492</v>
      </c>
      <c r="AA114" s="35">
        <f t="shared" si="70"/>
        <v>0.53061224489795922</v>
      </c>
      <c r="AB114" s="35">
        <f t="shared" si="70"/>
        <v>0.6428571428571429</v>
      </c>
      <c r="AC114" s="35">
        <f t="shared" si="70"/>
        <v>0.74489795918367352</v>
      </c>
      <c r="AD114" s="35">
        <f t="shared" si="70"/>
        <v>0.72448979591836737</v>
      </c>
      <c r="AE114" s="35">
        <f t="shared" si="70"/>
        <v>0.63265306122448983</v>
      </c>
      <c r="AF114" s="35">
        <f t="shared" si="70"/>
        <v>0.65306122448979587</v>
      </c>
      <c r="AG114" s="35">
        <f t="shared" si="70"/>
        <v>0.84693877551020413</v>
      </c>
      <c r="AH114" s="35">
        <f t="shared" si="70"/>
        <v>0.5714285714285714</v>
      </c>
      <c r="AI114" s="281">
        <f>+AI113/(A113*A$1)</f>
        <v>0.77090190915075707</v>
      </c>
      <c r="AJ114" s="282">
        <f>AJ113/($A113*AK1)</f>
        <v>0.77090190915075707</v>
      </c>
    </row>
    <row r="115" spans="1:37" x14ac:dyDescent="0.3">
      <c r="A115" s="203"/>
      <c r="B115" s="33"/>
      <c r="C115" s="34" t="s">
        <v>17</v>
      </c>
      <c r="D115" s="37">
        <f t="shared" ref="D115:AH115" si="71">+IFERROR(D117/D113,0)</f>
        <v>114.31090909090909</v>
      </c>
      <c r="E115" s="37">
        <f t="shared" si="71"/>
        <v>119.00227272727274</v>
      </c>
      <c r="F115" s="37">
        <f t="shared" si="71"/>
        <v>94.443829787234037</v>
      </c>
      <c r="G115" s="37">
        <f t="shared" si="71"/>
        <v>80.019710144927529</v>
      </c>
      <c r="H115" s="37">
        <f t="shared" si="71"/>
        <v>86.355223880597023</v>
      </c>
      <c r="I115" s="37">
        <f t="shared" si="71"/>
        <v>88.790499999999994</v>
      </c>
      <c r="J115" s="37">
        <f t="shared" si="71"/>
        <v>93.997441860465116</v>
      </c>
      <c r="K115" s="37">
        <f t="shared" si="71"/>
        <v>127.97941176470589</v>
      </c>
      <c r="L115" s="37">
        <f t="shared" si="71"/>
        <v>134.18309523809523</v>
      </c>
      <c r="M115" s="37">
        <f t="shared" si="71"/>
        <v>106.93583333333333</v>
      </c>
      <c r="N115" s="37">
        <f t="shared" si="71"/>
        <v>97.753409090909088</v>
      </c>
      <c r="O115" s="37">
        <f t="shared" si="71"/>
        <v>97.6640625</v>
      </c>
      <c r="P115" s="37">
        <f t="shared" si="71"/>
        <v>98.364842105263151</v>
      </c>
      <c r="Q115" s="37">
        <f t="shared" si="71"/>
        <v>94.464457831325305</v>
      </c>
      <c r="R115" s="37">
        <f t="shared" si="71"/>
        <v>133.12593749999999</v>
      </c>
      <c r="S115" s="37">
        <f t="shared" si="71"/>
        <v>128.80473684210526</v>
      </c>
      <c r="T115" s="37">
        <f t="shared" si="71"/>
        <v>88.576037735849056</v>
      </c>
      <c r="U115" s="37">
        <f t="shared" si="71"/>
        <v>80.437125000000009</v>
      </c>
      <c r="V115" s="37">
        <f t="shared" si="71"/>
        <v>94.393617021276597</v>
      </c>
      <c r="W115" s="37">
        <f t="shared" si="71"/>
        <v>88.705052631578937</v>
      </c>
      <c r="X115" s="37">
        <f t="shared" si="71"/>
        <v>91.189583333333331</v>
      </c>
      <c r="Y115" s="37">
        <f>+IFERROR(Y117/Y113,0)</f>
        <v>119.96676470588235</v>
      </c>
      <c r="Z115" s="37">
        <f t="shared" si="71"/>
        <v>125.70525000000001</v>
      </c>
      <c r="AA115" s="37">
        <f t="shared" si="71"/>
        <v>88.280961538461526</v>
      </c>
      <c r="AB115" s="37">
        <f t="shared" si="71"/>
        <v>91.746031746031747</v>
      </c>
      <c r="AC115" s="37">
        <f t="shared" si="71"/>
        <v>97.677397260273963</v>
      </c>
      <c r="AD115" s="37">
        <f>+IFERROR(AD117/AD113,0)</f>
        <v>98.967464788732386</v>
      </c>
      <c r="AE115" s="37">
        <f t="shared" si="71"/>
        <v>93.350967741935492</v>
      </c>
      <c r="AF115" s="37">
        <f t="shared" si="71"/>
        <v>133.48140624999999</v>
      </c>
      <c r="AG115" s="37">
        <f t="shared" si="71"/>
        <v>126.75228915662652</v>
      </c>
      <c r="AH115" s="37">
        <f t="shared" si="71"/>
        <v>88.456785714285715</v>
      </c>
      <c r="AI115" s="283">
        <f>+AI117/AI113</f>
        <v>103.36297608881299</v>
      </c>
      <c r="AJ115" s="279">
        <f>+AJ117/AJ113</f>
        <v>103.36297608881299</v>
      </c>
    </row>
    <row r="116" spans="1:37" x14ac:dyDescent="0.3">
      <c r="A116" s="203"/>
      <c r="B116" s="33"/>
      <c r="C116" s="34" t="s">
        <v>18</v>
      </c>
      <c r="D116" s="37">
        <f t="shared" ref="D116:AH116" si="72">+D114*D115</f>
        <v>76.98489795918367</v>
      </c>
      <c r="E116" s="37">
        <f t="shared" si="72"/>
        <v>106.8591836734694</v>
      </c>
      <c r="F116" s="37">
        <f t="shared" si="72"/>
        <v>90.588979591836718</v>
      </c>
      <c r="G116" s="37">
        <f t="shared" si="72"/>
        <v>56.340408163265302</v>
      </c>
      <c r="H116" s="37">
        <f t="shared" si="72"/>
        <v>59.038775510204083</v>
      </c>
      <c r="I116" s="37">
        <f t="shared" si="72"/>
        <v>72.482040816326531</v>
      </c>
      <c r="J116" s="37">
        <f t="shared" si="72"/>
        <v>82.487551020408162</v>
      </c>
      <c r="K116" s="37">
        <f t="shared" si="72"/>
        <v>88.802040816326539</v>
      </c>
      <c r="L116" s="37">
        <f t="shared" si="72"/>
        <v>115.01408163265305</v>
      </c>
      <c r="M116" s="37">
        <f t="shared" si="72"/>
        <v>78.565102040816328</v>
      </c>
      <c r="N116" s="37">
        <f t="shared" si="72"/>
        <v>87.778571428571425</v>
      </c>
      <c r="O116" s="37">
        <f t="shared" si="72"/>
        <v>95.670918367346943</v>
      </c>
      <c r="P116" s="37">
        <f t="shared" si="72"/>
        <v>95.353673469387743</v>
      </c>
      <c r="Q116" s="37">
        <f t="shared" si="72"/>
        <v>80.005612244897961</v>
      </c>
      <c r="R116" s="37">
        <f t="shared" si="72"/>
        <v>86.939387755102032</v>
      </c>
      <c r="S116" s="37">
        <f t="shared" si="72"/>
        <v>99.889387755102035</v>
      </c>
      <c r="T116" s="37">
        <f t="shared" si="72"/>
        <v>47.903367346938779</v>
      </c>
      <c r="U116" s="37">
        <f t="shared" si="72"/>
        <v>65.662959183673479</v>
      </c>
      <c r="V116" s="37">
        <f t="shared" si="72"/>
        <v>90.540816326530603</v>
      </c>
      <c r="W116" s="37">
        <f t="shared" si="72"/>
        <v>85.989591836734675</v>
      </c>
      <c r="X116" s="37">
        <f t="shared" si="72"/>
        <v>66.996428571428567</v>
      </c>
      <c r="Y116" s="37">
        <f t="shared" si="72"/>
        <v>83.242244897959182</v>
      </c>
      <c r="Z116" s="37">
        <f t="shared" si="72"/>
        <v>102.6165306122449</v>
      </c>
      <c r="AA116" s="37">
        <f t="shared" si="72"/>
        <v>46.842959183673464</v>
      </c>
      <c r="AB116" s="37">
        <f t="shared" si="72"/>
        <v>58.979591836734699</v>
      </c>
      <c r="AC116" s="37">
        <f t="shared" si="72"/>
        <v>72.759693877551015</v>
      </c>
      <c r="AD116" s="37">
        <f t="shared" si="72"/>
        <v>71.700918367346929</v>
      </c>
      <c r="AE116" s="37">
        <f t="shared" si="72"/>
        <v>59.058775510204093</v>
      </c>
      <c r="AF116" s="37">
        <f t="shared" si="72"/>
        <v>87.171530612244879</v>
      </c>
      <c r="AG116" s="37">
        <f t="shared" si="72"/>
        <v>107.35142857142858</v>
      </c>
      <c r="AH116" s="37">
        <f t="shared" si="72"/>
        <v>50.546734693877546</v>
      </c>
      <c r="AI116" s="283">
        <f>+AI115*AI114</f>
        <v>79.682715602369981</v>
      </c>
      <c r="AJ116" s="279">
        <f>+AJ114*AJ115</f>
        <v>79.682715602369981</v>
      </c>
    </row>
    <row r="117" spans="1:37" ht="15" thickBot="1" x14ac:dyDescent="0.35">
      <c r="A117" s="203"/>
      <c r="B117" s="141"/>
      <c r="C117" s="65" t="s">
        <v>19</v>
      </c>
      <c r="D117" s="222">
        <v>7544.52</v>
      </c>
      <c r="E117" s="222">
        <v>10472.200000000001</v>
      </c>
      <c r="F117" s="222">
        <v>8877.7199999999993</v>
      </c>
      <c r="G117" s="222">
        <v>5521.36</v>
      </c>
      <c r="H117" s="222">
        <v>5785.8</v>
      </c>
      <c r="I117" s="222">
        <v>7103.24</v>
      </c>
      <c r="J117" s="222">
        <v>8083.78</v>
      </c>
      <c r="K117" s="222">
        <v>8702.6</v>
      </c>
      <c r="L117" s="222">
        <v>11271.38</v>
      </c>
      <c r="M117" s="222">
        <v>7699.38</v>
      </c>
      <c r="N117" s="222">
        <v>8602.2999999999993</v>
      </c>
      <c r="O117" s="222">
        <v>9375.75</v>
      </c>
      <c r="P117" s="222">
        <v>9344.66</v>
      </c>
      <c r="Q117" s="222">
        <v>7840.55</v>
      </c>
      <c r="R117" s="222">
        <v>8520.06</v>
      </c>
      <c r="S117" s="222">
        <v>9789.16</v>
      </c>
      <c r="T117" s="222">
        <v>4694.53</v>
      </c>
      <c r="U117" s="222">
        <v>6434.97</v>
      </c>
      <c r="V117" s="222">
        <v>8873</v>
      </c>
      <c r="W117" s="222">
        <v>8426.98</v>
      </c>
      <c r="X117" s="222">
        <v>6565.65</v>
      </c>
      <c r="Y117" s="222">
        <v>8157.74</v>
      </c>
      <c r="Z117" s="222">
        <v>10056.42</v>
      </c>
      <c r="AA117" s="222">
        <v>4590.6099999999997</v>
      </c>
      <c r="AB117" s="222">
        <v>5780</v>
      </c>
      <c r="AC117" s="222">
        <v>7130.45</v>
      </c>
      <c r="AD117" s="222">
        <v>7026.69</v>
      </c>
      <c r="AE117" s="222">
        <v>5787.76</v>
      </c>
      <c r="AF117" s="222">
        <v>8542.81</v>
      </c>
      <c r="AG117" s="222">
        <v>10520.44</v>
      </c>
      <c r="AH117" s="222">
        <v>4953.58</v>
      </c>
      <c r="AI117" s="311">
        <f>SUM(D117:AH117)</f>
        <v>242076.09000000003</v>
      </c>
      <c r="AJ117" s="285">
        <f>+AI117/$A$1*$AK$1</f>
        <v>242076.09000000003</v>
      </c>
      <c r="AK117" s="252"/>
    </row>
    <row r="118" spans="1:37" ht="15.6" thickTop="1" thickBot="1" x14ac:dyDescent="0.35">
      <c r="A118" s="203"/>
      <c r="B118" s="203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316"/>
      <c r="AJ118" s="317">
        <f>+AI117+AI107+AI102+AI97+AI92+AI87+AI82+AI74+AI69+AI64+AI57+AI45+AI40+AI35+AI30+AI22+AI14+AI112</f>
        <v>4778218.6999999993</v>
      </c>
    </row>
    <row r="119" spans="1:37" ht="28.8" x14ac:dyDescent="0.3">
      <c r="A119" s="203"/>
      <c r="B119" s="203"/>
      <c r="C119" s="240"/>
      <c r="D119" s="240">
        <v>1</v>
      </c>
      <c r="E119" s="240">
        <v>2</v>
      </c>
      <c r="F119" s="240">
        <v>3</v>
      </c>
      <c r="G119" s="240">
        <v>4</v>
      </c>
      <c r="H119" s="240">
        <v>5</v>
      </c>
      <c r="I119" s="240">
        <v>6</v>
      </c>
      <c r="J119" s="240">
        <v>7</v>
      </c>
      <c r="K119" s="240">
        <v>8</v>
      </c>
      <c r="L119" s="240">
        <v>9</v>
      </c>
      <c r="M119" s="240">
        <v>10</v>
      </c>
      <c r="N119" s="240">
        <v>11</v>
      </c>
      <c r="O119" s="240">
        <v>12</v>
      </c>
      <c r="P119" s="240">
        <v>13</v>
      </c>
      <c r="Q119" s="240">
        <v>14</v>
      </c>
      <c r="R119" s="240">
        <v>15</v>
      </c>
      <c r="S119" s="240">
        <v>16</v>
      </c>
      <c r="T119" s="240">
        <v>17</v>
      </c>
      <c r="U119" s="240">
        <v>18</v>
      </c>
      <c r="V119" s="240">
        <v>19</v>
      </c>
      <c r="W119" s="240">
        <v>20</v>
      </c>
      <c r="X119" s="240">
        <v>21</v>
      </c>
      <c r="Y119" s="240">
        <v>22</v>
      </c>
      <c r="Z119" s="240">
        <v>23</v>
      </c>
      <c r="AA119" s="240">
        <v>24</v>
      </c>
      <c r="AB119" s="240">
        <v>25</v>
      </c>
      <c r="AC119" s="240">
        <v>26</v>
      </c>
      <c r="AD119" s="240">
        <v>27</v>
      </c>
      <c r="AE119" s="240">
        <v>28</v>
      </c>
      <c r="AF119" s="240">
        <v>29</v>
      </c>
      <c r="AG119" s="240">
        <v>30</v>
      </c>
      <c r="AH119" s="240">
        <v>31</v>
      </c>
      <c r="AI119" s="318" t="s">
        <v>47</v>
      </c>
      <c r="AJ119" s="318" t="s">
        <v>48</v>
      </c>
    </row>
    <row r="120" spans="1:37" x14ac:dyDescent="0.3">
      <c r="A120" s="203"/>
      <c r="B120" s="203" t="s">
        <v>56</v>
      </c>
      <c r="C120" s="240"/>
      <c r="D120" s="158">
        <f t="shared" ref="D120:AF120" si="73">+D117+D112+D107+D102+D97+D91+D87+D82+D74+D69+D59+D45+D40+D35+D30+D22+D14</f>
        <v>132521.82669565215</v>
      </c>
      <c r="E120" s="158">
        <f t="shared" si="73"/>
        <v>131625.37347826088</v>
      </c>
      <c r="F120" s="158">
        <f t="shared" si="73"/>
        <v>98367.646869565229</v>
      </c>
      <c r="G120" s="158">
        <f t="shared" si="73"/>
        <v>83317.144260869565</v>
      </c>
      <c r="H120" s="158">
        <f t="shared" si="73"/>
        <v>120449.4303478261</v>
      </c>
      <c r="I120" s="158">
        <f t="shared" si="73"/>
        <v>130083.7752173913</v>
      </c>
      <c r="J120" s="158">
        <f t="shared" si="73"/>
        <v>139160.76469565215</v>
      </c>
      <c r="K120" s="158">
        <f t="shared" si="73"/>
        <v>151794.53078260869</v>
      </c>
      <c r="L120" s="158">
        <f t="shared" si="73"/>
        <v>154570.98713043478</v>
      </c>
      <c r="M120" s="158">
        <f t="shared" si="73"/>
        <v>105859.17878260869</v>
      </c>
      <c r="N120" s="158">
        <f t="shared" si="73"/>
        <v>157624.64973913043</v>
      </c>
      <c r="O120" s="158">
        <f t="shared" si="73"/>
        <v>171818.16834782611</v>
      </c>
      <c r="P120" s="158">
        <f t="shared" si="73"/>
        <v>169189.3984347826</v>
      </c>
      <c r="Q120" s="158">
        <f t="shared" si="73"/>
        <v>155334.50834782608</v>
      </c>
      <c r="R120" s="158">
        <f t="shared" si="73"/>
        <v>148613.45008695655</v>
      </c>
      <c r="S120" s="158">
        <f t="shared" si="73"/>
        <v>154374.4003478261</v>
      </c>
      <c r="T120" s="158">
        <f t="shared" si="73"/>
        <v>112036.58304347828</v>
      </c>
      <c r="U120" s="158">
        <f t="shared" si="73"/>
        <v>176144.33147826086</v>
      </c>
      <c r="V120" s="158">
        <f t="shared" si="73"/>
        <v>187969.33608695649</v>
      </c>
      <c r="W120" s="158">
        <f t="shared" si="73"/>
        <v>191511.7973043478</v>
      </c>
      <c r="X120" s="158">
        <f t="shared" si="73"/>
        <v>173356.99391304346</v>
      </c>
      <c r="Y120" s="158">
        <f t="shared" si="73"/>
        <v>151850.42278260869</v>
      </c>
      <c r="Z120" s="158">
        <f t="shared" si="73"/>
        <v>161103.76504347826</v>
      </c>
      <c r="AA120" s="158">
        <f t="shared" si="73"/>
        <v>103694.88973913043</v>
      </c>
      <c r="AB120" s="158">
        <f t="shared" si="73"/>
        <v>149808.97730434785</v>
      </c>
      <c r="AC120" s="158">
        <f t="shared" si="73"/>
        <v>182134.04539130436</v>
      </c>
      <c r="AD120" s="158">
        <f t="shared" si="73"/>
        <v>169360.22886956521</v>
      </c>
      <c r="AE120" s="158">
        <f t="shared" si="73"/>
        <v>159981.29947826086</v>
      </c>
      <c r="AF120" s="158">
        <f t="shared" si="73"/>
        <v>177139.0236521739</v>
      </c>
      <c r="AG120" s="158">
        <f>+AG117+AG112+AG107+AG102+AG97+AG91+AG87+AG82+AG74+AG69+AG59+AG45+AG40+AG35+AG30+AG22+AG14</f>
        <v>171449.51234782609</v>
      </c>
      <c r="AH120" s="158">
        <f>+AH117+AH112+AH107+AH102+AH97+AH91+AH87+AH82+AH74+AH69+AH59+AH45+AH40+AH35+AH30+AH22+AH14</f>
        <v>115360.07095652174</v>
      </c>
      <c r="AI120" s="319">
        <f>AVERAGE(D120:AH120)</f>
        <v>147987.30680504907</v>
      </c>
      <c r="AJ120" s="320">
        <f>+AI120/AI121-1</f>
        <v>-0.15663400234304736</v>
      </c>
    </row>
    <row r="121" spans="1:37" x14ac:dyDescent="0.3">
      <c r="A121" s="203"/>
      <c r="B121" s="203" t="s">
        <v>57</v>
      </c>
      <c r="C121" s="240"/>
      <c r="D121" s="158">
        <v>156997.45999999996</v>
      </c>
      <c r="E121" s="158">
        <v>158569.68</v>
      </c>
      <c r="F121" s="158">
        <v>194237</v>
      </c>
      <c r="G121" s="158">
        <v>173297.15</v>
      </c>
      <c r="H121" s="158">
        <v>119708.284</v>
      </c>
      <c r="I121" s="158">
        <v>174255.63</v>
      </c>
      <c r="J121" s="158">
        <v>192587.53000000003</v>
      </c>
      <c r="K121" s="158">
        <v>189711.47999999998</v>
      </c>
      <c r="L121" s="158">
        <v>155476.89000000001</v>
      </c>
      <c r="M121" s="158">
        <v>179795.72</v>
      </c>
      <c r="N121" s="158">
        <v>173343.68000000002</v>
      </c>
      <c r="O121" s="158">
        <v>119971.66</v>
      </c>
      <c r="P121" s="158">
        <v>185721.62</v>
      </c>
      <c r="Q121" s="158">
        <v>216505.76</v>
      </c>
      <c r="R121" s="158">
        <v>204669.06000000003</v>
      </c>
      <c r="S121" s="158">
        <v>185151.80000000002</v>
      </c>
      <c r="T121" s="158">
        <v>177583.24000000002</v>
      </c>
      <c r="U121" s="158">
        <v>175471.07</v>
      </c>
      <c r="V121" s="158">
        <v>128069.77999999998</v>
      </c>
      <c r="W121" s="158">
        <v>166344.91999999998</v>
      </c>
      <c r="X121" s="158">
        <v>198238.21000000005</v>
      </c>
      <c r="Y121" s="158">
        <v>200543.36000000002</v>
      </c>
      <c r="Z121" s="158">
        <v>198024.49000000002</v>
      </c>
      <c r="AA121" s="158">
        <v>240642.15</v>
      </c>
      <c r="AB121" s="158">
        <v>225985.67</v>
      </c>
      <c r="AC121" s="158">
        <v>134633.53999999998</v>
      </c>
      <c r="AD121" s="158">
        <v>187359.25999999995</v>
      </c>
      <c r="AE121" s="158">
        <v>199847.62999999998</v>
      </c>
      <c r="AF121" s="158">
        <v>134502</v>
      </c>
      <c r="AG121" s="158">
        <v>116920.98000000001</v>
      </c>
      <c r="AH121" s="158">
        <v>0</v>
      </c>
      <c r="AI121" s="319">
        <f>AVERAGE(D121:AG121)</f>
        <v>175472.22346666668</v>
      </c>
      <c r="AJ121" s="320">
        <f>+AI121/AI122-1</f>
        <v>4.3814041123978464E-2</v>
      </c>
    </row>
    <row r="122" spans="1:37" x14ac:dyDescent="0.3">
      <c r="A122" s="203"/>
      <c r="B122" s="203" t="s">
        <v>49</v>
      </c>
      <c r="C122" s="240"/>
      <c r="D122" s="158">
        <v>108967.27000000002</v>
      </c>
      <c r="E122" s="158">
        <v>147836.46</v>
      </c>
      <c r="F122" s="158">
        <v>158968.61999999997</v>
      </c>
      <c r="G122" s="158">
        <v>163514.79099999997</v>
      </c>
      <c r="H122" s="158">
        <v>172974.04999999996</v>
      </c>
      <c r="I122" s="158">
        <v>168839.37000000002</v>
      </c>
      <c r="J122" s="158">
        <v>156890.75999999998</v>
      </c>
      <c r="K122" s="158">
        <v>127466.08999999997</v>
      </c>
      <c r="L122" s="158">
        <v>179859.94999999998</v>
      </c>
      <c r="M122" s="158">
        <v>197325.85000000003</v>
      </c>
      <c r="N122" s="158">
        <v>192981.05000000002</v>
      </c>
      <c r="O122" s="158">
        <v>218390.98999999996</v>
      </c>
      <c r="P122" s="158">
        <v>223246.62</v>
      </c>
      <c r="Q122" s="158">
        <v>205428.65</v>
      </c>
      <c r="R122" s="158">
        <v>111456.17</v>
      </c>
      <c r="S122" s="158">
        <v>142758.69</v>
      </c>
      <c r="T122" s="158">
        <v>168727.56000000003</v>
      </c>
      <c r="U122" s="158">
        <v>158949.52000000002</v>
      </c>
      <c r="V122" s="158">
        <v>153462.42999999996</v>
      </c>
      <c r="W122" s="158">
        <v>198069.11</v>
      </c>
      <c r="X122" s="158">
        <v>206703.33999999994</v>
      </c>
      <c r="Y122" s="158">
        <v>152549.52000000002</v>
      </c>
      <c r="Z122" s="158">
        <v>197319.29</v>
      </c>
      <c r="AA122" s="158">
        <v>213744.25999999998</v>
      </c>
      <c r="AB122" s="158">
        <v>172556.69999999998</v>
      </c>
      <c r="AC122" s="158">
        <v>155253.21</v>
      </c>
      <c r="AD122" s="158">
        <v>168296.33000000002</v>
      </c>
      <c r="AE122" s="158">
        <v>208899.81</v>
      </c>
      <c r="AF122" s="158">
        <v>126420.59000000001</v>
      </c>
      <c r="AG122" s="158">
        <v>92423.460000000021</v>
      </c>
      <c r="AH122" s="158">
        <v>161029.85</v>
      </c>
      <c r="AI122" s="319">
        <f>AVERAGE(D122:AH122)</f>
        <v>168106.78583870962</v>
      </c>
      <c r="AJ122" s="320">
        <f>+AI123/AI123-1</f>
        <v>0</v>
      </c>
    </row>
    <row r="123" spans="1:37" x14ac:dyDescent="0.3">
      <c r="A123" s="203"/>
      <c r="B123" s="203" t="s">
        <v>50</v>
      </c>
      <c r="C123" s="240"/>
      <c r="D123" s="158">
        <v>119447</v>
      </c>
      <c r="E123" s="158">
        <v>87090</v>
      </c>
      <c r="F123" s="158">
        <v>101356</v>
      </c>
      <c r="G123" s="158">
        <v>113572</v>
      </c>
      <c r="H123" s="158">
        <v>127837</v>
      </c>
      <c r="I123" s="158">
        <v>134927</v>
      </c>
      <c r="J123" s="158">
        <v>154766</v>
      </c>
      <c r="K123" s="158">
        <v>150751</v>
      </c>
      <c r="L123" s="158">
        <v>108587</v>
      </c>
      <c r="M123" s="158">
        <v>133543</v>
      </c>
      <c r="N123" s="158">
        <v>110892</v>
      </c>
      <c r="O123" s="158">
        <v>130055</v>
      </c>
      <c r="P123" s="158">
        <v>116397</v>
      </c>
      <c r="Q123" s="158">
        <v>132276</v>
      </c>
      <c r="R123" s="158">
        <v>140500</v>
      </c>
      <c r="S123" s="158">
        <v>122559</v>
      </c>
      <c r="T123" s="158">
        <v>84020</v>
      </c>
      <c r="U123" s="158">
        <v>125866</v>
      </c>
      <c r="V123" s="240"/>
      <c r="W123" s="240"/>
      <c r="X123" s="240"/>
      <c r="Y123" s="240"/>
      <c r="Z123" s="240"/>
      <c r="AA123" s="240"/>
      <c r="AB123" s="240"/>
      <c r="AC123" s="240"/>
      <c r="AD123" s="240"/>
      <c r="AE123" s="240"/>
      <c r="AF123" s="240"/>
      <c r="AG123" s="240"/>
      <c r="AH123" s="240"/>
      <c r="AI123" s="319">
        <f>AVERAGE(D123:AH123)</f>
        <v>121913.38888888889</v>
      </c>
      <c r="AJ123" s="320">
        <f>+AI123/AI124-1</f>
        <v>1.0047674309761057E-3</v>
      </c>
    </row>
    <row r="124" spans="1:37" x14ac:dyDescent="0.3">
      <c r="A124" s="203"/>
      <c r="B124" s="203" t="s">
        <v>51</v>
      </c>
      <c r="C124" s="240"/>
      <c r="D124" s="158">
        <v>141124</v>
      </c>
      <c r="E124" s="158">
        <v>148318</v>
      </c>
      <c r="F124" s="158">
        <v>180210</v>
      </c>
      <c r="G124" s="158">
        <v>182187</v>
      </c>
      <c r="H124" s="158">
        <v>90926</v>
      </c>
      <c r="I124" s="158">
        <v>142191</v>
      </c>
      <c r="J124" s="158">
        <v>154670</v>
      </c>
      <c r="K124" s="158">
        <v>124979</v>
      </c>
      <c r="L124" s="158">
        <v>143617</v>
      </c>
      <c r="M124" s="158">
        <v>154379</v>
      </c>
      <c r="N124" s="158">
        <v>161804</v>
      </c>
      <c r="O124" s="158">
        <v>94785</v>
      </c>
      <c r="P124" s="158">
        <v>127796</v>
      </c>
      <c r="Q124" s="158">
        <v>124395</v>
      </c>
      <c r="R124" s="158">
        <v>127245</v>
      </c>
      <c r="S124" s="158">
        <v>124955</v>
      </c>
      <c r="T124" s="158">
        <v>150751.5</v>
      </c>
      <c r="U124" s="158">
        <v>158865</v>
      </c>
      <c r="V124" s="158">
        <v>86339</v>
      </c>
      <c r="W124" s="158">
        <v>90237</v>
      </c>
      <c r="X124" s="158">
        <v>83794</v>
      </c>
      <c r="Y124" s="158">
        <v>84908</v>
      </c>
      <c r="Z124" s="158">
        <v>84753</v>
      </c>
      <c r="AA124" s="158">
        <v>85520</v>
      </c>
      <c r="AB124" s="158">
        <v>91568</v>
      </c>
      <c r="AC124" s="158">
        <v>96637</v>
      </c>
      <c r="AD124" s="158">
        <v>96617</v>
      </c>
      <c r="AE124" s="158">
        <v>90977</v>
      </c>
      <c r="AF124" s="158">
        <v>107392</v>
      </c>
      <c r="AG124" s="240"/>
      <c r="AH124" s="240"/>
      <c r="AI124" s="319">
        <f>AVERAGE(D124:AH124)</f>
        <v>121791.0172413793</v>
      </c>
      <c r="AJ124" s="320">
        <f t="shared" ref="AJ124:AJ126" si="74">+AI124/AI125-1</f>
        <v>-0.20363410320327613</v>
      </c>
    </row>
    <row r="125" spans="1:37" x14ac:dyDescent="0.3">
      <c r="A125" s="203"/>
      <c r="B125" s="203" t="s">
        <v>52</v>
      </c>
      <c r="C125" s="240"/>
      <c r="D125" s="158">
        <v>124580</v>
      </c>
      <c r="E125" s="158">
        <v>154296.66</v>
      </c>
      <c r="F125" s="158">
        <v>147753</v>
      </c>
      <c r="G125" s="158">
        <v>158873</v>
      </c>
      <c r="H125" s="158">
        <v>199471</v>
      </c>
      <c r="I125" s="158">
        <v>215054</v>
      </c>
      <c r="J125" s="158">
        <v>125430</v>
      </c>
      <c r="K125" s="158">
        <v>152548</v>
      </c>
      <c r="L125" s="158">
        <v>165244</v>
      </c>
      <c r="M125" s="158">
        <v>171115</v>
      </c>
      <c r="N125" s="158">
        <v>173427</v>
      </c>
      <c r="O125" s="158">
        <v>212169</v>
      </c>
      <c r="P125" s="158">
        <v>214125</v>
      </c>
      <c r="Q125" s="158">
        <v>122065</v>
      </c>
      <c r="R125" s="158">
        <v>148524</v>
      </c>
      <c r="S125" s="158">
        <v>163208.09</v>
      </c>
      <c r="T125" s="158">
        <v>160525</v>
      </c>
      <c r="U125" s="158">
        <v>169998</v>
      </c>
      <c r="V125" s="158">
        <v>183815</v>
      </c>
      <c r="W125" s="158">
        <v>179974</v>
      </c>
      <c r="X125" s="158">
        <v>103759</v>
      </c>
      <c r="Y125" s="158">
        <v>99566</v>
      </c>
      <c r="Z125" s="158">
        <v>106365</v>
      </c>
      <c r="AA125" s="158">
        <v>117504</v>
      </c>
      <c r="AB125" s="158">
        <v>144736</v>
      </c>
      <c r="AC125" s="158">
        <v>172844</v>
      </c>
      <c r="AD125" s="158">
        <v>141290</v>
      </c>
      <c r="AE125" s="158">
        <v>90862</v>
      </c>
      <c r="AF125" s="158">
        <v>131911</v>
      </c>
      <c r="AG125" s="158">
        <v>136973</v>
      </c>
      <c r="AH125" s="240"/>
      <c r="AI125" s="319">
        <f>AVERAGE(D125:AH125)</f>
        <v>152933.49166666667</v>
      </c>
      <c r="AJ125" s="320">
        <f t="shared" si="74"/>
        <v>-0.13430132907555237</v>
      </c>
    </row>
    <row r="126" spans="1:37" x14ac:dyDescent="0.3">
      <c r="A126" s="203"/>
      <c r="B126" s="203" t="s">
        <v>53</v>
      </c>
      <c r="C126" s="240"/>
      <c r="D126" s="158">
        <v>184355</v>
      </c>
      <c r="E126" s="158">
        <v>203785</v>
      </c>
      <c r="F126" s="158">
        <v>126974</v>
      </c>
      <c r="G126" s="158">
        <v>151832</v>
      </c>
      <c r="H126" s="158">
        <v>157157.78</v>
      </c>
      <c r="I126" s="158">
        <v>159133</v>
      </c>
      <c r="J126" s="158">
        <v>166580.95000000001</v>
      </c>
      <c r="K126" s="158">
        <v>262111</v>
      </c>
      <c r="L126" s="158">
        <v>260375</v>
      </c>
      <c r="M126" s="158">
        <v>158326</v>
      </c>
      <c r="N126" s="158">
        <v>156220.25</v>
      </c>
      <c r="O126" s="158">
        <v>164611</v>
      </c>
      <c r="P126" s="158">
        <v>178027</v>
      </c>
      <c r="Q126" s="158">
        <v>186451</v>
      </c>
      <c r="R126" s="158">
        <v>242164</v>
      </c>
      <c r="S126" s="158">
        <v>250953</v>
      </c>
      <c r="T126" s="158">
        <v>128371</v>
      </c>
      <c r="U126" s="158">
        <v>150396</v>
      </c>
      <c r="V126" s="158">
        <v>150531</v>
      </c>
      <c r="W126" s="158">
        <v>167115</v>
      </c>
      <c r="X126" s="158">
        <v>161143</v>
      </c>
      <c r="Y126" s="158">
        <v>207530</v>
      </c>
      <c r="Z126" s="158">
        <v>211524</v>
      </c>
      <c r="AA126" s="158">
        <v>133795</v>
      </c>
      <c r="AB126" s="158">
        <v>135271</v>
      </c>
      <c r="AC126" s="158">
        <v>197736.5</v>
      </c>
      <c r="AD126" s="158">
        <v>173262</v>
      </c>
      <c r="AE126" s="158">
        <v>149680</v>
      </c>
      <c r="AF126" s="158">
        <v>184454</v>
      </c>
      <c r="AG126" s="158">
        <v>186589</v>
      </c>
      <c r="AH126" s="158">
        <v>129976.6</v>
      </c>
      <c r="AI126" s="319">
        <f>AVERAGE(D126:AH126)</f>
        <v>176659.03483870969</v>
      </c>
      <c r="AJ126" s="320">
        <f t="shared" si="74"/>
        <v>0.16399498112028188</v>
      </c>
    </row>
    <row r="127" spans="1:37" x14ac:dyDescent="0.3">
      <c r="A127" s="203"/>
      <c r="B127" s="203" t="s">
        <v>54</v>
      </c>
      <c r="C127" s="240"/>
      <c r="D127" s="158">
        <v>135081</v>
      </c>
      <c r="E127" s="158">
        <v>119804</v>
      </c>
      <c r="F127" s="158">
        <v>159717</v>
      </c>
      <c r="G127" s="158">
        <v>200553</v>
      </c>
      <c r="H127" s="158">
        <v>146119</v>
      </c>
      <c r="I127" s="158">
        <v>95658</v>
      </c>
      <c r="J127" s="158">
        <v>120350</v>
      </c>
      <c r="K127" s="158">
        <v>127624</v>
      </c>
      <c r="L127" s="158">
        <v>131409</v>
      </c>
      <c r="M127" s="158">
        <v>127567</v>
      </c>
      <c r="N127" s="158">
        <v>162403</v>
      </c>
      <c r="O127" s="158">
        <v>107348</v>
      </c>
      <c r="P127" s="158">
        <v>143879</v>
      </c>
      <c r="Q127" s="158">
        <v>149942</v>
      </c>
      <c r="R127" s="158">
        <v>151846</v>
      </c>
      <c r="S127" s="158">
        <v>140278</v>
      </c>
      <c r="T127" s="158">
        <v>167616</v>
      </c>
      <c r="U127" s="158">
        <v>177629</v>
      </c>
      <c r="V127" s="158">
        <v>116126</v>
      </c>
      <c r="W127" s="158">
        <v>140286</v>
      </c>
      <c r="X127" s="158">
        <v>153982</v>
      </c>
      <c r="Y127" s="158">
        <v>155274.99</v>
      </c>
      <c r="Z127" s="158">
        <v>172567</v>
      </c>
      <c r="AA127" s="158">
        <v>223177</v>
      </c>
      <c r="AB127" s="158">
        <v>231694.25</v>
      </c>
      <c r="AC127" s="158">
        <v>135454</v>
      </c>
      <c r="AD127" s="158">
        <v>158735</v>
      </c>
      <c r="AE127" s="158">
        <v>167464</v>
      </c>
      <c r="AF127" s="158">
        <v>168759</v>
      </c>
      <c r="AG127" s="158">
        <v>164745.29999999999</v>
      </c>
      <c r="AH127" s="240"/>
      <c r="AI127" s="319">
        <v>151769.58466666666</v>
      </c>
      <c r="AJ127" s="320">
        <v>6.4058604479718673E-2</v>
      </c>
    </row>
    <row r="128" spans="1:37" x14ac:dyDescent="0.3">
      <c r="A128" s="203"/>
      <c r="B128" s="203" t="s">
        <v>55</v>
      </c>
      <c r="C128" s="240"/>
      <c r="D128" s="158">
        <v>132277</v>
      </c>
      <c r="E128" s="158">
        <v>134811</v>
      </c>
      <c r="F128" s="158">
        <v>147393.02000000002</v>
      </c>
      <c r="G128" s="158">
        <v>147065</v>
      </c>
      <c r="H128" s="158">
        <v>146611</v>
      </c>
      <c r="I128" s="158">
        <v>164787</v>
      </c>
      <c r="J128" s="158">
        <v>165674.4</v>
      </c>
      <c r="K128" s="158">
        <v>115147</v>
      </c>
      <c r="L128" s="158">
        <v>130761</v>
      </c>
      <c r="M128" s="158">
        <v>135033.10999999999</v>
      </c>
      <c r="N128" s="158">
        <v>130790</v>
      </c>
      <c r="O128" s="158">
        <v>136739.94</v>
      </c>
      <c r="P128" s="158">
        <v>157693</v>
      </c>
      <c r="Q128" s="158">
        <v>170022</v>
      </c>
      <c r="R128" s="158">
        <v>118001</v>
      </c>
      <c r="S128" s="158">
        <v>147490</v>
      </c>
      <c r="T128" s="158">
        <v>179783</v>
      </c>
      <c r="U128" s="158">
        <v>170075</v>
      </c>
      <c r="V128" s="158">
        <v>144571.1</v>
      </c>
      <c r="W128" s="158">
        <v>147776</v>
      </c>
      <c r="X128" s="158">
        <v>149771</v>
      </c>
      <c r="Y128" s="158">
        <v>102778.09</v>
      </c>
      <c r="Z128" s="158">
        <v>130224</v>
      </c>
      <c r="AA128" s="158">
        <v>143382</v>
      </c>
      <c r="AB128" s="158">
        <v>143656</v>
      </c>
      <c r="AC128" s="158">
        <v>136449</v>
      </c>
      <c r="AD128" s="158">
        <v>145516</v>
      </c>
      <c r="AE128" s="158">
        <v>165913</v>
      </c>
      <c r="AF128" s="158">
        <v>114664</v>
      </c>
      <c r="AG128" s="158">
        <v>123536</v>
      </c>
      <c r="AH128" s="158">
        <v>143225</v>
      </c>
      <c r="AI128" s="319">
        <v>142632.73096774195</v>
      </c>
      <c r="AJ128" s="320">
        <v>-0.10798314790952912</v>
      </c>
    </row>
    <row r="129" spans="1:36" x14ac:dyDescent="0.3">
      <c r="A129" s="203"/>
      <c r="B129" s="203" t="s">
        <v>56</v>
      </c>
      <c r="C129" s="240"/>
      <c r="D129" s="158">
        <v>149150.16</v>
      </c>
      <c r="E129" s="158">
        <v>164371</v>
      </c>
      <c r="F129" s="158">
        <v>165843</v>
      </c>
      <c r="G129" s="158">
        <v>113115</v>
      </c>
      <c r="H129" s="158">
        <v>107949</v>
      </c>
      <c r="I129" s="158">
        <v>140558</v>
      </c>
      <c r="J129" s="158">
        <v>152447</v>
      </c>
      <c r="K129" s="158">
        <v>162650</v>
      </c>
      <c r="L129" s="158">
        <v>176842</v>
      </c>
      <c r="M129" s="158">
        <v>178270</v>
      </c>
      <c r="N129" s="158">
        <v>123610</v>
      </c>
      <c r="O129" s="158">
        <v>152776</v>
      </c>
      <c r="P129" s="158">
        <v>162394</v>
      </c>
      <c r="Q129" s="158">
        <v>163241</v>
      </c>
      <c r="R129" s="158">
        <v>166097</v>
      </c>
      <c r="S129" s="158">
        <v>188036</v>
      </c>
      <c r="T129" s="158">
        <v>205640</v>
      </c>
      <c r="U129" s="158">
        <v>123889</v>
      </c>
      <c r="V129" s="158">
        <v>197425</v>
      </c>
      <c r="W129" s="158">
        <v>153932</v>
      </c>
      <c r="X129" s="158">
        <v>156600</v>
      </c>
      <c r="Y129" s="158">
        <v>161583</v>
      </c>
      <c r="Z129" s="158">
        <v>183945</v>
      </c>
      <c r="AA129" s="158">
        <v>192396</v>
      </c>
      <c r="AB129" s="158">
        <v>121789</v>
      </c>
      <c r="AC129" s="158">
        <v>142467.29999999999</v>
      </c>
      <c r="AD129" s="158">
        <v>163203</v>
      </c>
      <c r="AE129" s="158">
        <v>164257</v>
      </c>
      <c r="AF129" s="158">
        <v>161177</v>
      </c>
      <c r="AG129" s="158">
        <v>175590</v>
      </c>
      <c r="AH129" s="158">
        <v>185631</v>
      </c>
      <c r="AI129" s="319">
        <v>159899.14387096773</v>
      </c>
      <c r="AJ129" s="320">
        <v>-2.1289128722978723E-2</v>
      </c>
    </row>
    <row r="130" spans="1:36" x14ac:dyDescent="0.3">
      <c r="A130" s="203"/>
      <c r="B130" s="203" t="s">
        <v>57</v>
      </c>
      <c r="C130" s="240"/>
      <c r="D130" s="158">
        <v>123011</v>
      </c>
      <c r="E130" s="158">
        <v>135214</v>
      </c>
      <c r="F130" s="158">
        <v>146360</v>
      </c>
      <c r="G130" s="158">
        <v>175853</v>
      </c>
      <c r="H130" s="158">
        <v>181902</v>
      </c>
      <c r="I130" s="158">
        <v>117874</v>
      </c>
      <c r="J130" s="158">
        <v>138979</v>
      </c>
      <c r="K130" s="158">
        <v>161866.45000000001</v>
      </c>
      <c r="L130" s="158">
        <v>163308</v>
      </c>
      <c r="M130" s="158">
        <v>161436</v>
      </c>
      <c r="N130" s="158">
        <v>197316</v>
      </c>
      <c r="O130" s="158">
        <v>189393</v>
      </c>
      <c r="P130" s="158">
        <v>134039</v>
      </c>
      <c r="Q130" s="158">
        <v>160552</v>
      </c>
      <c r="R130" s="158">
        <v>175496</v>
      </c>
      <c r="S130" s="158">
        <v>167668</v>
      </c>
      <c r="T130" s="158">
        <v>163426</v>
      </c>
      <c r="U130" s="158">
        <v>183993</v>
      </c>
      <c r="V130" s="158">
        <v>203363</v>
      </c>
      <c r="W130" s="158">
        <v>123082</v>
      </c>
      <c r="X130" s="158">
        <v>156633</v>
      </c>
      <c r="Y130" s="158">
        <v>180785</v>
      </c>
      <c r="Z130" s="158">
        <v>177471</v>
      </c>
      <c r="AA130" s="158">
        <v>172849</v>
      </c>
      <c r="AB130" s="158">
        <v>213754</v>
      </c>
      <c r="AC130" s="158">
        <v>218472</v>
      </c>
      <c r="AD130" s="158">
        <v>124046</v>
      </c>
      <c r="AE130" s="158">
        <v>153813.54999999999</v>
      </c>
      <c r="AF130" s="158">
        <v>161157</v>
      </c>
      <c r="AG130" s="158">
        <v>138207.13</v>
      </c>
      <c r="AH130" s="240"/>
      <c r="AI130" s="319">
        <v>163377.30433333333</v>
      </c>
      <c r="AJ130" s="320">
        <v>6.7979277812139749E-2</v>
      </c>
    </row>
    <row r="131" spans="1:36" x14ac:dyDescent="0.3">
      <c r="A131" s="203"/>
      <c r="B131" s="203" t="s">
        <v>49</v>
      </c>
      <c r="C131" s="240"/>
      <c r="D131" s="158">
        <v>168260</v>
      </c>
      <c r="E131" s="158">
        <v>107593</v>
      </c>
      <c r="F131" s="158">
        <v>127682.29999999999</v>
      </c>
      <c r="G131" s="158">
        <v>124802.91</v>
      </c>
      <c r="H131" s="158">
        <v>145188</v>
      </c>
      <c r="I131" s="158">
        <v>173439</v>
      </c>
      <c r="J131" s="158">
        <v>206235</v>
      </c>
      <c r="K131" s="158">
        <v>209927</v>
      </c>
      <c r="L131" s="158">
        <v>113105</v>
      </c>
      <c r="M131" s="158">
        <v>138335</v>
      </c>
      <c r="N131" s="158">
        <v>156348.91999999998</v>
      </c>
      <c r="O131" s="158">
        <v>151755</v>
      </c>
      <c r="P131" s="158">
        <v>154837</v>
      </c>
      <c r="Q131" s="158">
        <v>184436</v>
      </c>
      <c r="R131" s="158">
        <v>196057</v>
      </c>
      <c r="S131" s="158">
        <v>115848</v>
      </c>
      <c r="T131" s="158">
        <v>126725.95000000001</v>
      </c>
      <c r="U131" s="158">
        <v>137670.54999999999</v>
      </c>
      <c r="V131" s="158">
        <v>135426.66</v>
      </c>
      <c r="W131" s="158">
        <v>154916</v>
      </c>
      <c r="X131" s="158">
        <v>181312.86</v>
      </c>
      <c r="Y131" s="158">
        <v>197889</v>
      </c>
      <c r="Z131" s="158">
        <v>111347.43</v>
      </c>
      <c r="AA131" s="158">
        <v>132518.97</v>
      </c>
      <c r="AB131" s="158">
        <v>133267.59</v>
      </c>
      <c r="AC131" s="158">
        <v>136538</v>
      </c>
      <c r="AD131" s="158">
        <v>137806</v>
      </c>
      <c r="AE131" s="158">
        <v>191926</v>
      </c>
      <c r="AF131" s="158">
        <v>222963</v>
      </c>
      <c r="AG131" s="158">
        <v>156817</v>
      </c>
      <c r="AH131" s="158">
        <v>111343</v>
      </c>
      <c r="AI131" s="319">
        <v>152977.97225806455</v>
      </c>
      <c r="AJ131" s="320">
        <v>7.3685232614691065E-2</v>
      </c>
    </row>
    <row r="132" spans="1:36" x14ac:dyDescent="0.3">
      <c r="A132" s="203"/>
      <c r="B132" s="203" t="s">
        <v>58</v>
      </c>
      <c r="C132" s="240"/>
      <c r="D132" s="158">
        <v>125816</v>
      </c>
      <c r="E132" s="158">
        <v>151249</v>
      </c>
      <c r="F132" s="158">
        <v>141145</v>
      </c>
      <c r="G132" s="158">
        <v>93520.08</v>
      </c>
      <c r="H132" s="158">
        <v>116368</v>
      </c>
      <c r="I132" s="158">
        <v>136980.30000000002</v>
      </c>
      <c r="J132" s="158">
        <v>143928</v>
      </c>
      <c r="K132" s="158">
        <v>128919</v>
      </c>
      <c r="L132" s="158">
        <v>170958</v>
      </c>
      <c r="M132" s="158">
        <v>197432</v>
      </c>
      <c r="N132" s="158">
        <v>112043.97</v>
      </c>
      <c r="O132" s="158">
        <v>127835.8</v>
      </c>
      <c r="P132" s="158">
        <v>134140.18</v>
      </c>
      <c r="Q132" s="158">
        <v>130958.37999999999</v>
      </c>
      <c r="R132" s="158">
        <v>147825</v>
      </c>
      <c r="S132" s="158">
        <v>189635</v>
      </c>
      <c r="T132" s="158">
        <v>188260</v>
      </c>
      <c r="U132" s="158">
        <v>98840</v>
      </c>
      <c r="V132" s="158">
        <v>121850.33</v>
      </c>
      <c r="W132" s="158">
        <v>134832.26</v>
      </c>
      <c r="X132" s="158">
        <v>133406</v>
      </c>
      <c r="Y132" s="158">
        <v>147170</v>
      </c>
      <c r="Z132" s="158">
        <v>185144</v>
      </c>
      <c r="AA132" s="158">
        <v>182561</v>
      </c>
      <c r="AB132" s="158">
        <v>103377</v>
      </c>
      <c r="AC132" s="158">
        <v>141346.15</v>
      </c>
      <c r="AD132" s="158">
        <v>129926</v>
      </c>
      <c r="AE132" s="158">
        <v>133654</v>
      </c>
      <c r="AF132" s="158">
        <v>140970</v>
      </c>
      <c r="AG132" s="158">
        <v>184290</v>
      </c>
      <c r="AH132" s="158"/>
      <c r="AI132" s="319">
        <v>142479.3483333333</v>
      </c>
      <c r="AJ132" s="320">
        <v>5.5268287586315301E-2</v>
      </c>
    </row>
    <row r="133" spans="1:36" x14ac:dyDescent="0.3">
      <c r="A133" s="203"/>
      <c r="B133" s="203" t="s">
        <v>59</v>
      </c>
      <c r="C133" s="240"/>
      <c r="D133" s="158">
        <v>114623.50999999998</v>
      </c>
      <c r="E133" s="158">
        <v>117829.61</v>
      </c>
      <c r="F133" s="158">
        <v>122917.56999999999</v>
      </c>
      <c r="G133" s="158">
        <v>130495.9</v>
      </c>
      <c r="H133" s="158">
        <v>137863.53999999998</v>
      </c>
      <c r="I133" s="158">
        <v>147506.49000000002</v>
      </c>
      <c r="J133" s="158">
        <v>112811.34</v>
      </c>
      <c r="K133" s="158">
        <v>116217.00000000001</v>
      </c>
      <c r="L133" s="158">
        <v>126765.45</v>
      </c>
      <c r="M133" s="158">
        <v>128354.98999999999</v>
      </c>
      <c r="N133" s="158">
        <v>132118</v>
      </c>
      <c r="O133" s="158">
        <v>158761.15</v>
      </c>
      <c r="P133" s="158">
        <v>166812.37000000002</v>
      </c>
      <c r="Q133" s="158">
        <v>119556.14</v>
      </c>
      <c r="R133" s="158">
        <v>129791.56999999998</v>
      </c>
      <c r="S133" s="158">
        <v>134517.78</v>
      </c>
      <c r="T133" s="158">
        <v>142856.24</v>
      </c>
      <c r="U133" s="158">
        <v>143916.46999999997</v>
      </c>
      <c r="V133" s="158">
        <v>174275.35</v>
      </c>
      <c r="W133" s="158">
        <v>178301.25</v>
      </c>
      <c r="X133" s="158">
        <v>113992.63</v>
      </c>
      <c r="Y133" s="158">
        <v>127051.5</v>
      </c>
      <c r="Z133" s="158">
        <v>138426.22</v>
      </c>
      <c r="AA133" s="158">
        <v>145337.99</v>
      </c>
      <c r="AB133" s="158">
        <v>141152</v>
      </c>
      <c r="AC133" s="158">
        <v>163152</v>
      </c>
      <c r="AD133" s="158">
        <v>184053</v>
      </c>
      <c r="AE133" s="158">
        <v>105809.09</v>
      </c>
      <c r="AF133" s="158">
        <v>116549.62000000001</v>
      </c>
      <c r="AG133" s="158">
        <v>126650</v>
      </c>
      <c r="AH133" s="158">
        <v>135017.18</v>
      </c>
      <c r="AI133" s="319">
        <v>135017.18</v>
      </c>
      <c r="AJ133" s="320">
        <v>0.34345155973884345</v>
      </c>
    </row>
    <row r="134" spans="1:36" x14ac:dyDescent="0.3">
      <c r="A134" s="203"/>
      <c r="B134" s="203" t="s">
        <v>60</v>
      </c>
      <c r="C134" s="240"/>
      <c r="D134" s="158">
        <v>73863.600000000006</v>
      </c>
      <c r="E134" s="158">
        <v>79060.419999999984</v>
      </c>
      <c r="F134" s="158">
        <v>81003.360000000001</v>
      </c>
      <c r="G134" s="158">
        <v>76954.900000000009</v>
      </c>
      <c r="H134" s="158">
        <v>91299.05799999999</v>
      </c>
      <c r="I134" s="158">
        <v>88235.790000000008</v>
      </c>
      <c r="J134" s="158">
        <v>58618.97</v>
      </c>
      <c r="K134" s="158">
        <v>71658.139999999985</v>
      </c>
      <c r="L134" s="158">
        <v>78494.25</v>
      </c>
      <c r="M134" s="158">
        <v>86823.1</v>
      </c>
      <c r="N134" s="158">
        <v>84585.727999999988</v>
      </c>
      <c r="O134" s="158">
        <v>79436.500000000015</v>
      </c>
      <c r="P134" s="158">
        <v>107050.59999999999</v>
      </c>
      <c r="Q134" s="158">
        <v>110143.86999999998</v>
      </c>
      <c r="R134" s="158">
        <v>122240.58</v>
      </c>
      <c r="S134" s="158">
        <v>121024.60999999999</v>
      </c>
      <c r="T134" s="158">
        <v>116009.29</v>
      </c>
      <c r="U134" s="158">
        <v>109786.48000000001</v>
      </c>
      <c r="V134" s="158">
        <v>112968.72</v>
      </c>
      <c r="W134" s="158">
        <v>112812.02</v>
      </c>
      <c r="X134" s="158">
        <v>88597.29</v>
      </c>
      <c r="Y134" s="158">
        <v>111025.8</v>
      </c>
      <c r="Z134" s="158">
        <v>132492.99</v>
      </c>
      <c r="AA134" s="158">
        <v>121294.78</v>
      </c>
      <c r="AB134" s="158">
        <v>144013.08000000002</v>
      </c>
      <c r="AC134" s="158">
        <v>131690.88999999998</v>
      </c>
      <c r="AD134" s="158">
        <v>122800.08999999998</v>
      </c>
      <c r="AE134" s="158">
        <v>100021.31000000001</v>
      </c>
      <c r="AF134" s="158"/>
      <c r="AG134" s="158"/>
      <c r="AH134" s="158"/>
      <c r="AI134" s="319">
        <v>100500.22199999998</v>
      </c>
      <c r="AJ134" s="320">
        <v>0.27548293357685361</v>
      </c>
    </row>
    <row r="135" spans="1:36" x14ac:dyDescent="0.3">
      <c r="B135" s="203" t="s">
        <v>61</v>
      </c>
      <c r="C135" s="240"/>
      <c r="D135" s="158">
        <v>82854.86</v>
      </c>
      <c r="E135" s="158">
        <v>80638.539999999994</v>
      </c>
      <c r="F135" s="158">
        <v>60554.259999999995</v>
      </c>
      <c r="G135" s="158">
        <v>64807.009999999995</v>
      </c>
      <c r="H135" s="158">
        <v>76514.759999999995</v>
      </c>
      <c r="I135" s="158">
        <v>83320.000000000015</v>
      </c>
      <c r="J135" s="158">
        <v>71398.990000000005</v>
      </c>
      <c r="K135" s="158">
        <v>79576.290000000008</v>
      </c>
      <c r="L135" s="158">
        <v>79602.19</v>
      </c>
      <c r="M135" s="158">
        <v>62180.97</v>
      </c>
      <c r="N135" s="158">
        <v>72936.51999999999</v>
      </c>
      <c r="O135" s="158">
        <v>77463.539999999994</v>
      </c>
      <c r="P135" s="158">
        <v>82155.279999999984</v>
      </c>
      <c r="Q135" s="158">
        <v>87161.51999999999</v>
      </c>
      <c r="R135" s="158">
        <v>100886.34999999999</v>
      </c>
      <c r="S135" s="158">
        <v>107066.53999999998</v>
      </c>
      <c r="T135" s="158">
        <v>74252.77</v>
      </c>
      <c r="U135" s="158">
        <v>74107.56</v>
      </c>
      <c r="V135" s="158">
        <v>83657.62</v>
      </c>
      <c r="W135" s="158">
        <v>75423.94</v>
      </c>
      <c r="X135" s="158">
        <v>70802.810000000012</v>
      </c>
      <c r="Y135" s="158">
        <v>77494.189999999988</v>
      </c>
      <c r="Z135" s="158">
        <v>84626.680000000008</v>
      </c>
      <c r="AA135" s="158">
        <v>65300.72</v>
      </c>
      <c r="AB135" s="158">
        <v>77262.150000000009</v>
      </c>
      <c r="AC135" s="158">
        <v>78740.91</v>
      </c>
      <c r="AD135" s="158">
        <v>81055.740000000005</v>
      </c>
      <c r="AE135" s="158">
        <v>80039.549999999988</v>
      </c>
      <c r="AF135" s="158">
        <v>84612.52</v>
      </c>
      <c r="AG135" s="158">
        <v>87320.98</v>
      </c>
      <c r="AH135" s="158">
        <v>65515.239999999991</v>
      </c>
      <c r="AI135" s="319">
        <v>78793.858666666652</v>
      </c>
      <c r="AJ135" s="320">
        <v>0.16481058729716236</v>
      </c>
    </row>
    <row r="136" spans="1:36" x14ac:dyDescent="0.3">
      <c r="B136" s="203" t="s">
        <v>51</v>
      </c>
      <c r="C136" s="240"/>
      <c r="D136" s="158">
        <v>67602.77</v>
      </c>
      <c r="E136" s="158">
        <v>66458.939999999988</v>
      </c>
      <c r="F136" s="158">
        <v>83823.130000000019</v>
      </c>
      <c r="G136" s="158">
        <v>97534.23000000001</v>
      </c>
      <c r="H136" s="158">
        <v>93973.470000000016</v>
      </c>
      <c r="I136" s="158">
        <v>60633.320000000007</v>
      </c>
      <c r="J136" s="158">
        <v>71392.59</v>
      </c>
      <c r="K136" s="158">
        <v>74964.61</v>
      </c>
      <c r="L136" s="158">
        <v>77754.549999999988</v>
      </c>
      <c r="M136" s="158">
        <v>72153.59</v>
      </c>
      <c r="N136" s="158">
        <v>97852.160000000003</v>
      </c>
      <c r="O136" s="158">
        <v>96924.62</v>
      </c>
      <c r="P136" s="158">
        <v>57639.839999999997</v>
      </c>
      <c r="Q136" s="158">
        <v>66461.450000000012</v>
      </c>
      <c r="R136" s="158">
        <v>63997.119999999995</v>
      </c>
      <c r="S136" s="158">
        <v>66648.78</v>
      </c>
      <c r="T136" s="158">
        <v>67478.63</v>
      </c>
      <c r="U136" s="158">
        <v>74443.569999999992</v>
      </c>
      <c r="V136" s="158">
        <v>78196.569999999992</v>
      </c>
      <c r="W136" s="158">
        <v>55414.229999999996</v>
      </c>
      <c r="X136" s="158">
        <v>55682.65</v>
      </c>
      <c r="Y136" s="158">
        <v>49132.170000000006</v>
      </c>
      <c r="Z136" s="158">
        <v>45279.17</v>
      </c>
      <c r="AA136" s="158">
        <v>43029.96</v>
      </c>
      <c r="AB136" s="158">
        <v>52906.930000000008</v>
      </c>
      <c r="AC136" s="158">
        <v>59619.35</v>
      </c>
      <c r="AD136" s="158">
        <v>49546.95</v>
      </c>
      <c r="AE136" s="158">
        <v>55525.320000000007</v>
      </c>
      <c r="AF136" s="158">
        <v>56721.73</v>
      </c>
      <c r="AG136" s="158">
        <v>60370.54</v>
      </c>
      <c r="AH136" s="158">
        <v>77838.62000000001</v>
      </c>
      <c r="AI136" s="319">
        <v>67645.211612903237</v>
      </c>
      <c r="AJ136" s="320">
        <v>-0.12070281664214377</v>
      </c>
    </row>
    <row r="137" spans="1:36" x14ac:dyDescent="0.3">
      <c r="B137" s="203" t="s">
        <v>52</v>
      </c>
      <c r="C137" s="240"/>
      <c r="D137" s="158">
        <v>70065</v>
      </c>
      <c r="E137" s="158">
        <v>66144.81</v>
      </c>
      <c r="F137" s="158">
        <v>75735.520000000019</v>
      </c>
      <c r="G137" s="158">
        <v>86485.090000000011</v>
      </c>
      <c r="H137" s="158">
        <v>83527.02</v>
      </c>
      <c r="I137" s="158">
        <v>96226.680000000008</v>
      </c>
      <c r="J137" s="158">
        <v>112884.18999999997</v>
      </c>
      <c r="K137" s="158">
        <v>66614.469999999987</v>
      </c>
      <c r="L137" s="158">
        <v>79859.41</v>
      </c>
      <c r="M137" s="158">
        <v>85053.95</v>
      </c>
      <c r="N137" s="158">
        <v>89977.71</v>
      </c>
      <c r="O137" s="158">
        <v>86370.739999999991</v>
      </c>
      <c r="P137" s="158">
        <v>109352.45999999999</v>
      </c>
      <c r="Q137" s="158">
        <v>106708.48999999999</v>
      </c>
      <c r="R137" s="158">
        <v>61864.179999999993</v>
      </c>
      <c r="S137" s="158">
        <v>72865.290000000008</v>
      </c>
      <c r="T137" s="158">
        <v>74909.69</v>
      </c>
      <c r="U137" s="158">
        <v>77430.179999999993</v>
      </c>
      <c r="V137" s="158">
        <v>78790.110000000015</v>
      </c>
      <c r="W137" s="158">
        <v>96551.599999999991</v>
      </c>
      <c r="X137" s="158">
        <v>90910.9</v>
      </c>
      <c r="Y137" s="158">
        <v>53908.470000000008</v>
      </c>
      <c r="Z137" s="158">
        <v>55233.39</v>
      </c>
      <c r="AA137" s="158">
        <v>56637.599999999999</v>
      </c>
      <c r="AB137" s="158">
        <v>54914.99</v>
      </c>
      <c r="AC137" s="158">
        <v>61969.72</v>
      </c>
      <c r="AD137" s="158">
        <v>74137.399999999994</v>
      </c>
      <c r="AE137" s="158">
        <v>72565.25</v>
      </c>
      <c r="AF137" s="158">
        <v>48777.47</v>
      </c>
      <c r="AG137" s="158">
        <v>61456.729999999996</v>
      </c>
      <c r="AH137" s="158"/>
      <c r="AI137" s="319">
        <v>76931</v>
      </c>
      <c r="AJ137" s="320">
        <v>-0.15140564912971455</v>
      </c>
    </row>
    <row r="138" spans="1:36" x14ac:dyDescent="0.3">
      <c r="B138" s="203" t="s">
        <v>62</v>
      </c>
      <c r="C138" s="240"/>
      <c r="D138" s="158">
        <v>90900.959999999977</v>
      </c>
      <c r="E138" s="158">
        <v>110402.01</v>
      </c>
      <c r="F138" s="158">
        <v>105326.36999999998</v>
      </c>
      <c r="G138" s="158">
        <v>66581.670000000013</v>
      </c>
      <c r="H138" s="158">
        <v>74482.51999999999</v>
      </c>
      <c r="I138" s="158">
        <v>77418.439999999988</v>
      </c>
      <c r="J138" s="158">
        <v>79867.890000000014</v>
      </c>
      <c r="K138" s="158">
        <v>93534.050000000017</v>
      </c>
      <c r="L138" s="158">
        <v>130042.68000000001</v>
      </c>
      <c r="M138" s="158">
        <v>140749.15999999997</v>
      </c>
      <c r="N138" s="158">
        <v>73838.139999999985</v>
      </c>
      <c r="O138" s="158">
        <v>74852.73</v>
      </c>
      <c r="P138" s="158">
        <v>77689.62999999999</v>
      </c>
      <c r="Q138" s="158">
        <v>82940.800000000003</v>
      </c>
      <c r="R138" s="158">
        <v>91217.34</v>
      </c>
      <c r="S138" s="158">
        <v>120190.80000000002</v>
      </c>
      <c r="T138" s="158">
        <v>120174.86</v>
      </c>
      <c r="U138" s="158">
        <v>68984.239999999991</v>
      </c>
      <c r="V138" s="158">
        <v>78411.680000000008</v>
      </c>
      <c r="W138" s="158">
        <v>83139.08</v>
      </c>
      <c r="X138" s="158">
        <v>81866.12000000001</v>
      </c>
      <c r="Y138" s="158">
        <v>85785.35</v>
      </c>
      <c r="Z138" s="158">
        <v>117856.4</v>
      </c>
      <c r="AA138" s="158">
        <v>127161.93999999999</v>
      </c>
      <c r="AB138" s="158">
        <v>68498.410000000018</v>
      </c>
      <c r="AC138" s="158">
        <v>76958.27</v>
      </c>
      <c r="AD138" s="158">
        <v>80332.850000000006</v>
      </c>
      <c r="AE138" s="158">
        <v>80516.19</v>
      </c>
      <c r="AF138" s="158">
        <v>70980.319999999992</v>
      </c>
      <c r="AG138" s="158">
        <v>83606.89</v>
      </c>
      <c r="AH138" s="158">
        <v>96058.549999999988</v>
      </c>
      <c r="AI138" s="319">
        <v>90656.978709677423</v>
      </c>
      <c r="AJ138" s="320">
        <v>4.1842966451314689E-2</v>
      </c>
    </row>
    <row r="139" spans="1:36" x14ac:dyDescent="0.3">
      <c r="B139" s="203" t="s">
        <v>54</v>
      </c>
      <c r="C139" s="240"/>
      <c r="D139" s="158">
        <v>84754.189999999988</v>
      </c>
      <c r="E139" s="158">
        <v>77509.83</v>
      </c>
      <c r="F139" s="158">
        <v>86097.87000000001</v>
      </c>
      <c r="G139" s="158">
        <v>114711.41999999998</v>
      </c>
      <c r="H139" s="158">
        <v>144350.47</v>
      </c>
      <c r="I139" s="158">
        <v>103110.33000000002</v>
      </c>
      <c r="J139" s="158">
        <v>63647.21</v>
      </c>
      <c r="K139" s="158">
        <v>76126.25</v>
      </c>
      <c r="L139" s="158">
        <v>82670.789999999979</v>
      </c>
      <c r="M139" s="158">
        <v>80723.710000000006</v>
      </c>
      <c r="N139" s="158">
        <v>91710.989999999991</v>
      </c>
      <c r="O139" s="158">
        <v>97999.8</v>
      </c>
      <c r="P139" s="158">
        <v>73673.760000000009</v>
      </c>
      <c r="Q139" s="158">
        <v>81090.11</v>
      </c>
      <c r="R139" s="158">
        <v>95424.680000000008</v>
      </c>
      <c r="S139" s="158">
        <v>88123.109999999986</v>
      </c>
      <c r="T139" s="158">
        <v>86107.98000000001</v>
      </c>
      <c r="U139" s="158">
        <v>94430.400000000009</v>
      </c>
      <c r="V139" s="158">
        <v>108674.07999999999</v>
      </c>
      <c r="W139" s="158">
        <v>63410.119999999995</v>
      </c>
      <c r="X139" s="158">
        <v>71808.240000000005</v>
      </c>
      <c r="Y139" s="158">
        <v>72142.2</v>
      </c>
      <c r="Z139" s="158">
        <v>82430.219999999987</v>
      </c>
      <c r="AA139" s="158">
        <v>78378.259999999995</v>
      </c>
      <c r="AB139" s="158">
        <v>98445.599999999977</v>
      </c>
      <c r="AC139" s="158">
        <v>111067.27900000001</v>
      </c>
      <c r="AD139" s="158">
        <v>65574.12000000001</v>
      </c>
      <c r="AE139" s="158">
        <v>68571.259999999995</v>
      </c>
      <c r="AF139" s="158">
        <v>77694.38</v>
      </c>
      <c r="AG139" s="158">
        <v>90020.51</v>
      </c>
      <c r="AH139" s="158"/>
      <c r="AI139" s="319">
        <v>87015.972299999994</v>
      </c>
      <c r="AJ139" s="320">
        <v>-5.286343324641285E-3</v>
      </c>
    </row>
    <row r="140" spans="1:36" x14ac:dyDescent="0.3">
      <c r="B140" s="203" t="s">
        <v>55</v>
      </c>
      <c r="C140" s="240"/>
      <c r="D140" s="158">
        <v>100183.41</v>
      </c>
      <c r="E140" s="158">
        <v>64601.049999999996</v>
      </c>
      <c r="F140" s="158">
        <v>68269.820000000007</v>
      </c>
      <c r="G140" s="158">
        <v>72258.659999999989</v>
      </c>
      <c r="H140" s="158">
        <v>72333.430000000008</v>
      </c>
      <c r="I140" s="158">
        <v>87807.180000000008</v>
      </c>
      <c r="J140" s="158">
        <v>108556.6</v>
      </c>
      <c r="K140" s="158">
        <v>115466.53999999998</v>
      </c>
      <c r="L140" s="158">
        <v>66024.539999999994</v>
      </c>
      <c r="M140" s="158">
        <v>67539.360000000001</v>
      </c>
      <c r="N140" s="158">
        <v>74683.11</v>
      </c>
      <c r="O140" s="158">
        <v>70834.399999999994</v>
      </c>
      <c r="P140" s="158">
        <v>77578</v>
      </c>
      <c r="Q140" s="158">
        <v>95943.329999999987</v>
      </c>
      <c r="R140" s="158">
        <v>104559.17000000001</v>
      </c>
      <c r="S140" s="158">
        <v>77145.600000000006</v>
      </c>
      <c r="T140" s="158">
        <v>83957.91</v>
      </c>
      <c r="U140" s="158">
        <v>88179.42</v>
      </c>
      <c r="V140" s="158">
        <v>90305.080000000016</v>
      </c>
      <c r="W140" s="158">
        <v>90852.430000000022</v>
      </c>
      <c r="X140" s="158">
        <v>94160.400000000009</v>
      </c>
      <c r="Y140" s="158">
        <v>100448.5</v>
      </c>
      <c r="Z140" s="158">
        <v>58556.94</v>
      </c>
      <c r="AA140" s="158">
        <v>74305.420000000013</v>
      </c>
      <c r="AB140" s="158">
        <v>110828.91999999998</v>
      </c>
      <c r="AC140" s="158">
        <v>131833.35</v>
      </c>
      <c r="AD140" s="158">
        <v>108369.62000000001</v>
      </c>
      <c r="AE140" s="158">
        <v>100972.90000000002</v>
      </c>
      <c r="AF140" s="158">
        <v>102375.05999999997</v>
      </c>
      <c r="AG140" s="158">
        <v>73325.179999999993</v>
      </c>
      <c r="AH140" s="158">
        <v>79575.48000000001</v>
      </c>
      <c r="AI140" s="319">
        <v>87478.413225806449</v>
      </c>
      <c r="AJ140" s="320">
        <v>0.15589313615477463</v>
      </c>
    </row>
    <row r="141" spans="1:36" x14ac:dyDescent="0.3">
      <c r="B141" s="203" t="s">
        <v>56</v>
      </c>
      <c r="C141" s="240"/>
      <c r="D141" s="158">
        <v>73444.495945945935</v>
      </c>
      <c r="E141" s="158">
        <v>70000.913513513515</v>
      </c>
      <c r="F141" s="158">
        <v>82405.333783783775</v>
      </c>
      <c r="G141" s="158">
        <v>81409.199189189181</v>
      </c>
      <c r="H141" s="158">
        <v>56865.548378378378</v>
      </c>
      <c r="I141" s="158">
        <v>62159.099054054052</v>
      </c>
      <c r="J141" s="158">
        <v>68168.310270270274</v>
      </c>
      <c r="K141" s="158">
        <v>72491.048378378386</v>
      </c>
      <c r="L141" s="158">
        <v>79462.536621621635</v>
      </c>
      <c r="M141" s="158">
        <v>82286.569999999992</v>
      </c>
      <c r="N141" s="158">
        <v>87756.881891891884</v>
      </c>
      <c r="O141" s="158">
        <v>60813.235405405416</v>
      </c>
      <c r="P141" s="158">
        <v>67185.838918918933</v>
      </c>
      <c r="Q141" s="158">
        <v>71968.58</v>
      </c>
      <c r="R141" s="158">
        <v>77449.497972972982</v>
      </c>
      <c r="S141" s="158">
        <v>77877.45608108108</v>
      </c>
      <c r="T141" s="158">
        <v>92299.417837837827</v>
      </c>
      <c r="U141" s="158">
        <v>95235.570540540561</v>
      </c>
      <c r="V141" s="158">
        <v>66435.505135135143</v>
      </c>
      <c r="W141" s="158">
        <v>71817.671216216215</v>
      </c>
      <c r="X141" s="158">
        <v>77909.038648648653</v>
      </c>
      <c r="Y141" s="158">
        <v>76039.610000000015</v>
      </c>
      <c r="Z141" s="158">
        <v>83017.246891891889</v>
      </c>
      <c r="AA141" s="158">
        <v>97788.939054054033</v>
      </c>
      <c r="AB141" s="158">
        <v>100716.69608108109</v>
      </c>
      <c r="AC141" s="158">
        <v>60620.706621621626</v>
      </c>
      <c r="AD141" s="158">
        <v>65791.327972972969</v>
      </c>
      <c r="AE141" s="158">
        <v>67384.328513513508</v>
      </c>
      <c r="AF141" s="158">
        <v>68441.759459459456</v>
      </c>
      <c r="AG141" s="158">
        <v>70813.988918918913</v>
      </c>
      <c r="AH141" s="158">
        <v>80034.929999999993</v>
      </c>
      <c r="AI141" s="319">
        <v>75680.363945074118</v>
      </c>
      <c r="AJ141" s="320">
        <v>0.17129975883137716</v>
      </c>
    </row>
    <row r="142" spans="1:36" x14ac:dyDescent="0.3">
      <c r="B142" s="203" t="s">
        <v>57</v>
      </c>
      <c r="C142" s="240"/>
      <c r="D142" s="158">
        <v>33656.116941360997</v>
      </c>
      <c r="E142" s="158">
        <v>59686.468693291514</v>
      </c>
      <c r="F142" s="158">
        <v>58711.559712837836</v>
      </c>
      <c r="G142" s="158">
        <v>58839.028445945951</v>
      </c>
      <c r="H142" s="158">
        <v>60982.806381515446</v>
      </c>
      <c r="I142" s="158">
        <v>61858.128717422784</v>
      </c>
      <c r="J142" s="158">
        <v>51575.66097852317</v>
      </c>
      <c r="K142" s="158">
        <v>56701.234278474905</v>
      </c>
      <c r="L142" s="158">
        <v>57605.917512065636</v>
      </c>
      <c r="M142" s="158">
        <v>61577.438005550182</v>
      </c>
      <c r="N142" s="158">
        <v>58640.260154440148</v>
      </c>
      <c r="O142" s="158">
        <v>68436.549682673736</v>
      </c>
      <c r="P142" s="158">
        <v>73227.321708494215</v>
      </c>
      <c r="Q142" s="158">
        <v>51023.233935810807</v>
      </c>
      <c r="R142" s="158">
        <v>64623.597294884159</v>
      </c>
      <c r="S142" s="158">
        <v>67981.496738658287</v>
      </c>
      <c r="T142" s="158">
        <v>67756.304453426652</v>
      </c>
      <c r="U142" s="158">
        <v>68129.117726833982</v>
      </c>
      <c r="V142" s="158">
        <v>82579.69435328187</v>
      </c>
      <c r="W142" s="158">
        <v>86104.767290057935</v>
      </c>
      <c r="X142" s="158">
        <v>54908.009784025096</v>
      </c>
      <c r="Y142" s="158">
        <v>64694.263143098447</v>
      </c>
      <c r="Z142" s="158">
        <v>68642.409522200775</v>
      </c>
      <c r="AA142" s="158">
        <v>76101.53125241313</v>
      </c>
      <c r="AB142" s="158">
        <v>72255.067227316613</v>
      </c>
      <c r="AC142" s="158">
        <v>87091.800108590745</v>
      </c>
      <c r="AD142" s="158">
        <v>88778.279335183397</v>
      </c>
      <c r="AE142" s="158">
        <v>58176.199035955593</v>
      </c>
      <c r="AF142" s="158">
        <v>63073.101497345568</v>
      </c>
      <c r="AG142" s="158">
        <v>54951.444955357139</v>
      </c>
      <c r="AH142" s="158"/>
      <c r="AI142" s="319">
        <v>64612.293628901214</v>
      </c>
      <c r="AJ142" s="320">
        <v>0.39263580344961979</v>
      </c>
    </row>
    <row r="143" spans="1:36" x14ac:dyDescent="0.3">
      <c r="B143" s="203" t="s">
        <v>49</v>
      </c>
      <c r="C143" s="240"/>
      <c r="D143" s="158">
        <v>38972.550000000003</v>
      </c>
      <c r="E143" s="158">
        <v>39174.61</v>
      </c>
      <c r="F143" s="158">
        <v>34707.620000000003</v>
      </c>
      <c r="G143" s="158">
        <v>40887.170000000006</v>
      </c>
      <c r="H143" s="158">
        <v>44251.140000000007</v>
      </c>
      <c r="I143" s="158">
        <v>46034.819999999992</v>
      </c>
      <c r="J143" s="158">
        <v>39862.78</v>
      </c>
      <c r="K143" s="158">
        <v>41413.649999999994</v>
      </c>
      <c r="L143" s="158">
        <v>42345.120000000003</v>
      </c>
      <c r="M143" s="158">
        <v>33456.019999999997</v>
      </c>
      <c r="N143" s="158">
        <v>43313.859999999993</v>
      </c>
      <c r="O143" s="158">
        <v>43531.740000000005</v>
      </c>
      <c r="P143" s="158">
        <v>51145.510000000009</v>
      </c>
      <c r="Q143" s="158">
        <v>50218.990000000005</v>
      </c>
      <c r="R143" s="158">
        <v>46705.89</v>
      </c>
      <c r="S143" s="158">
        <v>47389.38</v>
      </c>
      <c r="T143" s="158">
        <v>38041.599999999999</v>
      </c>
      <c r="U143" s="158">
        <v>45036.49</v>
      </c>
      <c r="V143" s="158">
        <v>57478.16</v>
      </c>
      <c r="W143" s="158">
        <v>49952.299999999996</v>
      </c>
      <c r="X143" s="158">
        <v>46827.219999999994</v>
      </c>
      <c r="Y143" s="158">
        <v>53260.289999999994</v>
      </c>
      <c r="Z143" s="158">
        <v>59358.32</v>
      </c>
      <c r="AA143" s="158">
        <v>48776.539999999994</v>
      </c>
      <c r="AB143" s="158">
        <v>36573.770000000004</v>
      </c>
      <c r="AC143" s="158">
        <v>44737.770000000004</v>
      </c>
      <c r="AD143" s="158">
        <v>47850.439999999995</v>
      </c>
      <c r="AE143" s="158">
        <v>53364.35</v>
      </c>
      <c r="AF143" s="158">
        <v>57628.400000000009</v>
      </c>
      <c r="AG143" s="158">
        <v>63124.35</v>
      </c>
      <c r="AH143" s="158">
        <v>52845.420000000006</v>
      </c>
      <c r="AI143" s="319">
        <v>46395.686129032256</v>
      </c>
      <c r="AJ143" s="321"/>
    </row>
    <row r="145" spans="4:4" x14ac:dyDescent="0.3">
      <c r="D145" s="255"/>
    </row>
  </sheetData>
  <phoneticPr fontId="8" type="noConversion"/>
  <conditionalFormatting sqref="D14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4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4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31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3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31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AH137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AH13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AH137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2:AH142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2:AH14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:AH13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4:AH134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4:AH13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AH1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A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AH14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3:AH14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AH138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8:AH13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AH132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:AH13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AH132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2:AH143 D132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2:AH102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2:AH10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N102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N10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AH102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7:AH10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7:AH10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N10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N10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AH107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7:AH117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7:AH11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N117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:N11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AH11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:AH9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:AH9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N97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N9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H9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:Q87 S87:AH8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:Q87 S87:AH87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N8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:N8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Q87 S87:AH87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2:AH82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2:AH8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H82 M82:N82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2:H82 M82:N8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H82 M82:AH82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4:AH74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4:AH7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 D74 F74:I74 N74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4 D74 F74:I74 N7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 D74 F74:I74 N74:AH7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:AH6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9:AH6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N69 D69 F69:H6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9:N69 D69 F69:H6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AH69 D69 F69:H6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AH64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AH6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N64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4:N6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AH6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5:AH45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5:AH4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N4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N4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H45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0:AH40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0:AH4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N4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:N4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AH4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AH3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AH3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N35 D35 F35:I3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5:N35 D35 F35:I3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AH35 D35 F35:I3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AH3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AH3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N3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N3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H3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AH22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AH2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N2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AH2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C14 AE14:AH14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C14 AE14:AH1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N14 D14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N14 D1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AC14 D14 AE14:AH14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43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2:AH112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2:AH11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L112 N11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L112 N1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L112 N112:AH11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G13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G130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H14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N9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:N9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AH9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:AH5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9:AH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N5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9:N5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AH5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4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2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2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2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2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4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4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4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AG1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AG1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4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H1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AG1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AG12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:AH8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AH12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43 D121:AH12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U1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H1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:L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5:L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L3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L6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L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L6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2:L8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2:L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L8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:AH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:AH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'July-2022'!D22:AG22</xm:f>
              <xm:sqref>B22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'July-2022'!D124:AG124</xm:f>
              <xm:sqref>C124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'July-2022'!D128:AG128</xm:f>
              <xm:sqref>C128</xm:sqref>
            </x14:sparkline>
            <x14:sparkline>
              <xm:f>'July-2022'!D127:AG127</xm:f>
              <xm:sqref>C127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'July-2022'!D130:AG130</xm:f>
              <xm:sqref>C130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'July-2022'!D112:AG112</xm:f>
              <xm:sqref>B112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'July-2022'!D97:AG97</xm:f>
              <xm:sqref>B97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'July-2022'!D14:AG14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'July-2022'!D30:AG30</xm:f>
              <xm:sqref>B30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'July-2022'!D35:AG35</xm:f>
              <xm:sqref>B35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'July-2022'!D40:AG40</xm:f>
              <xm:sqref>B40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'July-2022'!D45:AG45</xm:f>
              <xm:sqref>B45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'July-2022'!D102:AG102</xm:f>
              <xm:sqref>B102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'July-2022'!D107:AG107</xm:f>
              <xm:sqref>B107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'July-2022'!D117:AG117</xm:f>
              <xm:sqref>B117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'July-2022'!D138:AG138</xm:f>
              <xm:sqref>C138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'July-2022'!D139:AG139</xm:f>
              <xm:sqref>C139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'July-2022'!D143:AG143</xm:f>
              <xm:sqref>C143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'July-2022'!D142:AG142</xm:f>
              <xm:sqref>C142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'July-2022'!D141:AG141</xm:f>
              <xm:sqref>C141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'July-2022'!D140:AG140</xm:f>
              <xm:sqref>C140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'July-2022'!D137:AG137</xm:f>
              <xm:sqref>C137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'July-2022'!D121:AG121</xm:f>
              <xm:sqref>C121</xm:sqref>
            </x14:sparkline>
            <x14:sparkline>
              <xm:f>'July-2022'!D122:AG122</xm:f>
              <xm:sqref>C122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'July-2022'!D87:AG87</xm:f>
              <xm:sqref>B87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'July-2022'!D82:AG82</xm:f>
              <xm:sqref>B82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'July-2022'!D123:AG123</xm:f>
              <xm:sqref>C123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'July-2022'!D69:AG69</xm:f>
              <xm:sqref>B69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'July-2022'!D64:AG64</xm:f>
              <xm:sqref>B64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'July-2022'!D59:AG59</xm:f>
              <xm:sqref>B59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'July-2022'!D92:AG92</xm:f>
              <xm:sqref>B92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'July-2022'!D136:AG136</xm:f>
              <xm:sqref>C136</xm:sqref>
            </x14:sparkline>
            <x14:sparkline>
              <xm:f>'July-2022'!D135:AG135</xm:f>
              <xm:sqref>C135</xm:sqref>
            </x14:sparkline>
            <x14:sparkline>
              <xm:f>'July-2022'!D134:AG134</xm:f>
              <xm:sqref>C134</xm:sqref>
            </x14:sparkline>
            <x14:sparkline>
              <xm:f>'July-2022'!D133:AG133</xm:f>
              <xm:sqref>C133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'July-2022'!D132:AG132</xm:f>
              <xm:sqref>C132</xm:sqref>
            </x14:sparkline>
            <x14:sparkline>
              <xm:f>'July-2022'!D131:AG131</xm:f>
              <xm:sqref>C131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'July-2022'!D129:AG129</xm:f>
              <xm:sqref>C129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'July-2022'!D126:AG126</xm:f>
              <xm:sqref>C126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'July-2022'!D125:AG125</xm:f>
              <xm:sqref>C125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1"/>
  <sheetViews>
    <sheetView tabSelected="1" zoomScale="90" zoomScaleNormal="90" workbookViewId="0">
      <pane xSplit="3" ySplit="9" topLeftCell="S51" activePane="bottomRight" state="frozen"/>
      <selection pane="topRight" activeCell="D1" sqref="D1"/>
      <selection pane="bottomLeft" activeCell="A10" sqref="A10"/>
      <selection pane="bottomRight" activeCell="X63" sqref="X63"/>
    </sheetView>
  </sheetViews>
  <sheetFormatPr defaultColWidth="8.88671875" defaultRowHeight="14.4" x14ac:dyDescent="0.3"/>
  <cols>
    <col min="1" max="1" width="8.88671875" style="239"/>
    <col min="2" max="2" width="30.44140625" style="239" bestFit="1" customWidth="1"/>
    <col min="3" max="3" width="14" style="339" customWidth="1"/>
    <col min="4" max="33" width="11.6640625" style="239" customWidth="1"/>
    <col min="34" max="34" width="11.33203125" style="239" customWidth="1"/>
    <col min="35" max="35" width="16.44140625" style="322" bestFit="1" customWidth="1"/>
    <col min="36" max="36" width="19.33203125" style="322" bestFit="1" customWidth="1"/>
    <col min="37" max="37" width="13.33203125" style="239" bestFit="1" customWidth="1"/>
    <col min="38" max="38" width="12.6640625" style="239" bestFit="1" customWidth="1"/>
    <col min="39" max="16384" width="8.88671875" style="239"/>
  </cols>
  <sheetData>
    <row r="1" spans="1:38" x14ac:dyDescent="0.3">
      <c r="A1" s="1">
        <v>21</v>
      </c>
      <c r="B1" s="203" t="s">
        <v>0</v>
      </c>
      <c r="C1" s="328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76">
        <f>+AI14+AI19+AI24+AI29+AI34+AI39+AI50+AI57+AI62+AI67+AI72+AI77+AI82+AI87+AI92+AI102+AI97</f>
        <v>3147409.6800000006</v>
      </c>
      <c r="AJ1" s="277">
        <f>+AI1/$A$1</f>
        <v>149876.65142857147</v>
      </c>
      <c r="AK1" s="324">
        <v>31</v>
      </c>
    </row>
    <row r="2" spans="1:38" x14ac:dyDescent="0.3">
      <c r="A2" s="203" t="s">
        <v>1</v>
      </c>
      <c r="B2" s="203"/>
      <c r="C2" s="328"/>
      <c r="D2" s="236" t="s">
        <v>3</v>
      </c>
      <c r="E2" s="236" t="s">
        <v>4</v>
      </c>
      <c r="F2" s="236" t="s">
        <v>5</v>
      </c>
      <c r="G2" s="236" t="s">
        <v>6</v>
      </c>
      <c r="H2" s="236" t="s">
        <v>7</v>
      </c>
      <c r="I2" s="236" t="s">
        <v>8</v>
      </c>
      <c r="J2" s="236" t="s">
        <v>2</v>
      </c>
      <c r="K2" s="236" t="s">
        <v>3</v>
      </c>
      <c r="L2" s="236" t="s">
        <v>4</v>
      </c>
      <c r="M2" s="236" t="s">
        <v>5</v>
      </c>
      <c r="N2" s="236" t="s">
        <v>6</v>
      </c>
      <c r="O2" s="236" t="s">
        <v>7</v>
      </c>
      <c r="P2" s="236" t="s">
        <v>8</v>
      </c>
      <c r="Q2" s="236" t="s">
        <v>2</v>
      </c>
      <c r="R2" s="236" t="s">
        <v>3</v>
      </c>
      <c r="S2" s="236" t="s">
        <v>4</v>
      </c>
      <c r="T2" s="236" t="s">
        <v>5</v>
      </c>
      <c r="U2" s="236" t="s">
        <v>6</v>
      </c>
      <c r="V2" s="236" t="s">
        <v>7</v>
      </c>
      <c r="W2" s="236" t="s">
        <v>8</v>
      </c>
      <c r="X2" s="236" t="s">
        <v>2</v>
      </c>
      <c r="Y2" s="236" t="s">
        <v>3</v>
      </c>
      <c r="Z2" s="236" t="s">
        <v>4</v>
      </c>
      <c r="AA2" s="236" t="s">
        <v>5</v>
      </c>
      <c r="AB2" s="236" t="s">
        <v>6</v>
      </c>
      <c r="AC2" s="236" t="s">
        <v>7</v>
      </c>
      <c r="AD2" s="236" t="s">
        <v>8</v>
      </c>
      <c r="AE2" s="236" t="s">
        <v>2</v>
      </c>
      <c r="AF2" s="236" t="s">
        <v>3</v>
      </c>
      <c r="AG2" s="236" t="s">
        <v>4</v>
      </c>
      <c r="AH2" s="236" t="s">
        <v>5</v>
      </c>
      <c r="AI2" s="278" t="s">
        <v>9</v>
      </c>
      <c r="AJ2" s="279">
        <f>+AJ1*AK1</f>
        <v>4646176.194285715</v>
      </c>
      <c r="AK2" s="251"/>
      <c r="AL2" s="251"/>
    </row>
    <row r="3" spans="1:38" ht="15" thickBot="1" x14ac:dyDescent="0.35">
      <c r="A3" s="203"/>
      <c r="B3" s="203" t="s">
        <v>10</v>
      </c>
      <c r="C3" s="328" t="s">
        <v>11</v>
      </c>
      <c r="D3" s="242">
        <v>1</v>
      </c>
      <c r="E3" s="242">
        <f>+D3+1</f>
        <v>2</v>
      </c>
      <c r="F3" s="242">
        <f t="shared" ref="F3:AG3" si="0">+E3+1</f>
        <v>3</v>
      </c>
      <c r="G3" s="242">
        <f t="shared" si="0"/>
        <v>4</v>
      </c>
      <c r="H3" s="242">
        <f t="shared" si="0"/>
        <v>5</v>
      </c>
      <c r="I3" s="242">
        <f t="shared" si="0"/>
        <v>6</v>
      </c>
      <c r="J3" s="242">
        <f t="shared" si="0"/>
        <v>7</v>
      </c>
      <c r="K3" s="242">
        <f t="shared" si="0"/>
        <v>8</v>
      </c>
      <c r="L3" s="242">
        <f t="shared" si="0"/>
        <v>9</v>
      </c>
      <c r="M3" s="242">
        <f t="shared" si="0"/>
        <v>10</v>
      </c>
      <c r="N3" s="242">
        <f t="shared" si="0"/>
        <v>11</v>
      </c>
      <c r="O3" s="242">
        <f t="shared" si="0"/>
        <v>12</v>
      </c>
      <c r="P3" s="242">
        <f t="shared" si="0"/>
        <v>13</v>
      </c>
      <c r="Q3" s="242">
        <f t="shared" si="0"/>
        <v>14</v>
      </c>
      <c r="R3" s="242">
        <f t="shared" si="0"/>
        <v>15</v>
      </c>
      <c r="S3" s="242">
        <f t="shared" si="0"/>
        <v>16</v>
      </c>
      <c r="T3" s="242">
        <f t="shared" si="0"/>
        <v>17</v>
      </c>
      <c r="U3" s="242">
        <f t="shared" si="0"/>
        <v>18</v>
      </c>
      <c r="V3" s="242">
        <f t="shared" si="0"/>
        <v>19</v>
      </c>
      <c r="W3" s="242">
        <f t="shared" si="0"/>
        <v>20</v>
      </c>
      <c r="X3" s="242">
        <f t="shared" si="0"/>
        <v>21</v>
      </c>
      <c r="Y3" s="242">
        <f t="shared" si="0"/>
        <v>22</v>
      </c>
      <c r="Z3" s="242">
        <f t="shared" si="0"/>
        <v>23</v>
      </c>
      <c r="AA3" s="242">
        <f t="shared" si="0"/>
        <v>24</v>
      </c>
      <c r="AB3" s="242">
        <f t="shared" si="0"/>
        <v>25</v>
      </c>
      <c r="AC3" s="242">
        <f t="shared" si="0"/>
        <v>26</v>
      </c>
      <c r="AD3" s="242">
        <f t="shared" si="0"/>
        <v>27</v>
      </c>
      <c r="AE3" s="242">
        <f t="shared" si="0"/>
        <v>28</v>
      </c>
      <c r="AF3" s="242">
        <f t="shared" si="0"/>
        <v>29</v>
      </c>
      <c r="AG3" s="242">
        <f t="shared" si="0"/>
        <v>30</v>
      </c>
      <c r="AH3" s="242">
        <v>31</v>
      </c>
      <c r="AI3" s="278" t="s">
        <v>12</v>
      </c>
      <c r="AJ3" s="279" t="s">
        <v>13</v>
      </c>
      <c r="AK3" s="252"/>
      <c r="AL3" s="252"/>
    </row>
    <row r="4" spans="1:38" ht="15" thickTop="1" x14ac:dyDescent="0.3">
      <c r="A4" s="203">
        <f>+A10+A15+A20+A25+A30+A35+A50+A53+A58+A63+A68+A73+A78+A83+A88+A98+A93</f>
        <v>1905</v>
      </c>
      <c r="B4" s="28" t="s">
        <v>14</v>
      </c>
      <c r="C4" s="329" t="s">
        <v>15</v>
      </c>
      <c r="D4" s="30">
        <f t="shared" ref="D4:AJ4" si="1">+D10+D15+D20+D25+D30+D35+D45+D40++D53+D58+D63+D68+D73+D78+D88+D93+D98+D83</f>
        <v>1212</v>
      </c>
      <c r="E4" s="30">
        <f t="shared" si="1"/>
        <v>1445</v>
      </c>
      <c r="F4" s="30">
        <f t="shared" si="1"/>
        <v>1496</v>
      </c>
      <c r="G4" s="30">
        <f t="shared" si="1"/>
        <v>1439</v>
      </c>
      <c r="H4" s="30">
        <f t="shared" si="1"/>
        <v>1415</v>
      </c>
      <c r="I4" s="30">
        <f t="shared" si="1"/>
        <v>1479</v>
      </c>
      <c r="J4" s="30">
        <f t="shared" si="1"/>
        <v>1018</v>
      </c>
      <c r="K4" s="30">
        <f t="shared" si="1"/>
        <v>1269</v>
      </c>
      <c r="L4" s="30">
        <f t="shared" si="1"/>
        <v>1324</v>
      </c>
      <c r="M4" s="30">
        <f t="shared" si="1"/>
        <v>1462</v>
      </c>
      <c r="N4" s="30">
        <f t="shared" si="1"/>
        <v>1305</v>
      </c>
      <c r="O4" s="30">
        <f t="shared" si="1"/>
        <v>1398</v>
      </c>
      <c r="P4" s="30">
        <f t="shared" si="1"/>
        <v>1428</v>
      </c>
      <c r="Q4" s="30">
        <f t="shared" si="1"/>
        <v>1025</v>
      </c>
      <c r="R4" s="30">
        <f t="shared" si="1"/>
        <v>1216</v>
      </c>
      <c r="S4" s="30">
        <f t="shared" si="1"/>
        <v>1362</v>
      </c>
      <c r="T4" s="30">
        <f t="shared" si="1"/>
        <v>1242</v>
      </c>
      <c r="U4" s="30">
        <f t="shared" si="1"/>
        <v>1357</v>
      </c>
      <c r="V4" s="30">
        <f t="shared" si="1"/>
        <v>1008</v>
      </c>
      <c r="W4" s="30">
        <f t="shared" si="1"/>
        <v>966</v>
      </c>
      <c r="X4" s="30">
        <f t="shared" si="1"/>
        <v>793</v>
      </c>
      <c r="Y4" s="30">
        <f t="shared" si="1"/>
        <v>0</v>
      </c>
      <c r="Z4" s="30">
        <f t="shared" si="1"/>
        <v>0</v>
      </c>
      <c r="AA4" s="30">
        <f t="shared" si="1"/>
        <v>0</v>
      </c>
      <c r="AB4" s="30">
        <f t="shared" si="1"/>
        <v>0</v>
      </c>
      <c r="AC4" s="30">
        <f t="shared" si="1"/>
        <v>0</v>
      </c>
      <c r="AD4" s="30">
        <f t="shared" si="1"/>
        <v>0</v>
      </c>
      <c r="AE4" s="30">
        <f t="shared" si="1"/>
        <v>0</v>
      </c>
      <c r="AF4" s="30">
        <f t="shared" si="1"/>
        <v>0</v>
      </c>
      <c r="AG4" s="30">
        <f t="shared" si="1"/>
        <v>0</v>
      </c>
      <c r="AH4" s="30">
        <f t="shared" si="1"/>
        <v>0</v>
      </c>
      <c r="AI4" s="30">
        <f t="shared" si="1"/>
        <v>26659</v>
      </c>
      <c r="AJ4" s="30">
        <f t="shared" si="1"/>
        <v>39353.761904761908</v>
      </c>
      <c r="AK4" s="252"/>
      <c r="AL4" s="252"/>
    </row>
    <row r="5" spans="1:38" x14ac:dyDescent="0.3">
      <c r="A5" s="203"/>
      <c r="B5" s="33"/>
      <c r="C5" s="330" t="s">
        <v>16</v>
      </c>
      <c r="D5" s="35">
        <f t="shared" ref="D5:AH5" si="2">+D4/$A$4</f>
        <v>0.63622047244094493</v>
      </c>
      <c r="E5" s="35">
        <f t="shared" si="2"/>
        <v>0.75853018372703407</v>
      </c>
      <c r="F5" s="35">
        <f t="shared" si="2"/>
        <v>0.7853018372703412</v>
      </c>
      <c r="G5" s="35">
        <f t="shared" si="2"/>
        <v>0.7553805774278215</v>
      </c>
      <c r="H5" s="35">
        <f t="shared" si="2"/>
        <v>0.7427821522309711</v>
      </c>
      <c r="I5" s="35">
        <f t="shared" si="2"/>
        <v>0.77637795275590549</v>
      </c>
      <c r="J5" s="35">
        <f t="shared" si="2"/>
        <v>0.53438320209973755</v>
      </c>
      <c r="K5" s="35">
        <f t="shared" si="2"/>
        <v>0.66614173228346452</v>
      </c>
      <c r="L5" s="35">
        <f t="shared" si="2"/>
        <v>0.6950131233595801</v>
      </c>
      <c r="M5" s="35">
        <f t="shared" si="2"/>
        <v>0.76745406824146978</v>
      </c>
      <c r="N5" s="35">
        <f t="shared" si="2"/>
        <v>0.68503937007874016</v>
      </c>
      <c r="O5" s="35">
        <f t="shared" si="2"/>
        <v>0.7338582677165354</v>
      </c>
      <c r="P5" s="35">
        <f t="shared" si="2"/>
        <v>0.74960629921259847</v>
      </c>
      <c r="Q5" s="35">
        <f t="shared" si="2"/>
        <v>0.53805774278215224</v>
      </c>
      <c r="R5" s="35">
        <f t="shared" si="2"/>
        <v>0.63832020997375327</v>
      </c>
      <c r="S5" s="35">
        <f t="shared" si="2"/>
        <v>0.71496062992125986</v>
      </c>
      <c r="T5" s="35">
        <f t="shared" si="2"/>
        <v>0.65196850393700789</v>
      </c>
      <c r="U5" s="35">
        <f t="shared" si="2"/>
        <v>0.71233595800524929</v>
      </c>
      <c r="V5" s="35">
        <f t="shared" si="2"/>
        <v>0.52913385826771653</v>
      </c>
      <c r="W5" s="35">
        <f t="shared" si="2"/>
        <v>0.50708661417322831</v>
      </c>
      <c r="X5" s="35">
        <f t="shared" si="2"/>
        <v>0.4162729658792651</v>
      </c>
      <c r="Y5" s="35">
        <f t="shared" si="2"/>
        <v>0</v>
      </c>
      <c r="Z5" s="35">
        <f t="shared" si="2"/>
        <v>0</v>
      </c>
      <c r="AA5" s="35">
        <f t="shared" si="2"/>
        <v>0</v>
      </c>
      <c r="AB5" s="35">
        <f t="shared" si="2"/>
        <v>0</v>
      </c>
      <c r="AC5" s="35">
        <f t="shared" si="2"/>
        <v>0</v>
      </c>
      <c r="AD5" s="35">
        <f t="shared" si="2"/>
        <v>0</v>
      </c>
      <c r="AE5" s="35">
        <f t="shared" si="2"/>
        <v>0</v>
      </c>
      <c r="AF5" s="35">
        <f t="shared" si="2"/>
        <v>0</v>
      </c>
      <c r="AG5" s="35">
        <f t="shared" si="2"/>
        <v>0</v>
      </c>
      <c r="AH5" s="35">
        <f t="shared" si="2"/>
        <v>0</v>
      </c>
      <c r="AI5" s="281">
        <f>AI4/(A4*A$1)</f>
        <v>0.66639170103737033</v>
      </c>
      <c r="AJ5" s="282">
        <f>+AJ4/(A4*AK1)</f>
        <v>0.66639170103737033</v>
      </c>
      <c r="AK5" s="252"/>
    </row>
    <row r="6" spans="1:38" x14ac:dyDescent="0.3">
      <c r="A6" s="203"/>
      <c r="B6" s="33"/>
      <c r="C6" s="330" t="s">
        <v>17</v>
      </c>
      <c r="D6" s="37">
        <f t="shared" ref="D6:AH6" si="3">+IFERROR(D8/D4,0)</f>
        <v>115.65502475247526</v>
      </c>
      <c r="E6" s="37">
        <f t="shared" si="3"/>
        <v>113.72761937716263</v>
      </c>
      <c r="F6" s="37">
        <f t="shared" si="3"/>
        <v>123.33824197860963</v>
      </c>
      <c r="G6" s="37">
        <f t="shared" si="3"/>
        <v>119.34463516330784</v>
      </c>
      <c r="H6" s="37">
        <f t="shared" si="3"/>
        <v>127.56963957597173</v>
      </c>
      <c r="I6" s="37">
        <f t="shared" si="3"/>
        <v>115.61730223123736</v>
      </c>
      <c r="J6" s="37">
        <f t="shared" si="3"/>
        <v>116.12684675834971</v>
      </c>
      <c r="K6" s="37">
        <f t="shared" si="3"/>
        <v>126.73421591804571</v>
      </c>
      <c r="L6" s="37">
        <f t="shared" si="3"/>
        <v>122.09747734138972</v>
      </c>
      <c r="M6" s="37">
        <f t="shared" si="3"/>
        <v>122.90687414500684</v>
      </c>
      <c r="N6" s="37">
        <f t="shared" si="3"/>
        <v>114.10056704980842</v>
      </c>
      <c r="O6" s="37">
        <f t="shared" si="3"/>
        <v>117.59896280400572</v>
      </c>
      <c r="P6" s="37">
        <f t="shared" si="3"/>
        <v>114.1195168067227</v>
      </c>
      <c r="Q6" s="37">
        <f t="shared" si="3"/>
        <v>106.9135512195122</v>
      </c>
      <c r="R6" s="37">
        <f t="shared" si="3"/>
        <v>118.01427631578946</v>
      </c>
      <c r="S6" s="37">
        <f t="shared" si="3"/>
        <v>125.8784067547724</v>
      </c>
      <c r="T6" s="37">
        <f t="shared" si="3"/>
        <v>135.81987922705315</v>
      </c>
      <c r="U6" s="37">
        <f>+IFERROR(U8/U4,0)</f>
        <v>124.46770817980841</v>
      </c>
      <c r="V6" s="37">
        <f t="shared" si="3"/>
        <v>114.64463293650793</v>
      </c>
      <c r="W6" s="37">
        <f t="shared" si="3"/>
        <v>114.75933747412007</v>
      </c>
      <c r="X6" s="37">
        <f t="shared" si="3"/>
        <v>111.60210592686002</v>
      </c>
      <c r="Y6" s="37">
        <f t="shared" si="3"/>
        <v>0</v>
      </c>
      <c r="Z6" s="37">
        <f t="shared" si="3"/>
        <v>0</v>
      </c>
      <c r="AA6" s="37">
        <f t="shared" si="3"/>
        <v>0</v>
      </c>
      <c r="AB6" s="37">
        <f t="shared" si="3"/>
        <v>0</v>
      </c>
      <c r="AC6" s="37">
        <f t="shared" si="3"/>
        <v>0</v>
      </c>
      <c r="AD6" s="37">
        <f t="shared" si="3"/>
        <v>0</v>
      </c>
      <c r="AE6" s="37">
        <f t="shared" si="3"/>
        <v>0</v>
      </c>
      <c r="AF6" s="37">
        <f t="shared" si="3"/>
        <v>0</v>
      </c>
      <c r="AG6" s="37">
        <f t="shared" si="3"/>
        <v>0</v>
      </c>
      <c r="AH6" s="37">
        <f t="shared" si="3"/>
        <v>0</v>
      </c>
      <c r="AI6" s="283">
        <f>AI8/AI4</f>
        <v>119.50846543381223</v>
      </c>
      <c r="AJ6" s="279">
        <f>+AJ8/AJ4</f>
        <v>119.50847518661614</v>
      </c>
    </row>
    <row r="7" spans="1:38" x14ac:dyDescent="0.3">
      <c r="A7" s="203"/>
      <c r="B7" s="33"/>
      <c r="C7" s="330" t="s">
        <v>18</v>
      </c>
      <c r="D7" s="37">
        <f t="shared" ref="D7:AH7" si="4">+IFERROR(D6*D5,0)</f>
        <v>73.582094488188986</v>
      </c>
      <c r="E7" s="37">
        <f t="shared" si="4"/>
        <v>86.265832020997365</v>
      </c>
      <c r="F7" s="37">
        <f t="shared" si="4"/>
        <v>96.857748031496072</v>
      </c>
      <c r="G7" s="37">
        <f t="shared" si="4"/>
        <v>90.150619422572163</v>
      </c>
      <c r="H7" s="37">
        <f t="shared" si="4"/>
        <v>94.75645144356956</v>
      </c>
      <c r="I7" s="37">
        <f t="shared" si="4"/>
        <v>89.76272440944885</v>
      </c>
      <c r="J7" s="37">
        <f t="shared" si="4"/>
        <v>62.056236220472449</v>
      </c>
      <c r="K7" s="37">
        <f t="shared" si="4"/>
        <v>84.422950131233591</v>
      </c>
      <c r="L7" s="37">
        <f t="shared" si="4"/>
        <v>84.859349081364826</v>
      </c>
      <c r="M7" s="37">
        <f t="shared" si="4"/>
        <v>94.325380577427822</v>
      </c>
      <c r="N7" s="37">
        <f t="shared" si="4"/>
        <v>78.163380577427816</v>
      </c>
      <c r="O7" s="37">
        <f t="shared" si="4"/>
        <v>86.300971128608921</v>
      </c>
      <c r="P7" s="37">
        <f t="shared" si="4"/>
        <v>85.544708661417332</v>
      </c>
      <c r="Q7" s="37">
        <f t="shared" si="4"/>
        <v>57.525664041994752</v>
      </c>
      <c r="R7" s="37">
        <f t="shared" si="4"/>
        <v>75.33089763779526</v>
      </c>
      <c r="S7" s="37">
        <f t="shared" si="4"/>
        <v>89.998104986876641</v>
      </c>
      <c r="T7" s="37">
        <f t="shared" si="4"/>
        <v>88.550283464566931</v>
      </c>
      <c r="U7" s="37">
        <f t="shared" si="4"/>
        <v>88.662824146981634</v>
      </c>
      <c r="V7" s="37">
        <f t="shared" si="4"/>
        <v>60.662356955380574</v>
      </c>
      <c r="W7" s="37">
        <f t="shared" si="4"/>
        <v>58.192923884514428</v>
      </c>
      <c r="X7" s="37">
        <f t="shared" si="4"/>
        <v>46.456939632545932</v>
      </c>
      <c r="Y7" s="37">
        <f t="shared" si="4"/>
        <v>0</v>
      </c>
      <c r="Z7" s="37">
        <f t="shared" si="4"/>
        <v>0</v>
      </c>
      <c r="AA7" s="37">
        <f t="shared" si="4"/>
        <v>0</v>
      </c>
      <c r="AB7" s="37">
        <f t="shared" si="4"/>
        <v>0</v>
      </c>
      <c r="AC7" s="37">
        <f t="shared" si="4"/>
        <v>0</v>
      </c>
      <c r="AD7" s="37">
        <f t="shared" si="4"/>
        <v>0</v>
      </c>
      <c r="AE7" s="37">
        <f t="shared" si="4"/>
        <v>0</v>
      </c>
      <c r="AF7" s="37">
        <f t="shared" si="4"/>
        <v>0</v>
      </c>
      <c r="AG7" s="37">
        <f t="shared" si="4"/>
        <v>0</v>
      </c>
      <c r="AH7" s="37">
        <f t="shared" si="4"/>
        <v>0</v>
      </c>
      <c r="AI7" s="283">
        <f>AI6*AI5</f>
        <v>79.639449568803911</v>
      </c>
      <c r="AJ7" s="279">
        <f>+AJ5*AJ6</f>
        <v>79.639456067991489</v>
      </c>
    </row>
    <row r="8" spans="1:38" x14ac:dyDescent="0.3">
      <c r="A8" s="203"/>
      <c r="B8" s="33"/>
      <c r="C8" s="330" t="s">
        <v>19</v>
      </c>
      <c r="D8" s="158">
        <f t="shared" ref="D8:AJ8" si="5">+D19+D29+D34+D39+D24+D52+D57+D62+D67+D72+D77+D82+D87+D92+D97+D102+D14</f>
        <v>140173.89000000001</v>
      </c>
      <c r="E8" s="158">
        <f t="shared" si="5"/>
        <v>164336.41</v>
      </c>
      <c r="F8" s="158">
        <f t="shared" si="5"/>
        <v>184514.01</v>
      </c>
      <c r="G8" s="158">
        <f t="shared" si="5"/>
        <v>171736.93</v>
      </c>
      <c r="H8" s="158">
        <f t="shared" si="5"/>
        <v>180511.04</v>
      </c>
      <c r="I8" s="158">
        <f t="shared" si="5"/>
        <v>170997.99000000005</v>
      </c>
      <c r="J8" s="158">
        <f t="shared" si="5"/>
        <v>118217.13</v>
      </c>
      <c r="K8" s="158">
        <f t="shared" si="5"/>
        <v>160825.72</v>
      </c>
      <c r="L8" s="158">
        <f t="shared" si="5"/>
        <v>161657.06</v>
      </c>
      <c r="M8" s="158">
        <f t="shared" si="5"/>
        <v>179689.85</v>
      </c>
      <c r="N8" s="158">
        <f t="shared" si="5"/>
        <v>148901.24</v>
      </c>
      <c r="O8" s="158">
        <f t="shared" si="5"/>
        <v>164403.35</v>
      </c>
      <c r="P8" s="158">
        <f t="shared" si="5"/>
        <v>162962.67000000001</v>
      </c>
      <c r="Q8" s="158">
        <f t="shared" si="5"/>
        <v>109586.39</v>
      </c>
      <c r="R8" s="158">
        <f t="shared" si="5"/>
        <v>143505.35999999999</v>
      </c>
      <c r="S8" s="158">
        <f t="shared" si="5"/>
        <v>171446.39</v>
      </c>
      <c r="T8" s="158">
        <f t="shared" si="5"/>
        <v>168688.29</v>
      </c>
      <c r="U8" s="158">
        <f t="shared" si="5"/>
        <v>168902.68000000002</v>
      </c>
      <c r="V8" s="158">
        <f t="shared" si="5"/>
        <v>115561.79</v>
      </c>
      <c r="W8" s="158">
        <f t="shared" si="5"/>
        <v>110857.51999999999</v>
      </c>
      <c r="X8" s="158">
        <f t="shared" si="5"/>
        <v>88500.47</v>
      </c>
      <c r="Y8" s="158">
        <f t="shared" si="5"/>
        <v>0</v>
      </c>
      <c r="Z8" s="158">
        <f t="shared" si="5"/>
        <v>0</v>
      </c>
      <c r="AA8" s="158">
        <f t="shared" si="5"/>
        <v>0</v>
      </c>
      <c r="AB8" s="158">
        <f t="shared" si="5"/>
        <v>0</v>
      </c>
      <c r="AC8" s="158">
        <f t="shared" si="5"/>
        <v>0</v>
      </c>
      <c r="AD8" s="158">
        <f t="shared" si="5"/>
        <v>0</v>
      </c>
      <c r="AE8" s="158">
        <f t="shared" si="5"/>
        <v>0</v>
      </c>
      <c r="AF8" s="158">
        <f t="shared" si="5"/>
        <v>0</v>
      </c>
      <c r="AG8" s="158">
        <f t="shared" si="5"/>
        <v>0</v>
      </c>
      <c r="AH8" s="158">
        <f t="shared" si="5"/>
        <v>0</v>
      </c>
      <c r="AI8" s="158">
        <f t="shared" si="5"/>
        <v>3185976.18</v>
      </c>
      <c r="AJ8" s="158">
        <f t="shared" si="5"/>
        <v>4703108.0780952377</v>
      </c>
      <c r="AK8" s="251"/>
    </row>
    <row r="9" spans="1:38" ht="15" thickBot="1" x14ac:dyDescent="0.35">
      <c r="A9" s="237"/>
      <c r="B9" s="48"/>
      <c r="C9" s="33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286"/>
      <c r="AJ9" s="287"/>
    </row>
    <row r="10" spans="1:38" ht="15" thickTop="1" x14ac:dyDescent="0.3">
      <c r="A10" s="203">
        <v>103</v>
      </c>
      <c r="B10" s="159" t="s">
        <v>21</v>
      </c>
      <c r="C10" s="332" t="s">
        <v>15</v>
      </c>
      <c r="D10" s="161">
        <v>77</v>
      </c>
      <c r="E10" s="161">
        <v>81</v>
      </c>
      <c r="F10" s="161">
        <v>97</v>
      </c>
      <c r="G10" s="161">
        <v>91</v>
      </c>
      <c r="H10" s="161">
        <v>102</v>
      </c>
      <c r="I10" s="161">
        <v>98</v>
      </c>
      <c r="J10" s="161">
        <v>79</v>
      </c>
      <c r="K10" s="161">
        <v>93</v>
      </c>
      <c r="L10" s="161">
        <v>89</v>
      </c>
      <c r="M10" s="161">
        <v>103</v>
      </c>
      <c r="N10" s="161">
        <v>99</v>
      </c>
      <c r="O10" s="161">
        <v>98</v>
      </c>
      <c r="P10" s="161">
        <v>97</v>
      </c>
      <c r="Q10" s="161">
        <v>91</v>
      </c>
      <c r="R10" s="161">
        <v>99</v>
      </c>
      <c r="S10" s="161">
        <v>101</v>
      </c>
      <c r="T10" s="161">
        <v>94</v>
      </c>
      <c r="U10" s="161">
        <v>79</v>
      </c>
      <c r="V10" s="161">
        <v>62</v>
      </c>
      <c r="W10" s="161"/>
      <c r="X10" s="161">
        <v>74</v>
      </c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288">
        <f>SUM(D10:AH10)</f>
        <v>1804</v>
      </c>
      <c r="AJ10" s="289">
        <f>+$AI10/$A$1*$AK$1</f>
        <v>2663.0476190476188</v>
      </c>
    </row>
    <row r="11" spans="1:38" x14ac:dyDescent="0.3">
      <c r="A11" s="203"/>
      <c r="B11" s="162"/>
      <c r="C11" s="333" t="s">
        <v>16</v>
      </c>
      <c r="D11" s="164">
        <f>+D10/$A10</f>
        <v>0.74757281553398058</v>
      </c>
      <c r="E11" s="164">
        <f t="shared" ref="E11:AH11" si="6">+E10/$A10</f>
        <v>0.78640776699029125</v>
      </c>
      <c r="F11" s="164">
        <f t="shared" si="6"/>
        <v>0.94174757281553401</v>
      </c>
      <c r="G11" s="164">
        <f t="shared" si="6"/>
        <v>0.88349514563106801</v>
      </c>
      <c r="H11" s="164">
        <f t="shared" si="6"/>
        <v>0.99029126213592233</v>
      </c>
      <c r="I11" s="164">
        <f t="shared" si="6"/>
        <v>0.95145631067961167</v>
      </c>
      <c r="J11" s="164">
        <f t="shared" si="6"/>
        <v>0.76699029126213591</v>
      </c>
      <c r="K11" s="164">
        <f t="shared" si="6"/>
        <v>0.90291262135922334</v>
      </c>
      <c r="L11" s="164">
        <f t="shared" si="6"/>
        <v>0.86407766990291257</v>
      </c>
      <c r="M11" s="164">
        <f t="shared" si="6"/>
        <v>1</v>
      </c>
      <c r="N11" s="164">
        <f t="shared" si="6"/>
        <v>0.96116504854368934</v>
      </c>
      <c r="O11" s="164">
        <f t="shared" si="6"/>
        <v>0.95145631067961167</v>
      </c>
      <c r="P11" s="164">
        <f t="shared" si="6"/>
        <v>0.94174757281553401</v>
      </c>
      <c r="Q11" s="164">
        <f t="shared" si="6"/>
        <v>0.88349514563106801</v>
      </c>
      <c r="R11" s="164">
        <f t="shared" si="6"/>
        <v>0.96116504854368934</v>
      </c>
      <c r="S11" s="164">
        <f t="shared" si="6"/>
        <v>0.98058252427184467</v>
      </c>
      <c r="T11" s="164">
        <f t="shared" si="6"/>
        <v>0.91262135922330101</v>
      </c>
      <c r="U11" s="164">
        <f t="shared" si="6"/>
        <v>0.76699029126213591</v>
      </c>
      <c r="V11" s="164">
        <f t="shared" si="6"/>
        <v>0.60194174757281549</v>
      </c>
      <c r="W11" s="164">
        <f t="shared" si="6"/>
        <v>0</v>
      </c>
      <c r="X11" s="164">
        <f t="shared" si="6"/>
        <v>0.71844660194174759</v>
      </c>
      <c r="Y11" s="164">
        <f t="shared" si="6"/>
        <v>0</v>
      </c>
      <c r="Z11" s="164">
        <f t="shared" si="6"/>
        <v>0</v>
      </c>
      <c r="AA11" s="164">
        <f t="shared" si="6"/>
        <v>0</v>
      </c>
      <c r="AB11" s="164">
        <f t="shared" si="6"/>
        <v>0</v>
      </c>
      <c r="AC11" s="164">
        <f t="shared" si="6"/>
        <v>0</v>
      </c>
      <c r="AD11" s="164">
        <f t="shared" si="6"/>
        <v>0</v>
      </c>
      <c r="AE11" s="164">
        <f t="shared" si="6"/>
        <v>0</v>
      </c>
      <c r="AF11" s="164">
        <f t="shared" si="6"/>
        <v>0</v>
      </c>
      <c r="AG11" s="164">
        <f t="shared" si="6"/>
        <v>0</v>
      </c>
      <c r="AH11" s="164">
        <f t="shared" si="6"/>
        <v>0</v>
      </c>
      <c r="AI11" s="290">
        <f>+AI10/(A10*A$1)</f>
        <v>0.83402681460933892</v>
      </c>
      <c r="AJ11" s="291">
        <f>AJ10/($A10*AK1)</f>
        <v>0.83402681460933881</v>
      </c>
    </row>
    <row r="12" spans="1:38" x14ac:dyDescent="0.3">
      <c r="A12" s="203"/>
      <c r="B12" s="162"/>
      <c r="C12" s="333" t="s">
        <v>17</v>
      </c>
      <c r="D12" s="165">
        <f t="shared" ref="D12:AH12" si="7">+IFERROR(D14/D10,0)</f>
        <v>126.55844155844156</v>
      </c>
      <c r="E12" s="165">
        <f t="shared" si="7"/>
        <v>129.88888888888889</v>
      </c>
      <c r="F12" s="165">
        <f t="shared" si="7"/>
        <v>127.73144329896908</v>
      </c>
      <c r="G12" s="165">
        <f t="shared" si="7"/>
        <v>136.19120879120879</v>
      </c>
      <c r="H12" s="165">
        <f t="shared" si="7"/>
        <v>119.87039215686275</v>
      </c>
      <c r="I12" s="165">
        <f t="shared" si="7"/>
        <v>116.56836734693879</v>
      </c>
      <c r="J12" s="165">
        <f t="shared" si="7"/>
        <v>116.19354430379748</v>
      </c>
      <c r="K12" s="165">
        <f t="shared" si="7"/>
        <v>128.13978494623655</v>
      </c>
      <c r="L12" s="165">
        <f t="shared" si="7"/>
        <v>126.44955056179775</v>
      </c>
      <c r="M12" s="165">
        <f t="shared" si="7"/>
        <v>133.52281553398058</v>
      </c>
      <c r="N12" s="165">
        <f t="shared" si="7"/>
        <v>132.73646464646464</v>
      </c>
      <c r="O12" s="165">
        <f t="shared" si="7"/>
        <v>123.54408163265306</v>
      </c>
      <c r="P12" s="165">
        <f t="shared" si="7"/>
        <v>122.83783505154639</v>
      </c>
      <c r="Q12" s="165">
        <f t="shared" si="7"/>
        <v>119.77714285714285</v>
      </c>
      <c r="R12" s="165">
        <f t="shared" si="7"/>
        <v>127.72030303030303</v>
      </c>
      <c r="S12" s="165">
        <f t="shared" si="7"/>
        <v>126.3780198019802</v>
      </c>
      <c r="T12" s="165">
        <f t="shared" si="7"/>
        <v>125.24659574468086</v>
      </c>
      <c r="U12" s="165">
        <f t="shared" si="7"/>
        <v>123.35037974683544</v>
      </c>
      <c r="V12" s="165">
        <f t="shared" si="7"/>
        <v>114.64838709677419</v>
      </c>
      <c r="W12" s="165">
        <f t="shared" si="7"/>
        <v>0</v>
      </c>
      <c r="X12" s="165">
        <f t="shared" si="7"/>
        <v>117.08864864864864</v>
      </c>
      <c r="Y12" s="165">
        <f t="shared" si="7"/>
        <v>0</v>
      </c>
      <c r="Z12" s="165">
        <f t="shared" si="7"/>
        <v>0</v>
      </c>
      <c r="AA12" s="165">
        <f t="shared" si="7"/>
        <v>0</v>
      </c>
      <c r="AB12" s="165">
        <f t="shared" si="7"/>
        <v>0</v>
      </c>
      <c r="AC12" s="165">
        <f t="shared" si="7"/>
        <v>0</v>
      </c>
      <c r="AD12" s="165">
        <f t="shared" si="7"/>
        <v>0</v>
      </c>
      <c r="AE12" s="165">
        <f t="shared" si="7"/>
        <v>0</v>
      </c>
      <c r="AF12" s="165">
        <f t="shared" si="7"/>
        <v>0</v>
      </c>
      <c r="AG12" s="165">
        <f t="shared" si="7"/>
        <v>0</v>
      </c>
      <c r="AH12" s="165">
        <f t="shared" si="7"/>
        <v>0</v>
      </c>
      <c r="AI12" s="292">
        <f>+IFERROR(AI14/AI10,0)</f>
        <v>125.03620288248335</v>
      </c>
      <c r="AJ12" s="293">
        <f>+AJ14/AJ10</f>
        <v>125.03620288248337</v>
      </c>
    </row>
    <row r="13" spans="1:38" x14ac:dyDescent="0.3">
      <c r="A13" s="203"/>
      <c r="B13" s="162"/>
      <c r="C13" s="333" t="s">
        <v>18</v>
      </c>
      <c r="D13" s="165">
        <f>+D11*D12</f>
        <v>94.611650485436897</v>
      </c>
      <c r="E13" s="165">
        <f t="shared" ref="E13:AH13" si="8">+E11*E12</f>
        <v>102.14563106796116</v>
      </c>
      <c r="F13" s="165">
        <f t="shared" si="8"/>
        <v>120.29077669902914</v>
      </c>
      <c r="G13" s="165">
        <f t="shared" si="8"/>
        <v>120.3242718446602</v>
      </c>
      <c r="H13" s="165">
        <f t="shared" si="8"/>
        <v>118.70660194174758</v>
      </c>
      <c r="I13" s="165">
        <f t="shared" si="8"/>
        <v>110.90970873786409</v>
      </c>
      <c r="J13" s="165">
        <f t="shared" si="8"/>
        <v>89.119320388349522</v>
      </c>
      <c r="K13" s="165">
        <f t="shared" si="8"/>
        <v>115.69902912621359</v>
      </c>
      <c r="L13" s="165">
        <f t="shared" si="8"/>
        <v>109.26223300970872</v>
      </c>
      <c r="M13" s="165">
        <f t="shared" si="8"/>
        <v>133.52281553398058</v>
      </c>
      <c r="N13" s="165">
        <f t="shared" si="8"/>
        <v>127.5816504854369</v>
      </c>
      <c r="O13" s="165">
        <f t="shared" si="8"/>
        <v>117.54679611650485</v>
      </c>
      <c r="P13" s="165">
        <f t="shared" si="8"/>
        <v>115.68223300970874</v>
      </c>
      <c r="Q13" s="165">
        <f t="shared" si="8"/>
        <v>105.82252427184466</v>
      </c>
      <c r="R13" s="165">
        <f t="shared" si="8"/>
        <v>122.76029126213592</v>
      </c>
      <c r="S13" s="165">
        <f t="shared" si="8"/>
        <v>123.92407766990291</v>
      </c>
      <c r="T13" s="165">
        <f t="shared" si="8"/>
        <v>114.30271844660196</v>
      </c>
      <c r="U13" s="165">
        <f t="shared" si="8"/>
        <v>94.608543689320385</v>
      </c>
      <c r="V13" s="165">
        <f t="shared" si="8"/>
        <v>69.011650485436888</v>
      </c>
      <c r="W13" s="165">
        <f t="shared" si="8"/>
        <v>0</v>
      </c>
      <c r="X13" s="165">
        <f t="shared" si="8"/>
        <v>84.121941747572819</v>
      </c>
      <c r="Y13" s="165">
        <f t="shared" si="8"/>
        <v>0</v>
      </c>
      <c r="Z13" s="165">
        <f t="shared" si="8"/>
        <v>0</v>
      </c>
      <c r="AA13" s="165">
        <f t="shared" si="8"/>
        <v>0</v>
      </c>
      <c r="AB13" s="165">
        <f t="shared" si="8"/>
        <v>0</v>
      </c>
      <c r="AC13" s="165">
        <f t="shared" si="8"/>
        <v>0</v>
      </c>
      <c r="AD13" s="165">
        <f t="shared" si="8"/>
        <v>0</v>
      </c>
      <c r="AE13" s="165">
        <f t="shared" si="8"/>
        <v>0</v>
      </c>
      <c r="AF13" s="165">
        <f t="shared" si="8"/>
        <v>0</v>
      </c>
      <c r="AG13" s="165">
        <f t="shared" si="8"/>
        <v>0</v>
      </c>
      <c r="AH13" s="165">
        <f t="shared" si="8"/>
        <v>0</v>
      </c>
      <c r="AI13" s="292">
        <f>+AI12*AI11</f>
        <v>104.28354600092463</v>
      </c>
      <c r="AJ13" s="293">
        <f>+AJ11*AJ12</f>
        <v>104.28354600092463</v>
      </c>
    </row>
    <row r="14" spans="1:38" ht="15" thickBot="1" x14ac:dyDescent="0.35">
      <c r="A14" s="203"/>
      <c r="B14" s="162"/>
      <c r="C14" s="333" t="s">
        <v>19</v>
      </c>
      <c r="D14" s="166">
        <v>9745</v>
      </c>
      <c r="E14" s="166">
        <v>10521</v>
      </c>
      <c r="F14" s="166">
        <v>12389.95</v>
      </c>
      <c r="G14" s="166">
        <v>12393.4</v>
      </c>
      <c r="H14" s="166">
        <v>12226.78</v>
      </c>
      <c r="I14" s="166">
        <v>11423.7</v>
      </c>
      <c r="J14" s="166">
        <v>9179.2900000000009</v>
      </c>
      <c r="K14" s="166">
        <v>11917</v>
      </c>
      <c r="L14" s="166">
        <v>11254.01</v>
      </c>
      <c r="M14" s="166">
        <v>13752.85</v>
      </c>
      <c r="N14" s="166">
        <v>13140.91</v>
      </c>
      <c r="O14" s="166">
        <v>12107.32</v>
      </c>
      <c r="P14" s="166">
        <v>11915.27</v>
      </c>
      <c r="Q14" s="166">
        <v>10899.72</v>
      </c>
      <c r="R14" s="166">
        <v>12644.31</v>
      </c>
      <c r="S14" s="166">
        <v>12764.18</v>
      </c>
      <c r="T14" s="166">
        <v>11773.18</v>
      </c>
      <c r="U14" s="166">
        <v>9744.68</v>
      </c>
      <c r="V14" s="166">
        <v>7108.2</v>
      </c>
      <c r="W14" s="166"/>
      <c r="X14" s="166">
        <v>8664.56</v>
      </c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294">
        <f>SUM(D14:AH14)</f>
        <v>225565.30999999997</v>
      </c>
      <c r="AJ14" s="295">
        <f>+AI14/A1*AK1</f>
        <v>332977.36238095234</v>
      </c>
    </row>
    <row r="15" spans="1:38" ht="15" thickTop="1" x14ac:dyDescent="0.3">
      <c r="A15" s="203">
        <v>118</v>
      </c>
      <c r="B15" s="28" t="s">
        <v>25</v>
      </c>
      <c r="C15" s="329" t="s">
        <v>15</v>
      </c>
      <c r="D15" s="30">
        <v>81</v>
      </c>
      <c r="E15" s="30">
        <v>84</v>
      </c>
      <c r="F15" s="30">
        <v>83</v>
      </c>
      <c r="G15" s="30">
        <v>99</v>
      </c>
      <c r="H15" s="30">
        <v>105</v>
      </c>
      <c r="I15" s="30">
        <v>110</v>
      </c>
      <c r="J15" s="30">
        <v>93</v>
      </c>
      <c r="K15" s="30">
        <v>99</v>
      </c>
      <c r="L15" s="30">
        <v>100</v>
      </c>
      <c r="M15" s="30">
        <v>116</v>
      </c>
      <c r="N15" s="30">
        <v>82</v>
      </c>
      <c r="O15" s="30">
        <v>90</v>
      </c>
      <c r="P15" s="30">
        <v>96</v>
      </c>
      <c r="Q15" s="30">
        <v>94</v>
      </c>
      <c r="R15" s="30">
        <v>107</v>
      </c>
      <c r="S15" s="30">
        <v>110</v>
      </c>
      <c r="T15" s="30">
        <v>107</v>
      </c>
      <c r="U15" s="30">
        <v>99</v>
      </c>
      <c r="V15" s="30">
        <v>103</v>
      </c>
      <c r="W15" s="30">
        <v>107</v>
      </c>
      <c r="X15" s="30">
        <v>73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299">
        <f>SUM(D15:AH15)</f>
        <v>2038</v>
      </c>
      <c r="AJ15" s="285">
        <f>+$AI15/$A$1*$AK$1</f>
        <v>3008.4761904761904</v>
      </c>
    </row>
    <row r="16" spans="1:38" x14ac:dyDescent="0.3">
      <c r="A16" s="203"/>
      <c r="B16" s="33"/>
      <c r="C16" s="330" t="s">
        <v>16</v>
      </c>
      <c r="D16" s="35">
        <f>+D15/$A15</f>
        <v>0.68644067796610164</v>
      </c>
      <c r="E16" s="35">
        <f t="shared" ref="E16:AF16" si="9">+E15/$A15</f>
        <v>0.71186440677966101</v>
      </c>
      <c r="F16" s="35">
        <f t="shared" si="9"/>
        <v>0.70338983050847459</v>
      </c>
      <c r="G16" s="35">
        <f t="shared" si="9"/>
        <v>0.83898305084745761</v>
      </c>
      <c r="H16" s="35">
        <f t="shared" si="9"/>
        <v>0.88983050847457623</v>
      </c>
      <c r="I16" s="35">
        <f t="shared" si="9"/>
        <v>0.93220338983050843</v>
      </c>
      <c r="J16" s="35">
        <f t="shared" si="9"/>
        <v>0.78813559322033899</v>
      </c>
      <c r="K16" s="35">
        <f t="shared" si="9"/>
        <v>0.83898305084745761</v>
      </c>
      <c r="L16" s="35">
        <f t="shared" si="9"/>
        <v>0.84745762711864403</v>
      </c>
      <c r="M16" s="35">
        <f t="shared" si="9"/>
        <v>0.98305084745762716</v>
      </c>
      <c r="N16" s="35">
        <f t="shared" si="9"/>
        <v>0.69491525423728817</v>
      </c>
      <c r="O16" s="35">
        <f t="shared" si="9"/>
        <v>0.76271186440677963</v>
      </c>
      <c r="P16" s="35">
        <f t="shared" si="9"/>
        <v>0.81355932203389836</v>
      </c>
      <c r="Q16" s="35">
        <f t="shared" si="9"/>
        <v>0.79661016949152541</v>
      </c>
      <c r="R16" s="35">
        <f t="shared" si="9"/>
        <v>0.90677966101694918</v>
      </c>
      <c r="S16" s="35">
        <f t="shared" si="9"/>
        <v>0.93220338983050843</v>
      </c>
      <c r="T16" s="35">
        <f t="shared" si="9"/>
        <v>0.90677966101694918</v>
      </c>
      <c r="U16" s="35">
        <f t="shared" si="9"/>
        <v>0.83898305084745761</v>
      </c>
      <c r="V16" s="35">
        <f t="shared" si="9"/>
        <v>0.8728813559322034</v>
      </c>
      <c r="W16" s="35">
        <f t="shared" si="9"/>
        <v>0.90677966101694918</v>
      </c>
      <c r="X16" s="35">
        <f t="shared" si="9"/>
        <v>0.61864406779661019</v>
      </c>
      <c r="Y16" s="35">
        <f t="shared" si="9"/>
        <v>0</v>
      </c>
      <c r="Z16" s="35">
        <f t="shared" si="9"/>
        <v>0</v>
      </c>
      <c r="AA16" s="35">
        <f t="shared" si="9"/>
        <v>0</v>
      </c>
      <c r="AB16" s="35">
        <f t="shared" si="9"/>
        <v>0</v>
      </c>
      <c r="AC16" s="35">
        <f t="shared" si="9"/>
        <v>0</v>
      </c>
      <c r="AD16" s="35">
        <f t="shared" si="9"/>
        <v>0</v>
      </c>
      <c r="AE16" s="35">
        <f t="shared" si="9"/>
        <v>0</v>
      </c>
      <c r="AF16" s="35">
        <f t="shared" si="9"/>
        <v>0</v>
      </c>
      <c r="AG16" s="35">
        <f>+AG15/$A15</f>
        <v>0</v>
      </c>
      <c r="AH16" s="35">
        <f>+AH15/$A15</f>
        <v>0</v>
      </c>
      <c r="AI16" s="281">
        <f>+AI15/(A15*A$1)</f>
        <v>0.82243744955609366</v>
      </c>
      <c r="AJ16" s="282">
        <f>AJ15/($A15*AK1)</f>
        <v>0.82243744955609355</v>
      </c>
    </row>
    <row r="17" spans="1:36" x14ac:dyDescent="0.3">
      <c r="A17" s="203"/>
      <c r="B17" s="33"/>
      <c r="C17" s="330" t="s">
        <v>17</v>
      </c>
      <c r="D17" s="37">
        <f t="shared" ref="D17:AF17" si="10">+IFERROR(D19/D15,0)</f>
        <v>97.703703703703709</v>
      </c>
      <c r="E17" s="37">
        <f t="shared" si="10"/>
        <v>95.071428571428569</v>
      </c>
      <c r="F17" s="37">
        <f t="shared" si="10"/>
        <v>97.614457831325296</v>
      </c>
      <c r="G17" s="37">
        <f t="shared" si="10"/>
        <v>97.12909090909092</v>
      </c>
      <c r="H17" s="37">
        <f t="shared" si="10"/>
        <v>94.945809523809515</v>
      </c>
      <c r="I17" s="37">
        <f t="shared" si="10"/>
        <v>98.61254545454544</v>
      </c>
      <c r="J17" s="37">
        <f t="shared" si="10"/>
        <v>95.454731182795712</v>
      </c>
      <c r="K17" s="37">
        <f t="shared" si="10"/>
        <v>99.676262626262627</v>
      </c>
      <c r="L17" s="37">
        <f t="shared" si="10"/>
        <v>102.03959999999999</v>
      </c>
      <c r="M17" s="37">
        <f t="shared" si="10"/>
        <v>108.06922413793104</v>
      </c>
      <c r="N17" s="37">
        <f t="shared" si="10"/>
        <v>95.406219512195122</v>
      </c>
      <c r="O17" s="37">
        <f t="shared" si="10"/>
        <v>95.169111111111107</v>
      </c>
      <c r="P17" s="37">
        <f t="shared" si="10"/>
        <v>102.26416666666667</v>
      </c>
      <c r="Q17" s="37">
        <f t="shared" si="10"/>
        <v>95.261595744680847</v>
      </c>
      <c r="R17" s="37">
        <f t="shared" si="10"/>
        <v>99.495700934579446</v>
      </c>
      <c r="S17" s="37">
        <f t="shared" si="10"/>
        <v>100.49981818181818</v>
      </c>
      <c r="T17" s="37">
        <f t="shared" si="10"/>
        <v>102.32962616822431</v>
      </c>
      <c r="U17" s="37">
        <f t="shared" si="10"/>
        <v>99.256969696969705</v>
      </c>
      <c r="V17" s="37">
        <f t="shared" si="10"/>
        <v>97.681359223300973</v>
      </c>
      <c r="W17" s="37">
        <f t="shared" si="10"/>
        <v>95.646542056074765</v>
      </c>
      <c r="X17" s="37">
        <f t="shared" si="10"/>
        <v>93.176849315068495</v>
      </c>
      <c r="Y17" s="37">
        <f t="shared" si="10"/>
        <v>0</v>
      </c>
      <c r="Z17" s="37">
        <f t="shared" si="10"/>
        <v>0</v>
      </c>
      <c r="AA17" s="37">
        <f t="shared" si="10"/>
        <v>0</v>
      </c>
      <c r="AB17" s="37">
        <f t="shared" si="10"/>
        <v>0</v>
      </c>
      <c r="AC17" s="37">
        <f t="shared" si="10"/>
        <v>0</v>
      </c>
      <c r="AD17" s="37">
        <f t="shared" si="10"/>
        <v>0</v>
      </c>
      <c r="AE17" s="37">
        <f t="shared" si="10"/>
        <v>0</v>
      </c>
      <c r="AF17" s="37">
        <f t="shared" si="10"/>
        <v>0</v>
      </c>
      <c r="AG17" s="37">
        <f>+IFERROR(AG19/AG15,0)</f>
        <v>0</v>
      </c>
      <c r="AH17" s="37">
        <f>+IFERROR(AH19/AH15,0)</f>
        <v>0</v>
      </c>
      <c r="AI17" s="283">
        <f>+IFERROR(AI19/AI15,0)</f>
        <v>98.456418056918551</v>
      </c>
      <c r="AJ17" s="279">
        <f>+AJ19/AJ15</f>
        <v>98.456418056918551</v>
      </c>
    </row>
    <row r="18" spans="1:36" x14ac:dyDescent="0.3">
      <c r="A18" s="203"/>
      <c r="B18" s="33"/>
      <c r="C18" s="330" t="s">
        <v>18</v>
      </c>
      <c r="D18" s="37">
        <f>+D16*D17</f>
        <v>67.067796610169495</v>
      </c>
      <c r="E18" s="37">
        <f t="shared" ref="E18:AH18" si="11">+E16*E17</f>
        <v>67.677966101694906</v>
      </c>
      <c r="F18" s="37">
        <f t="shared" si="11"/>
        <v>68.66101694915254</v>
      </c>
      <c r="G18" s="37">
        <f t="shared" si="11"/>
        <v>81.489661016949157</v>
      </c>
      <c r="H18" s="37">
        <f t="shared" si="11"/>
        <v>84.48567796610169</v>
      </c>
      <c r="I18" s="37">
        <f t="shared" si="11"/>
        <v>91.926949152542349</v>
      </c>
      <c r="J18" s="37">
        <f t="shared" si="11"/>
        <v>75.231271186440694</v>
      </c>
      <c r="K18" s="37">
        <f t="shared" si="11"/>
        <v>83.626694915254234</v>
      </c>
      <c r="L18" s="37">
        <f t="shared" si="11"/>
        <v>86.474237288135583</v>
      </c>
      <c r="M18" s="37">
        <f t="shared" si="11"/>
        <v>106.23754237288136</v>
      </c>
      <c r="N18" s="37">
        <f t="shared" si="11"/>
        <v>66.2992372881356</v>
      </c>
      <c r="O18" s="37">
        <f t="shared" si="11"/>
        <v>72.586610169491522</v>
      </c>
      <c r="P18" s="37">
        <f t="shared" si="11"/>
        <v>83.197966101694917</v>
      </c>
      <c r="Q18" s="37">
        <f t="shared" si="11"/>
        <v>75.886355932203386</v>
      </c>
      <c r="R18" s="37">
        <f t="shared" si="11"/>
        <v>90.220677966101704</v>
      </c>
      <c r="S18" s="37">
        <f t="shared" si="11"/>
        <v>93.686271186440678</v>
      </c>
      <c r="T18" s="37">
        <f t="shared" si="11"/>
        <v>92.790423728813565</v>
      </c>
      <c r="U18" s="37">
        <f t="shared" si="11"/>
        <v>83.2749152542373</v>
      </c>
      <c r="V18" s="37">
        <f t="shared" si="11"/>
        <v>85.26423728813559</v>
      </c>
      <c r="W18" s="37">
        <f t="shared" si="11"/>
        <v>86.730338983050842</v>
      </c>
      <c r="X18" s="37">
        <f t="shared" si="11"/>
        <v>57.643305084745762</v>
      </c>
      <c r="Y18" s="37">
        <f t="shared" si="11"/>
        <v>0</v>
      </c>
      <c r="Z18" s="37">
        <f t="shared" si="11"/>
        <v>0</v>
      </c>
      <c r="AA18" s="37">
        <f t="shared" si="11"/>
        <v>0</v>
      </c>
      <c r="AB18" s="37">
        <f t="shared" si="11"/>
        <v>0</v>
      </c>
      <c r="AC18" s="37">
        <f t="shared" si="11"/>
        <v>0</v>
      </c>
      <c r="AD18" s="37">
        <f t="shared" si="11"/>
        <v>0</v>
      </c>
      <c r="AE18" s="37">
        <f t="shared" si="11"/>
        <v>0</v>
      </c>
      <c r="AF18" s="37">
        <f t="shared" si="11"/>
        <v>0</v>
      </c>
      <c r="AG18" s="37">
        <f t="shared" si="11"/>
        <v>0</v>
      </c>
      <c r="AH18" s="37">
        <f t="shared" si="11"/>
        <v>0</v>
      </c>
      <c r="AI18" s="283">
        <f>+AI17*AI16</f>
        <v>80.974245359160619</v>
      </c>
      <c r="AJ18" s="279">
        <f>+AJ16*AJ17</f>
        <v>80.974245359160605</v>
      </c>
    </row>
    <row r="19" spans="1:36" ht="15" thickBot="1" x14ac:dyDescent="0.35">
      <c r="A19" s="203"/>
      <c r="B19" s="33"/>
      <c r="C19" s="330" t="s">
        <v>19</v>
      </c>
      <c r="D19" s="158">
        <v>7914</v>
      </c>
      <c r="E19" s="158">
        <v>7986</v>
      </c>
      <c r="F19" s="158">
        <v>8102</v>
      </c>
      <c r="G19" s="158">
        <v>9615.7800000000007</v>
      </c>
      <c r="H19" s="158">
        <v>9969.31</v>
      </c>
      <c r="I19" s="158">
        <v>10847.38</v>
      </c>
      <c r="J19" s="158">
        <v>8877.2900000000009</v>
      </c>
      <c r="K19" s="158">
        <v>9867.9500000000007</v>
      </c>
      <c r="L19" s="158">
        <v>10203.959999999999</v>
      </c>
      <c r="M19" s="158">
        <v>12536.03</v>
      </c>
      <c r="N19" s="158">
        <v>7823.31</v>
      </c>
      <c r="O19" s="158">
        <v>8565.2199999999993</v>
      </c>
      <c r="P19" s="158">
        <v>9817.36</v>
      </c>
      <c r="Q19" s="158">
        <v>8954.59</v>
      </c>
      <c r="R19" s="158">
        <v>10646.04</v>
      </c>
      <c r="S19" s="158">
        <v>11054.98</v>
      </c>
      <c r="T19" s="158">
        <v>10949.27</v>
      </c>
      <c r="U19" s="158">
        <v>9826.44</v>
      </c>
      <c r="V19" s="158">
        <v>10061.18</v>
      </c>
      <c r="W19" s="158">
        <v>10234.18</v>
      </c>
      <c r="X19" s="158">
        <v>6801.91</v>
      </c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284">
        <f>SUM(D19:AH19)</f>
        <v>200654.18</v>
      </c>
      <c r="AJ19" s="285">
        <f>+AI19/$A$1*$AK$1</f>
        <v>296203.78952380951</v>
      </c>
    </row>
    <row r="20" spans="1:36" ht="15" thickTop="1" x14ac:dyDescent="0.3">
      <c r="A20" s="203">
        <v>99</v>
      </c>
      <c r="B20" s="170" t="s">
        <v>26</v>
      </c>
      <c r="C20" s="334" t="s">
        <v>15</v>
      </c>
      <c r="D20" s="161">
        <v>74</v>
      </c>
      <c r="E20" s="161">
        <v>84</v>
      </c>
      <c r="F20" s="161">
        <v>79</v>
      </c>
      <c r="G20" s="161">
        <v>76</v>
      </c>
      <c r="H20" s="161">
        <v>99</v>
      </c>
      <c r="I20" s="161">
        <v>97</v>
      </c>
      <c r="J20" s="161">
        <v>73</v>
      </c>
      <c r="K20" s="161">
        <v>86</v>
      </c>
      <c r="L20" s="161">
        <v>81</v>
      </c>
      <c r="M20" s="161">
        <v>77</v>
      </c>
      <c r="N20" s="161">
        <v>77</v>
      </c>
      <c r="O20" s="161">
        <v>91</v>
      </c>
      <c r="P20" s="161">
        <v>92</v>
      </c>
      <c r="Q20" s="161">
        <v>75</v>
      </c>
      <c r="R20" s="161">
        <v>82</v>
      </c>
      <c r="S20" s="161">
        <v>93</v>
      </c>
      <c r="T20" s="161"/>
      <c r="U20" s="161">
        <v>77</v>
      </c>
      <c r="V20" s="161">
        <v>78</v>
      </c>
      <c r="W20" s="161">
        <v>92</v>
      </c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300">
        <f>SUM(D20:AH20)</f>
        <v>1583</v>
      </c>
      <c r="AJ20" s="289">
        <f>+$AI20/$A$1*$AK$1</f>
        <v>2336.8095238095239</v>
      </c>
    </row>
    <row r="21" spans="1:36" x14ac:dyDescent="0.3">
      <c r="A21" s="203"/>
      <c r="B21" s="162"/>
      <c r="C21" s="333" t="s">
        <v>16</v>
      </c>
      <c r="D21" s="164">
        <f t="shared" ref="D21:AH21" si="12">+D20/$A20</f>
        <v>0.74747474747474751</v>
      </c>
      <c r="E21" s="164">
        <f t="shared" si="12"/>
        <v>0.84848484848484851</v>
      </c>
      <c r="F21" s="164">
        <f t="shared" si="12"/>
        <v>0.79797979797979801</v>
      </c>
      <c r="G21" s="164">
        <f t="shared" ref="G21" si="13">+G20/$A20</f>
        <v>0.76767676767676762</v>
      </c>
      <c r="H21" s="164">
        <f t="shared" si="12"/>
        <v>1</v>
      </c>
      <c r="I21" s="164">
        <f t="shared" si="12"/>
        <v>0.97979797979797978</v>
      </c>
      <c r="J21" s="164">
        <f t="shared" si="12"/>
        <v>0.73737373737373735</v>
      </c>
      <c r="K21" s="164">
        <f t="shared" si="12"/>
        <v>0.86868686868686873</v>
      </c>
      <c r="L21" s="164">
        <f t="shared" si="12"/>
        <v>0.81818181818181823</v>
      </c>
      <c r="M21" s="164">
        <f t="shared" si="12"/>
        <v>0.77777777777777779</v>
      </c>
      <c r="N21" s="164">
        <f t="shared" si="12"/>
        <v>0.77777777777777779</v>
      </c>
      <c r="O21" s="164">
        <f t="shared" si="12"/>
        <v>0.91919191919191923</v>
      </c>
      <c r="P21" s="164">
        <f t="shared" si="12"/>
        <v>0.92929292929292928</v>
      </c>
      <c r="Q21" s="164">
        <f t="shared" si="12"/>
        <v>0.75757575757575757</v>
      </c>
      <c r="R21" s="164">
        <f t="shared" si="12"/>
        <v>0.82828282828282829</v>
      </c>
      <c r="S21" s="164">
        <f t="shared" si="12"/>
        <v>0.93939393939393945</v>
      </c>
      <c r="T21" s="164">
        <f t="shared" ref="T21" si="14">+T20/$A20</f>
        <v>0</v>
      </c>
      <c r="U21" s="164">
        <f t="shared" si="12"/>
        <v>0.77777777777777779</v>
      </c>
      <c r="V21" s="164">
        <f t="shared" si="12"/>
        <v>0.78787878787878785</v>
      </c>
      <c r="W21" s="164">
        <f t="shared" si="12"/>
        <v>0.92929292929292928</v>
      </c>
      <c r="X21" s="164">
        <f t="shared" si="12"/>
        <v>0</v>
      </c>
      <c r="Y21" s="164">
        <f t="shared" si="12"/>
        <v>0</v>
      </c>
      <c r="Z21" s="164">
        <f t="shared" si="12"/>
        <v>0</v>
      </c>
      <c r="AA21" s="164">
        <f t="shared" si="12"/>
        <v>0</v>
      </c>
      <c r="AB21" s="164">
        <f t="shared" si="12"/>
        <v>0</v>
      </c>
      <c r="AC21" s="164">
        <f t="shared" si="12"/>
        <v>0</v>
      </c>
      <c r="AD21" s="164">
        <f t="shared" si="12"/>
        <v>0</v>
      </c>
      <c r="AE21" s="164">
        <f t="shared" si="12"/>
        <v>0</v>
      </c>
      <c r="AF21" s="164">
        <f t="shared" si="12"/>
        <v>0</v>
      </c>
      <c r="AG21" s="164">
        <f t="shared" si="12"/>
        <v>0</v>
      </c>
      <c r="AH21" s="164">
        <f t="shared" si="12"/>
        <v>0</v>
      </c>
      <c r="AI21" s="290">
        <f>+AI20/(A20*A$1)</f>
        <v>0.76142376142376145</v>
      </c>
      <c r="AJ21" s="291">
        <f>AJ20/($A20*30)</f>
        <v>0.78680455347122014</v>
      </c>
    </row>
    <row r="22" spans="1:36" x14ac:dyDescent="0.3">
      <c r="A22" s="203"/>
      <c r="B22" s="162"/>
      <c r="C22" s="333" t="s">
        <v>17</v>
      </c>
      <c r="D22" s="165">
        <f t="shared" ref="D22:AH22" si="15">+IFERROR(D24/D20,0)</f>
        <v>109.77027027027027</v>
      </c>
      <c r="E22" s="165">
        <f t="shared" si="15"/>
        <v>110.9047619047619</v>
      </c>
      <c r="F22" s="165">
        <f t="shared" si="15"/>
        <v>109.89037974683545</v>
      </c>
      <c r="G22" s="165">
        <f t="shared" ref="G22" si="16">+IFERROR(G24/G20,0)</f>
        <v>107.23552631578947</v>
      </c>
      <c r="H22" s="165">
        <f t="shared" si="15"/>
        <v>117.75444444444445</v>
      </c>
      <c r="I22" s="165">
        <f t="shared" si="15"/>
        <v>118.12886597938144</v>
      </c>
      <c r="J22" s="165">
        <f t="shared" si="15"/>
        <v>115.78136986301371</v>
      </c>
      <c r="K22" s="165">
        <f t="shared" si="15"/>
        <v>114.43627906976745</v>
      </c>
      <c r="L22" s="165">
        <f t="shared" si="15"/>
        <v>107.73864197530864</v>
      </c>
      <c r="M22" s="165">
        <f t="shared" si="15"/>
        <v>115.37012987012987</v>
      </c>
      <c r="N22" s="165">
        <f t="shared" si="15"/>
        <v>107.59233766233767</v>
      </c>
      <c r="O22" s="165">
        <f t="shared" si="15"/>
        <v>113.91846153846154</v>
      </c>
      <c r="P22" s="165">
        <f t="shared" si="15"/>
        <v>116.6436956521739</v>
      </c>
      <c r="Q22" s="165">
        <f t="shared" si="15"/>
        <v>111.96653333333333</v>
      </c>
      <c r="R22" s="165">
        <f t="shared" si="15"/>
        <v>117.45841463414634</v>
      </c>
      <c r="S22" s="165">
        <f t="shared" si="15"/>
        <v>120.2468817204301</v>
      </c>
      <c r="T22" s="165">
        <f t="shared" ref="T22" si="17">+IFERROR(T24/T20,0)</f>
        <v>0</v>
      </c>
      <c r="U22" s="165">
        <f t="shared" si="15"/>
        <v>102.76246753246754</v>
      </c>
      <c r="V22" s="165">
        <f t="shared" si="15"/>
        <v>113.18705128205129</v>
      </c>
      <c r="W22" s="165">
        <f>+IFERROR(W24/W20,0)</f>
        <v>115.80826086956522</v>
      </c>
      <c r="X22" s="165">
        <f t="shared" si="15"/>
        <v>0</v>
      </c>
      <c r="Y22" s="165">
        <f t="shared" si="15"/>
        <v>0</v>
      </c>
      <c r="Z22" s="165">
        <f t="shared" si="15"/>
        <v>0</v>
      </c>
      <c r="AA22" s="165">
        <f t="shared" si="15"/>
        <v>0</v>
      </c>
      <c r="AB22" s="165">
        <f t="shared" si="15"/>
        <v>0</v>
      </c>
      <c r="AC22" s="165">
        <f t="shared" si="15"/>
        <v>0</v>
      </c>
      <c r="AD22" s="165">
        <f t="shared" si="15"/>
        <v>0</v>
      </c>
      <c r="AE22" s="165">
        <f t="shared" si="15"/>
        <v>0</v>
      </c>
      <c r="AF22" s="165">
        <f t="shared" si="15"/>
        <v>0</v>
      </c>
      <c r="AG22" s="165">
        <f t="shared" si="15"/>
        <v>0</v>
      </c>
      <c r="AH22" s="165">
        <f t="shared" si="15"/>
        <v>0</v>
      </c>
      <c r="AI22" s="292">
        <f>+AI24/AI20</f>
        <v>113.25358812381553</v>
      </c>
      <c r="AJ22" s="293">
        <f>+AJ24/AJ20</f>
        <v>113.25358812381555</v>
      </c>
    </row>
    <row r="23" spans="1:36" x14ac:dyDescent="0.3">
      <c r="A23" s="203"/>
      <c r="B23" s="162"/>
      <c r="C23" s="333" t="s">
        <v>18</v>
      </c>
      <c r="D23" s="165">
        <f t="shared" ref="D23:AH23" si="18">+D21*D22</f>
        <v>82.050505050505052</v>
      </c>
      <c r="E23" s="165">
        <f t="shared" si="18"/>
        <v>94.101010101010104</v>
      </c>
      <c r="F23" s="165">
        <f t="shared" si="18"/>
        <v>87.690303030303042</v>
      </c>
      <c r="G23" s="165">
        <f t="shared" ref="G23" si="19">+G21*G22</f>
        <v>82.322222222222209</v>
      </c>
      <c r="H23" s="165">
        <f t="shared" si="18"/>
        <v>117.75444444444445</v>
      </c>
      <c r="I23" s="165">
        <f>+I21*I22</f>
        <v>115.74242424242424</v>
      </c>
      <c r="J23" s="165">
        <f t="shared" si="18"/>
        <v>85.37414141414142</v>
      </c>
      <c r="K23" s="165">
        <f t="shared" si="18"/>
        <v>99.409292929292945</v>
      </c>
      <c r="L23" s="165">
        <f t="shared" si="18"/>
        <v>88.149797979797981</v>
      </c>
      <c r="M23" s="165">
        <f t="shared" si="18"/>
        <v>89.732323232323239</v>
      </c>
      <c r="N23" s="165">
        <f t="shared" si="18"/>
        <v>83.682929292929302</v>
      </c>
      <c r="O23" s="165">
        <f t="shared" si="18"/>
        <v>104.7129292929293</v>
      </c>
      <c r="P23" s="165">
        <f t="shared" si="18"/>
        <v>108.39616161616161</v>
      </c>
      <c r="Q23" s="165">
        <f t="shared" si="18"/>
        <v>84.823131313131313</v>
      </c>
      <c r="R23" s="165">
        <f t="shared" si="18"/>
        <v>97.288787878787872</v>
      </c>
      <c r="S23" s="165">
        <f t="shared" si="18"/>
        <v>112.95919191919191</v>
      </c>
      <c r="T23" s="165">
        <f t="shared" ref="T23" si="20">+T21*T22</f>
        <v>0</v>
      </c>
      <c r="U23" s="165">
        <f t="shared" si="18"/>
        <v>79.926363636363646</v>
      </c>
      <c r="V23" s="165">
        <f t="shared" si="18"/>
        <v>89.177676767676772</v>
      </c>
      <c r="W23" s="165">
        <f>+W21*W22</f>
        <v>107.61979797979798</v>
      </c>
      <c r="X23" s="165">
        <f t="shared" si="18"/>
        <v>0</v>
      </c>
      <c r="Y23" s="165">
        <f t="shared" si="18"/>
        <v>0</v>
      </c>
      <c r="Z23" s="165">
        <f t="shared" si="18"/>
        <v>0</v>
      </c>
      <c r="AA23" s="165">
        <f t="shared" si="18"/>
        <v>0</v>
      </c>
      <c r="AB23" s="165">
        <f t="shared" si="18"/>
        <v>0</v>
      </c>
      <c r="AC23" s="165">
        <f t="shared" si="18"/>
        <v>0</v>
      </c>
      <c r="AD23" s="165">
        <f t="shared" si="18"/>
        <v>0</v>
      </c>
      <c r="AE23" s="165">
        <f t="shared" si="18"/>
        <v>0</v>
      </c>
      <c r="AF23" s="165">
        <f t="shared" si="18"/>
        <v>0</v>
      </c>
      <c r="AG23" s="165">
        <f t="shared" si="18"/>
        <v>0</v>
      </c>
      <c r="AH23" s="165">
        <f t="shared" si="18"/>
        <v>0</v>
      </c>
      <c r="AI23" s="292">
        <f>+AI22*AI21</f>
        <v>86.233973063973067</v>
      </c>
      <c r="AJ23" s="293">
        <f>+AJ21*AJ22</f>
        <v>89.108438832772165</v>
      </c>
    </row>
    <row r="24" spans="1:36" ht="15" thickBot="1" x14ac:dyDescent="0.35">
      <c r="A24" s="203"/>
      <c r="B24" s="162"/>
      <c r="C24" s="333" t="s">
        <v>19</v>
      </c>
      <c r="D24" s="166">
        <v>8123</v>
      </c>
      <c r="E24" s="166">
        <v>9316</v>
      </c>
      <c r="F24" s="166">
        <v>8681.34</v>
      </c>
      <c r="G24" s="166">
        <v>8149.9</v>
      </c>
      <c r="H24" s="166">
        <v>11657.69</v>
      </c>
      <c r="I24" s="166">
        <v>11458.5</v>
      </c>
      <c r="J24" s="166">
        <v>8452.0400000000009</v>
      </c>
      <c r="K24" s="166">
        <v>9841.52</v>
      </c>
      <c r="L24" s="166">
        <v>8726.83</v>
      </c>
      <c r="M24" s="166">
        <v>8883.5</v>
      </c>
      <c r="N24" s="166">
        <v>8284.61</v>
      </c>
      <c r="O24" s="166">
        <v>10366.58</v>
      </c>
      <c r="P24" s="166">
        <v>10731.22</v>
      </c>
      <c r="Q24" s="166">
        <v>8397.49</v>
      </c>
      <c r="R24" s="166">
        <v>9631.59</v>
      </c>
      <c r="S24" s="166">
        <v>11182.96</v>
      </c>
      <c r="T24" s="166"/>
      <c r="U24" s="166">
        <v>7912.71</v>
      </c>
      <c r="V24" s="166">
        <v>8828.59</v>
      </c>
      <c r="W24" s="166">
        <v>10654.36</v>
      </c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294">
        <f>SUM(D24:AH24)</f>
        <v>179280.43</v>
      </c>
      <c r="AJ24" s="295">
        <f>+AI24/$A$1*$AK$1</f>
        <v>264652.06333333335</v>
      </c>
    </row>
    <row r="25" spans="1:36" ht="15" thickTop="1" x14ac:dyDescent="0.3">
      <c r="A25" s="203">
        <v>151</v>
      </c>
      <c r="B25" s="28" t="s">
        <v>27</v>
      </c>
      <c r="C25" s="329" t="s">
        <v>15</v>
      </c>
      <c r="D25" s="30">
        <v>95</v>
      </c>
      <c r="E25" s="30">
        <v>148</v>
      </c>
      <c r="F25" s="30">
        <v>148</v>
      </c>
      <c r="G25" s="30">
        <v>145</v>
      </c>
      <c r="H25" s="30">
        <v>95</v>
      </c>
      <c r="I25" s="30">
        <v>70</v>
      </c>
      <c r="J25" s="30">
        <v>39</v>
      </c>
      <c r="K25" s="30">
        <v>52</v>
      </c>
      <c r="L25" s="30">
        <v>60</v>
      </c>
      <c r="M25" s="30">
        <v>57</v>
      </c>
      <c r="N25" s="30">
        <v>61</v>
      </c>
      <c r="O25" s="30">
        <v>71</v>
      </c>
      <c r="P25" s="30">
        <v>78</v>
      </c>
      <c r="Q25" s="30">
        <v>53</v>
      </c>
      <c r="R25" s="30">
        <v>60</v>
      </c>
      <c r="S25" s="30">
        <v>67</v>
      </c>
      <c r="T25" s="30">
        <v>68</v>
      </c>
      <c r="U25" s="30">
        <v>65</v>
      </c>
      <c r="V25" s="30">
        <v>87</v>
      </c>
      <c r="W25" s="30">
        <v>144</v>
      </c>
      <c r="X25" s="30">
        <v>63</v>
      </c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1">
        <f>SUM(D25:AH25)</f>
        <v>1726</v>
      </c>
      <c r="AJ25" s="280">
        <f>+$AI25/$A$1*$AK$1</f>
        <v>2547.9047619047619</v>
      </c>
    </row>
    <row r="26" spans="1:36" x14ac:dyDescent="0.3">
      <c r="A26" s="203"/>
      <c r="B26" s="33"/>
      <c r="C26" s="330" t="s">
        <v>16</v>
      </c>
      <c r="D26" s="35">
        <f t="shared" ref="D26:AH26" si="21">+D25/$A25</f>
        <v>0.62913907284768211</v>
      </c>
      <c r="E26" s="35">
        <f t="shared" si="21"/>
        <v>0.98013245033112584</v>
      </c>
      <c r="F26" s="35">
        <f t="shared" si="21"/>
        <v>0.98013245033112584</v>
      </c>
      <c r="G26" s="35">
        <f t="shared" si="21"/>
        <v>0.96026490066225167</v>
      </c>
      <c r="H26" s="35">
        <f t="shared" si="21"/>
        <v>0.62913907284768211</v>
      </c>
      <c r="I26" s="35">
        <f t="shared" si="21"/>
        <v>0.46357615894039733</v>
      </c>
      <c r="J26" s="35">
        <f t="shared" si="21"/>
        <v>0.25827814569536423</v>
      </c>
      <c r="K26" s="35">
        <f t="shared" si="21"/>
        <v>0.3443708609271523</v>
      </c>
      <c r="L26" s="35">
        <f t="shared" si="21"/>
        <v>0.39735099337748342</v>
      </c>
      <c r="M26" s="35">
        <f t="shared" si="21"/>
        <v>0.37748344370860926</v>
      </c>
      <c r="N26" s="35">
        <f t="shared" si="21"/>
        <v>0.40397350993377484</v>
      </c>
      <c r="O26" s="35">
        <f t="shared" si="21"/>
        <v>0.47019867549668876</v>
      </c>
      <c r="P26" s="35">
        <f t="shared" si="21"/>
        <v>0.51655629139072845</v>
      </c>
      <c r="Q26" s="35">
        <f t="shared" si="21"/>
        <v>0.35099337748344372</v>
      </c>
      <c r="R26" s="35">
        <f t="shared" si="21"/>
        <v>0.39735099337748342</v>
      </c>
      <c r="S26" s="35">
        <f t="shared" si="21"/>
        <v>0.44370860927152317</v>
      </c>
      <c r="T26" s="35">
        <f t="shared" si="21"/>
        <v>0.45033112582781459</v>
      </c>
      <c r="U26" s="35">
        <f t="shared" si="21"/>
        <v>0.43046357615894038</v>
      </c>
      <c r="V26" s="35">
        <f t="shared" si="21"/>
        <v>0.57615894039735094</v>
      </c>
      <c r="W26" s="35">
        <f t="shared" si="21"/>
        <v>0.95364238410596025</v>
      </c>
      <c r="X26" s="35">
        <f t="shared" si="21"/>
        <v>0.41721854304635764</v>
      </c>
      <c r="Y26" s="35">
        <f t="shared" si="21"/>
        <v>0</v>
      </c>
      <c r="Z26" s="35">
        <f t="shared" si="21"/>
        <v>0</v>
      </c>
      <c r="AA26" s="35">
        <f t="shared" si="21"/>
        <v>0</v>
      </c>
      <c r="AB26" s="35">
        <f t="shared" si="21"/>
        <v>0</v>
      </c>
      <c r="AC26" s="35">
        <f t="shared" si="21"/>
        <v>0</v>
      </c>
      <c r="AD26" s="35">
        <f t="shared" si="21"/>
        <v>0</v>
      </c>
      <c r="AE26" s="35">
        <f t="shared" si="21"/>
        <v>0</v>
      </c>
      <c r="AF26" s="35">
        <f t="shared" si="21"/>
        <v>0</v>
      </c>
      <c r="AG26" s="35">
        <f t="shared" si="21"/>
        <v>0</v>
      </c>
      <c r="AH26" s="35">
        <f t="shared" si="21"/>
        <v>0</v>
      </c>
      <c r="AI26" s="281">
        <f>+AI25/(A25*A$1)</f>
        <v>0.54430778934090196</v>
      </c>
      <c r="AJ26" s="282">
        <f>AJ25/($A25*AK1)</f>
        <v>0.54430778934090196</v>
      </c>
    </row>
    <row r="27" spans="1:36" x14ac:dyDescent="0.3">
      <c r="A27" s="203"/>
      <c r="B27" s="33"/>
      <c r="C27" s="330" t="s">
        <v>17</v>
      </c>
      <c r="D27" s="37">
        <f>+IFERROR(D29/D25,0)</f>
        <v>132.04210526315791</v>
      </c>
      <c r="E27" s="37">
        <f t="shared" ref="E27:AH27" si="22">+IFERROR(E29/E25,0)</f>
        <v>141.83108108108109</v>
      </c>
      <c r="F27" s="37">
        <f t="shared" si="22"/>
        <v>142.31756756756758</v>
      </c>
      <c r="G27" s="37">
        <f t="shared" si="22"/>
        <v>133.67579310344829</v>
      </c>
      <c r="H27" s="37">
        <f t="shared" si="22"/>
        <v>107.04084210526315</v>
      </c>
      <c r="I27" s="37">
        <f t="shared" si="22"/>
        <v>90.22</v>
      </c>
      <c r="J27" s="37">
        <f t="shared" si="22"/>
        <v>109.48769230769231</v>
      </c>
      <c r="K27" s="37">
        <f t="shared" si="22"/>
        <v>119.96846153846153</v>
      </c>
      <c r="L27" s="37">
        <f t="shared" si="22"/>
        <v>125.01616666666668</v>
      </c>
      <c r="M27" s="37">
        <f t="shared" si="22"/>
        <v>106.79157894736842</v>
      </c>
      <c r="N27" s="37">
        <f t="shared" si="22"/>
        <v>115.40459016393443</v>
      </c>
      <c r="O27" s="37">
        <f t="shared" si="22"/>
        <v>97.718169014084509</v>
      </c>
      <c r="P27" s="37">
        <f t="shared" si="22"/>
        <v>92.537307692307692</v>
      </c>
      <c r="Q27" s="37">
        <f t="shared" si="22"/>
        <v>96.105471698113206</v>
      </c>
      <c r="R27" s="37">
        <f t="shared" si="22"/>
        <v>112.04566666666666</v>
      </c>
      <c r="S27" s="37">
        <f t="shared" si="22"/>
        <v>119.96208955223881</v>
      </c>
      <c r="T27" s="37">
        <f t="shared" si="22"/>
        <v>115.04779411764706</v>
      </c>
      <c r="U27" s="37">
        <f t="shared" si="22"/>
        <v>110.43738461538462</v>
      </c>
      <c r="V27" s="37">
        <f t="shared" si="22"/>
        <v>102.95977011494253</v>
      </c>
      <c r="W27" s="37">
        <f t="shared" si="22"/>
        <v>128.14729166666666</v>
      </c>
      <c r="X27" s="37">
        <f t="shared" si="22"/>
        <v>104.9015873015873</v>
      </c>
      <c r="Y27" s="37">
        <f t="shared" si="22"/>
        <v>0</v>
      </c>
      <c r="Z27" s="37">
        <f t="shared" si="22"/>
        <v>0</v>
      </c>
      <c r="AA27" s="37">
        <f t="shared" si="22"/>
        <v>0</v>
      </c>
      <c r="AB27" s="37">
        <f t="shared" si="22"/>
        <v>0</v>
      </c>
      <c r="AC27" s="37">
        <f t="shared" si="22"/>
        <v>0</v>
      </c>
      <c r="AD27" s="37">
        <f t="shared" si="22"/>
        <v>0</v>
      </c>
      <c r="AE27" s="37">
        <f t="shared" si="22"/>
        <v>0</v>
      </c>
      <c r="AF27" s="37">
        <f t="shared" si="22"/>
        <v>0</v>
      </c>
      <c r="AG27" s="37">
        <f t="shared" si="22"/>
        <v>0</v>
      </c>
      <c r="AH27" s="37">
        <f t="shared" si="22"/>
        <v>0</v>
      </c>
      <c r="AI27" s="283">
        <f>+AI29/AI25</f>
        <v>118.55869061413671</v>
      </c>
      <c r="AJ27" s="279">
        <f>+AJ29/AJ25</f>
        <v>118.55869061413669</v>
      </c>
    </row>
    <row r="28" spans="1:36" x14ac:dyDescent="0.3">
      <c r="A28" s="203"/>
      <c r="B28" s="33"/>
      <c r="C28" s="330" t="s">
        <v>18</v>
      </c>
      <c r="D28" s="37">
        <f>+D26*D27</f>
        <v>83.072847682119217</v>
      </c>
      <c r="E28" s="37">
        <f t="shared" ref="E28:AH28" si="23">+E26*E27</f>
        <v>139.01324503311261</v>
      </c>
      <c r="F28" s="37">
        <f t="shared" si="23"/>
        <v>139.49006622516558</v>
      </c>
      <c r="G28" s="37">
        <f t="shared" si="23"/>
        <v>128.36417218543048</v>
      </c>
      <c r="H28" s="37">
        <f t="shared" si="23"/>
        <v>67.343576158940394</v>
      </c>
      <c r="I28" s="37">
        <f t="shared" si="23"/>
        <v>41.82384105960265</v>
      </c>
      <c r="J28" s="37">
        <f t="shared" si="23"/>
        <v>28.278278145695364</v>
      </c>
      <c r="K28" s="37">
        <f t="shared" si="23"/>
        <v>41.313642384105954</v>
      </c>
      <c r="L28" s="37">
        <f t="shared" si="23"/>
        <v>49.675298013245033</v>
      </c>
      <c r="M28" s="37">
        <f t="shared" si="23"/>
        <v>40.312052980132449</v>
      </c>
      <c r="N28" s="37">
        <f t="shared" si="23"/>
        <v>46.620397350993379</v>
      </c>
      <c r="O28" s="37">
        <f t="shared" si="23"/>
        <v>45.946953642384109</v>
      </c>
      <c r="P28" s="37">
        <f t="shared" si="23"/>
        <v>47.800728476821192</v>
      </c>
      <c r="Q28" s="37">
        <f t="shared" si="23"/>
        <v>33.732384105960264</v>
      </c>
      <c r="R28" s="37">
        <f t="shared" si="23"/>
        <v>44.521456953642378</v>
      </c>
      <c r="S28" s="37">
        <f t="shared" si="23"/>
        <v>53.228211920529802</v>
      </c>
      <c r="T28" s="37">
        <f t="shared" si="23"/>
        <v>51.809602649006628</v>
      </c>
      <c r="U28" s="37">
        <f t="shared" si="23"/>
        <v>47.539271523178805</v>
      </c>
      <c r="V28" s="37">
        <f t="shared" si="23"/>
        <v>59.32119205298013</v>
      </c>
      <c r="W28" s="37">
        <f t="shared" si="23"/>
        <v>122.20668874172185</v>
      </c>
      <c r="X28" s="37">
        <f t="shared" si="23"/>
        <v>43.766887417218541</v>
      </c>
      <c r="Y28" s="37">
        <f t="shared" si="23"/>
        <v>0</v>
      </c>
      <c r="Z28" s="37">
        <f t="shared" si="23"/>
        <v>0</v>
      </c>
      <c r="AA28" s="37">
        <f t="shared" si="23"/>
        <v>0</v>
      </c>
      <c r="AB28" s="37">
        <f t="shared" si="23"/>
        <v>0</v>
      </c>
      <c r="AC28" s="37">
        <f t="shared" si="23"/>
        <v>0</v>
      </c>
      <c r="AD28" s="37">
        <f t="shared" si="23"/>
        <v>0</v>
      </c>
      <c r="AE28" s="37">
        <f t="shared" si="23"/>
        <v>0</v>
      </c>
      <c r="AF28" s="37">
        <f t="shared" si="23"/>
        <v>0</v>
      </c>
      <c r="AG28" s="37">
        <f t="shared" si="23"/>
        <v>0</v>
      </c>
      <c r="AH28" s="37">
        <f t="shared" si="23"/>
        <v>0</v>
      </c>
      <c r="AI28" s="283">
        <f>+AI27*AI26</f>
        <v>64.532418795332688</v>
      </c>
      <c r="AJ28" s="279">
        <f>+AJ26*AJ27</f>
        <v>64.532418795332688</v>
      </c>
    </row>
    <row r="29" spans="1:36" ht="15" thickBot="1" x14ac:dyDescent="0.35">
      <c r="A29" s="203"/>
      <c r="B29" s="33"/>
      <c r="C29" s="330" t="s">
        <v>19</v>
      </c>
      <c r="D29" s="158">
        <v>12544</v>
      </c>
      <c r="E29" s="158">
        <v>20991</v>
      </c>
      <c r="F29" s="158">
        <v>21063</v>
      </c>
      <c r="G29" s="158">
        <v>19382.990000000002</v>
      </c>
      <c r="H29" s="158">
        <v>10168.879999999999</v>
      </c>
      <c r="I29" s="158">
        <v>6315.4</v>
      </c>
      <c r="J29" s="158">
        <v>4270.0200000000004</v>
      </c>
      <c r="K29" s="158">
        <v>6238.36</v>
      </c>
      <c r="L29" s="158">
        <v>7500.97</v>
      </c>
      <c r="M29" s="158">
        <v>6087.12</v>
      </c>
      <c r="N29" s="158">
        <v>7039.68</v>
      </c>
      <c r="O29" s="158">
        <v>6937.99</v>
      </c>
      <c r="P29" s="158">
        <v>7217.91</v>
      </c>
      <c r="Q29" s="158">
        <v>5093.59</v>
      </c>
      <c r="R29" s="158">
        <v>6722.74</v>
      </c>
      <c r="S29" s="158">
        <v>8037.46</v>
      </c>
      <c r="T29" s="158">
        <v>7823.25</v>
      </c>
      <c r="U29" s="158">
        <v>7178.43</v>
      </c>
      <c r="V29" s="158">
        <v>8957.5</v>
      </c>
      <c r="W29" s="158">
        <v>18453.21</v>
      </c>
      <c r="X29" s="158">
        <v>6608.8</v>
      </c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284">
        <f>SUM(D29:AH29)</f>
        <v>204632.29999999996</v>
      </c>
      <c r="AJ29" s="285">
        <f>+AI29/$A$1*$AK$1</f>
        <v>302076.2523809523</v>
      </c>
    </row>
    <row r="30" spans="1:36" ht="15" thickTop="1" x14ac:dyDescent="0.3">
      <c r="A30" s="203">
        <v>96</v>
      </c>
      <c r="B30" s="170" t="s">
        <v>28</v>
      </c>
      <c r="C30" s="334" t="s">
        <v>15</v>
      </c>
      <c r="D30" s="161">
        <v>48</v>
      </c>
      <c r="E30" s="161">
        <v>54</v>
      </c>
      <c r="F30" s="161">
        <v>59</v>
      </c>
      <c r="G30" s="161">
        <v>82</v>
      </c>
      <c r="H30" s="325">
        <v>79</v>
      </c>
      <c r="I30" s="161">
        <v>76</v>
      </c>
      <c r="J30" s="161">
        <v>30</v>
      </c>
      <c r="K30" s="161">
        <v>34</v>
      </c>
      <c r="L30" s="161">
        <v>37</v>
      </c>
      <c r="M30" s="161">
        <v>96</v>
      </c>
      <c r="N30" s="161">
        <v>40</v>
      </c>
      <c r="O30" s="161">
        <v>71</v>
      </c>
      <c r="P30" s="161">
        <v>71</v>
      </c>
      <c r="Q30" s="161">
        <v>32</v>
      </c>
      <c r="R30" s="161">
        <v>39</v>
      </c>
      <c r="S30" s="161">
        <v>34</v>
      </c>
      <c r="T30" s="161">
        <v>44</v>
      </c>
      <c r="U30" s="161">
        <v>28</v>
      </c>
      <c r="V30" s="161">
        <v>28</v>
      </c>
      <c r="W30" s="161">
        <v>32</v>
      </c>
      <c r="X30" s="161">
        <v>95</v>
      </c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300">
        <f>SUM(D30:AH30)</f>
        <v>1109</v>
      </c>
      <c r="AJ30" s="289">
        <f>+$AI30/$A$1*$AK$1</f>
        <v>1637.0952380952381</v>
      </c>
    </row>
    <row r="31" spans="1:36" x14ac:dyDescent="0.3">
      <c r="A31" s="203"/>
      <c r="B31" s="162"/>
      <c r="C31" s="333" t="s">
        <v>16</v>
      </c>
      <c r="D31" s="164">
        <f t="shared" ref="D31:AH31" si="24">+D30/$A30</f>
        <v>0.5</v>
      </c>
      <c r="E31" s="164">
        <f t="shared" si="24"/>
        <v>0.5625</v>
      </c>
      <c r="F31" s="164">
        <f t="shared" si="24"/>
        <v>0.61458333333333337</v>
      </c>
      <c r="G31" s="164">
        <f t="shared" si="24"/>
        <v>0.85416666666666663</v>
      </c>
      <c r="H31" s="164">
        <f t="shared" si="24"/>
        <v>0.82291666666666663</v>
      </c>
      <c r="I31" s="164">
        <f t="shared" si="24"/>
        <v>0.79166666666666663</v>
      </c>
      <c r="J31" s="164">
        <f t="shared" si="24"/>
        <v>0.3125</v>
      </c>
      <c r="K31" s="164">
        <f t="shared" si="24"/>
        <v>0.35416666666666669</v>
      </c>
      <c r="L31" s="164">
        <f t="shared" si="24"/>
        <v>0.38541666666666669</v>
      </c>
      <c r="M31" s="164">
        <f t="shared" si="24"/>
        <v>1</v>
      </c>
      <c r="N31" s="164">
        <f t="shared" si="24"/>
        <v>0.41666666666666669</v>
      </c>
      <c r="O31" s="164">
        <f t="shared" si="24"/>
        <v>0.73958333333333337</v>
      </c>
      <c r="P31" s="164">
        <f t="shared" si="24"/>
        <v>0.73958333333333337</v>
      </c>
      <c r="Q31" s="164">
        <f t="shared" si="24"/>
        <v>0.33333333333333331</v>
      </c>
      <c r="R31" s="164">
        <f t="shared" si="24"/>
        <v>0.40625</v>
      </c>
      <c r="S31" s="164">
        <f t="shared" si="24"/>
        <v>0.35416666666666669</v>
      </c>
      <c r="T31" s="164">
        <f t="shared" si="24"/>
        <v>0.45833333333333331</v>
      </c>
      <c r="U31" s="164">
        <f t="shared" si="24"/>
        <v>0.29166666666666669</v>
      </c>
      <c r="V31" s="164">
        <f t="shared" si="24"/>
        <v>0.29166666666666669</v>
      </c>
      <c r="W31" s="164">
        <f t="shared" si="24"/>
        <v>0.33333333333333331</v>
      </c>
      <c r="X31" s="164">
        <f t="shared" si="24"/>
        <v>0.98958333333333337</v>
      </c>
      <c r="Y31" s="164">
        <f t="shared" si="24"/>
        <v>0</v>
      </c>
      <c r="Z31" s="164">
        <f t="shared" si="24"/>
        <v>0</v>
      </c>
      <c r="AA31" s="164">
        <f t="shared" si="24"/>
        <v>0</v>
      </c>
      <c r="AB31" s="164">
        <f t="shared" si="24"/>
        <v>0</v>
      </c>
      <c r="AC31" s="164">
        <f t="shared" si="24"/>
        <v>0</v>
      </c>
      <c r="AD31" s="164">
        <f t="shared" si="24"/>
        <v>0</v>
      </c>
      <c r="AE31" s="164">
        <f t="shared" si="24"/>
        <v>0</v>
      </c>
      <c r="AF31" s="164">
        <f t="shared" si="24"/>
        <v>0</v>
      </c>
      <c r="AG31" s="164">
        <f t="shared" si="24"/>
        <v>0</v>
      </c>
      <c r="AH31" s="164">
        <f t="shared" si="24"/>
        <v>0</v>
      </c>
      <c r="AI31" s="290">
        <f>+AI30/(A30*A$1)</f>
        <v>0.55009920634920639</v>
      </c>
      <c r="AJ31" s="291">
        <f>AJ30/($A30*AK1)</f>
        <v>0.55009920634920639</v>
      </c>
    </row>
    <row r="32" spans="1:36" x14ac:dyDescent="0.3">
      <c r="A32" s="203"/>
      <c r="B32" s="162"/>
      <c r="C32" s="333" t="s">
        <v>17</v>
      </c>
      <c r="D32" s="165">
        <f t="shared" ref="D32:AH32" si="25">+IFERROR(D34/D30,0)</f>
        <v>98.583333333333329</v>
      </c>
      <c r="E32" s="165">
        <f t="shared" si="25"/>
        <v>104.25925925925925</v>
      </c>
      <c r="F32" s="165">
        <f t="shared" si="25"/>
        <v>111.92661016949152</v>
      </c>
      <c r="G32" s="165">
        <f t="shared" si="25"/>
        <v>111.9430487804878</v>
      </c>
      <c r="H32" s="165">
        <f t="shared" si="25"/>
        <v>110.08253164556963</v>
      </c>
      <c r="I32" s="165">
        <f t="shared" si="25"/>
        <v>111.77315789473684</v>
      </c>
      <c r="J32" s="165">
        <f t="shared" si="25"/>
        <v>96.657666666666671</v>
      </c>
      <c r="K32" s="165">
        <f t="shared" si="25"/>
        <v>99.477647058823521</v>
      </c>
      <c r="L32" s="165">
        <f t="shared" si="25"/>
        <v>108.2654054054054</v>
      </c>
      <c r="M32" s="165">
        <f t="shared" si="25"/>
        <v>103.35875</v>
      </c>
      <c r="N32" s="165">
        <f t="shared" si="25"/>
        <v>93.538750000000007</v>
      </c>
      <c r="O32" s="165">
        <f t="shared" si="25"/>
        <v>108.63901408450704</v>
      </c>
      <c r="P32" s="165">
        <f t="shared" si="25"/>
        <v>113.15521126760564</v>
      </c>
      <c r="Q32" s="165">
        <f t="shared" si="25"/>
        <v>92.98</v>
      </c>
      <c r="R32" s="165">
        <f t="shared" si="25"/>
        <v>107.47538461538461</v>
      </c>
      <c r="S32" s="165">
        <f t="shared" si="25"/>
        <v>45.825294117647054</v>
      </c>
      <c r="T32" s="165">
        <f t="shared" si="25"/>
        <v>103.03886363636364</v>
      </c>
      <c r="U32" s="165">
        <f t="shared" si="25"/>
        <v>101.60178571428571</v>
      </c>
      <c r="V32" s="165">
        <f t="shared" si="25"/>
        <v>93.612499999999997</v>
      </c>
      <c r="W32" s="165">
        <f t="shared" si="25"/>
        <v>103.0125</v>
      </c>
      <c r="X32" s="165">
        <f t="shared" si="25"/>
        <v>89.199052631578951</v>
      </c>
      <c r="Y32" s="165">
        <f t="shared" si="25"/>
        <v>0</v>
      </c>
      <c r="Z32" s="165">
        <f t="shared" si="25"/>
        <v>0</v>
      </c>
      <c r="AA32" s="165">
        <f t="shared" si="25"/>
        <v>0</v>
      </c>
      <c r="AB32" s="165">
        <f t="shared" si="25"/>
        <v>0</v>
      </c>
      <c r="AC32" s="165">
        <f t="shared" si="25"/>
        <v>0</v>
      </c>
      <c r="AD32" s="165">
        <f t="shared" si="25"/>
        <v>0</v>
      </c>
      <c r="AE32" s="165">
        <f t="shared" si="25"/>
        <v>0</v>
      </c>
      <c r="AF32" s="165">
        <f t="shared" si="25"/>
        <v>0</v>
      </c>
      <c r="AG32" s="165">
        <f t="shared" si="25"/>
        <v>0</v>
      </c>
      <c r="AH32" s="165">
        <f t="shared" si="25"/>
        <v>0</v>
      </c>
      <c r="AI32" s="292">
        <f>+AI34/AI30</f>
        <v>102.37189359783589</v>
      </c>
      <c r="AJ32" s="293">
        <f>+AJ34/AJ30</f>
        <v>102.37189359783589</v>
      </c>
    </row>
    <row r="33" spans="1:36" x14ac:dyDescent="0.3">
      <c r="A33" s="203"/>
      <c r="B33" s="162"/>
      <c r="C33" s="333" t="s">
        <v>18</v>
      </c>
      <c r="D33" s="165">
        <f t="shared" ref="D33:AH33" si="26">+D31*D32</f>
        <v>49.291666666666664</v>
      </c>
      <c r="E33" s="165">
        <f t="shared" si="26"/>
        <v>58.645833333333329</v>
      </c>
      <c r="F33" s="165">
        <f t="shared" si="26"/>
        <v>68.788229166666667</v>
      </c>
      <c r="G33" s="165">
        <f t="shared" si="26"/>
        <v>95.618020833333318</v>
      </c>
      <c r="H33" s="165">
        <f t="shared" si="26"/>
        <v>90.588750000000005</v>
      </c>
      <c r="I33" s="165">
        <f t="shared" si="26"/>
        <v>88.487083333333331</v>
      </c>
      <c r="J33" s="165">
        <f t="shared" si="26"/>
        <v>30.205520833333335</v>
      </c>
      <c r="K33" s="165">
        <f t="shared" si="26"/>
        <v>35.231666666666669</v>
      </c>
      <c r="L33" s="165">
        <f t="shared" si="26"/>
        <v>41.727291666666666</v>
      </c>
      <c r="M33" s="165">
        <f t="shared" si="26"/>
        <v>103.35875</v>
      </c>
      <c r="N33" s="165">
        <f t="shared" si="26"/>
        <v>38.974479166666669</v>
      </c>
      <c r="O33" s="165">
        <f t="shared" si="26"/>
        <v>80.34760416666667</v>
      </c>
      <c r="P33" s="165">
        <f t="shared" si="26"/>
        <v>83.687708333333333</v>
      </c>
      <c r="Q33" s="165">
        <f t="shared" si="26"/>
        <v>30.993333333333332</v>
      </c>
      <c r="R33" s="165">
        <f t="shared" si="26"/>
        <v>43.661875000000002</v>
      </c>
      <c r="S33" s="165">
        <f t="shared" si="26"/>
        <v>16.229791666666667</v>
      </c>
      <c r="T33" s="165">
        <f t="shared" si="26"/>
        <v>47.226145833333334</v>
      </c>
      <c r="U33" s="165">
        <f t="shared" si="26"/>
        <v>29.633854166666669</v>
      </c>
      <c r="V33" s="165">
        <f t="shared" si="26"/>
        <v>27.303645833333334</v>
      </c>
      <c r="W33" s="165">
        <f t="shared" si="26"/>
        <v>34.337499999999999</v>
      </c>
      <c r="X33" s="165">
        <f t="shared" si="26"/>
        <v>88.269895833333337</v>
      </c>
      <c r="Y33" s="165">
        <f t="shared" si="26"/>
        <v>0</v>
      </c>
      <c r="Z33" s="165">
        <f t="shared" si="26"/>
        <v>0</v>
      </c>
      <c r="AA33" s="165">
        <f t="shared" si="26"/>
        <v>0</v>
      </c>
      <c r="AB33" s="165">
        <f t="shared" si="26"/>
        <v>0</v>
      </c>
      <c r="AC33" s="165">
        <f t="shared" si="26"/>
        <v>0</v>
      </c>
      <c r="AD33" s="165">
        <f t="shared" si="26"/>
        <v>0</v>
      </c>
      <c r="AE33" s="165">
        <f t="shared" si="26"/>
        <v>0</v>
      </c>
      <c r="AF33" s="165">
        <f t="shared" si="26"/>
        <v>0</v>
      </c>
      <c r="AG33" s="165">
        <f t="shared" si="26"/>
        <v>0</v>
      </c>
      <c r="AH33" s="165">
        <f t="shared" si="26"/>
        <v>0</v>
      </c>
      <c r="AI33" s="292">
        <f>+AI32*AI31</f>
        <v>56.314697420634928</v>
      </c>
      <c r="AJ33" s="293">
        <f>+AJ31*AJ32</f>
        <v>56.314697420634928</v>
      </c>
    </row>
    <row r="34" spans="1:36" ht="15" thickBot="1" x14ac:dyDescent="0.35">
      <c r="A34" s="203"/>
      <c r="B34" s="162"/>
      <c r="C34" s="333" t="s">
        <v>19</v>
      </c>
      <c r="D34" s="166">
        <v>4732</v>
      </c>
      <c r="E34" s="166">
        <v>5630</v>
      </c>
      <c r="F34" s="166">
        <v>6603.67</v>
      </c>
      <c r="G34" s="166">
        <v>9179.33</v>
      </c>
      <c r="H34" s="166">
        <v>8696.52</v>
      </c>
      <c r="I34" s="166">
        <v>8494.76</v>
      </c>
      <c r="J34" s="166">
        <v>2899.73</v>
      </c>
      <c r="K34" s="166">
        <v>3382.24</v>
      </c>
      <c r="L34" s="166">
        <v>4005.82</v>
      </c>
      <c r="M34" s="166">
        <v>9922.44</v>
      </c>
      <c r="N34" s="166">
        <v>3741.55</v>
      </c>
      <c r="O34" s="166">
        <v>7713.37</v>
      </c>
      <c r="P34" s="166">
        <v>8034.02</v>
      </c>
      <c r="Q34" s="166">
        <v>2975.36</v>
      </c>
      <c r="R34" s="166">
        <v>4191.54</v>
      </c>
      <c r="S34" s="166">
        <v>1558.06</v>
      </c>
      <c r="T34" s="166">
        <v>4533.71</v>
      </c>
      <c r="U34" s="166">
        <v>2844.85</v>
      </c>
      <c r="V34" s="166">
        <v>2621.15</v>
      </c>
      <c r="W34" s="166">
        <v>3296.4</v>
      </c>
      <c r="X34" s="166">
        <v>8473.91</v>
      </c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294">
        <f>SUM(D34:AH34)</f>
        <v>113530.43000000001</v>
      </c>
      <c r="AJ34" s="295">
        <f>+AI34/$A$1*$AK$1</f>
        <v>167592.53952380954</v>
      </c>
    </row>
    <row r="35" spans="1:36" ht="15" thickTop="1" x14ac:dyDescent="0.3">
      <c r="A35" s="2">
        <v>94</v>
      </c>
      <c r="B35" s="28" t="s">
        <v>29</v>
      </c>
      <c r="C35" s="329" t="s">
        <v>15</v>
      </c>
      <c r="D35" s="30">
        <v>66</v>
      </c>
      <c r="E35" s="30">
        <v>80</v>
      </c>
      <c r="F35" s="30">
        <v>69</v>
      </c>
      <c r="G35" s="30">
        <v>78</v>
      </c>
      <c r="H35" s="30">
        <v>79</v>
      </c>
      <c r="I35" s="30">
        <v>80</v>
      </c>
      <c r="J35" s="30">
        <v>52</v>
      </c>
      <c r="K35" s="30">
        <v>53</v>
      </c>
      <c r="L35" s="30">
        <v>68</v>
      </c>
      <c r="M35" s="30">
        <v>94</v>
      </c>
      <c r="N35" s="30">
        <v>89</v>
      </c>
      <c r="O35" s="30">
        <v>91</v>
      </c>
      <c r="P35" s="30">
        <v>93</v>
      </c>
      <c r="Q35" s="30">
        <v>57</v>
      </c>
      <c r="R35" s="30"/>
      <c r="S35" s="30">
        <v>77</v>
      </c>
      <c r="T35" s="30">
        <v>80</v>
      </c>
      <c r="U35" s="30">
        <v>83</v>
      </c>
      <c r="V35" s="30">
        <v>37</v>
      </c>
      <c r="W35" s="30">
        <v>30</v>
      </c>
      <c r="X35" s="30">
        <v>91</v>
      </c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1">
        <f>SUM(D35:AH35)</f>
        <v>1447</v>
      </c>
      <c r="AJ35" s="280">
        <f>+$AI35/$A$1*$AK$1</f>
        <v>2136.0476190476188</v>
      </c>
    </row>
    <row r="36" spans="1:36" x14ac:dyDescent="0.3">
      <c r="A36" s="203"/>
      <c r="B36" s="33"/>
      <c r="C36" s="330" t="s">
        <v>16</v>
      </c>
      <c r="D36" s="35">
        <f>D35/$A35</f>
        <v>0.7021276595744681</v>
      </c>
      <c r="E36" s="35">
        <f t="shared" ref="E36:AH36" si="27">+E35/$A35</f>
        <v>0.85106382978723405</v>
      </c>
      <c r="F36" s="35">
        <f t="shared" si="27"/>
        <v>0.73404255319148937</v>
      </c>
      <c r="G36" s="35">
        <f t="shared" si="27"/>
        <v>0.82978723404255317</v>
      </c>
      <c r="H36" s="35">
        <f t="shared" si="27"/>
        <v>0.84042553191489366</v>
      </c>
      <c r="I36" s="35">
        <f t="shared" si="27"/>
        <v>0.85106382978723405</v>
      </c>
      <c r="J36" s="35">
        <f t="shared" si="27"/>
        <v>0.55319148936170215</v>
      </c>
      <c r="K36" s="35">
        <f t="shared" si="27"/>
        <v>0.56382978723404253</v>
      </c>
      <c r="L36" s="35">
        <f t="shared" si="27"/>
        <v>0.72340425531914898</v>
      </c>
      <c r="M36" s="35">
        <f t="shared" si="27"/>
        <v>1</v>
      </c>
      <c r="N36" s="35">
        <f t="shared" si="27"/>
        <v>0.94680851063829785</v>
      </c>
      <c r="O36" s="35">
        <f t="shared" si="27"/>
        <v>0.96808510638297873</v>
      </c>
      <c r="P36" s="35">
        <f t="shared" si="27"/>
        <v>0.98936170212765961</v>
      </c>
      <c r="Q36" s="35">
        <f t="shared" si="27"/>
        <v>0.6063829787234043</v>
      </c>
      <c r="R36" s="35">
        <f t="shared" si="27"/>
        <v>0</v>
      </c>
      <c r="S36" s="35">
        <f t="shared" si="27"/>
        <v>0.81914893617021278</v>
      </c>
      <c r="T36" s="35">
        <f t="shared" si="27"/>
        <v>0.85106382978723405</v>
      </c>
      <c r="U36" s="35">
        <f t="shared" si="27"/>
        <v>0.88297872340425532</v>
      </c>
      <c r="V36" s="35">
        <f t="shared" si="27"/>
        <v>0.39361702127659576</v>
      </c>
      <c r="W36" s="35">
        <f t="shared" si="27"/>
        <v>0.31914893617021278</v>
      </c>
      <c r="X36" s="35">
        <f t="shared" si="27"/>
        <v>0.96808510638297873</v>
      </c>
      <c r="Y36" s="35">
        <f t="shared" si="27"/>
        <v>0</v>
      </c>
      <c r="Z36" s="35">
        <f t="shared" si="27"/>
        <v>0</v>
      </c>
      <c r="AA36" s="35">
        <f t="shared" si="27"/>
        <v>0</v>
      </c>
      <c r="AB36" s="35">
        <f t="shared" si="27"/>
        <v>0</v>
      </c>
      <c r="AC36" s="35">
        <f t="shared" si="27"/>
        <v>0</v>
      </c>
      <c r="AD36" s="35">
        <f t="shared" si="27"/>
        <v>0</v>
      </c>
      <c r="AE36" s="35">
        <f t="shared" si="27"/>
        <v>0</v>
      </c>
      <c r="AF36" s="35">
        <f t="shared" si="27"/>
        <v>0</v>
      </c>
      <c r="AG36" s="35">
        <f t="shared" si="27"/>
        <v>0</v>
      </c>
      <c r="AH36" s="35">
        <f t="shared" si="27"/>
        <v>0</v>
      </c>
      <c r="AI36" s="281">
        <f>+AI35/(A35*A$1)</f>
        <v>0.73302938196555223</v>
      </c>
      <c r="AJ36" s="282">
        <f>AJ35/($A35*30)</f>
        <v>0.75746369469773711</v>
      </c>
    </row>
    <row r="37" spans="1:36" x14ac:dyDescent="0.3">
      <c r="A37" s="203"/>
      <c r="B37" s="33"/>
      <c r="C37" s="330" t="s">
        <v>17</v>
      </c>
      <c r="D37" s="37">
        <f>+IFERROR(D39/D35,0)</f>
        <v>121.6969696969697</v>
      </c>
      <c r="E37" s="37">
        <f t="shared" ref="E37:AH37" si="28">+IFERROR(E39/E35,0)</f>
        <v>0.98750000000000004</v>
      </c>
      <c r="F37" s="37">
        <f t="shared" si="28"/>
        <v>128.49275362318841</v>
      </c>
      <c r="G37" s="37">
        <f t="shared" si="28"/>
        <v>114.34846153846154</v>
      </c>
      <c r="H37" s="37">
        <f t="shared" si="28"/>
        <v>117.0532911392405</v>
      </c>
      <c r="I37" s="37">
        <f t="shared" si="28"/>
        <v>104.588375</v>
      </c>
      <c r="J37" s="37">
        <f t="shared" si="28"/>
        <v>100.13038461538461</v>
      </c>
      <c r="K37" s="37">
        <f t="shared" si="28"/>
        <v>128.41981132075472</v>
      </c>
      <c r="L37" s="37">
        <f t="shared" si="28"/>
        <v>144.8639705882353</v>
      </c>
      <c r="M37" s="37">
        <f t="shared" si="28"/>
        <v>153.93202127659575</v>
      </c>
      <c r="N37" s="37">
        <f t="shared" si="28"/>
        <v>120.44415730337079</v>
      </c>
      <c r="O37" s="37">
        <f t="shared" si="28"/>
        <v>131.02703296703297</v>
      </c>
      <c r="P37" s="37">
        <f t="shared" si="28"/>
        <v>119.82731182795699</v>
      </c>
      <c r="Q37" s="37">
        <f>+IFERROR(Q39/Q35,0)</f>
        <v>106.33947368421053</v>
      </c>
      <c r="R37" s="37">
        <f t="shared" si="28"/>
        <v>0</v>
      </c>
      <c r="S37" s="37">
        <f t="shared" si="28"/>
        <v>134.12558441558443</v>
      </c>
      <c r="T37" s="37">
        <f t="shared" si="28"/>
        <v>140.973375</v>
      </c>
      <c r="U37" s="37">
        <f t="shared" si="28"/>
        <v>109.70481927710843</v>
      </c>
      <c r="V37" s="37">
        <f t="shared" si="28"/>
        <v>121.05081081081082</v>
      </c>
      <c r="W37" s="37">
        <f t="shared" si="28"/>
        <v>113.18466666666667</v>
      </c>
      <c r="X37" s="37">
        <f t="shared" si="28"/>
        <v>126.4845054945055</v>
      </c>
      <c r="Y37" s="37">
        <f t="shared" si="28"/>
        <v>0</v>
      </c>
      <c r="Z37" s="37">
        <f t="shared" si="28"/>
        <v>0</v>
      </c>
      <c r="AA37" s="37">
        <f t="shared" si="28"/>
        <v>0</v>
      </c>
      <c r="AB37" s="37">
        <f t="shared" si="28"/>
        <v>0</v>
      </c>
      <c r="AC37" s="37">
        <f t="shared" si="28"/>
        <v>0</v>
      </c>
      <c r="AD37" s="37">
        <f t="shared" si="28"/>
        <v>0</v>
      </c>
      <c r="AE37" s="37">
        <f t="shared" si="28"/>
        <v>0</v>
      </c>
      <c r="AF37" s="37">
        <f t="shared" si="28"/>
        <v>0</v>
      </c>
      <c r="AG37" s="37">
        <f t="shared" si="28"/>
        <v>0</v>
      </c>
      <c r="AH37" s="37">
        <f t="shared" si="28"/>
        <v>0</v>
      </c>
      <c r="AI37" s="283">
        <f>+AI39/AI35</f>
        <v>117.33771941948861</v>
      </c>
      <c r="AJ37" s="279">
        <f>+AJ39/AJ35</f>
        <v>117.33771941948862</v>
      </c>
    </row>
    <row r="38" spans="1:36" x14ac:dyDescent="0.3">
      <c r="A38" s="203"/>
      <c r="B38" s="33"/>
      <c r="C38" s="330" t="s">
        <v>18</v>
      </c>
      <c r="D38" s="37">
        <f>+D36*D37</f>
        <v>85.446808510638306</v>
      </c>
      <c r="E38" s="37">
        <f t="shared" ref="E38:AH38" si="29">+E36*E37</f>
        <v>0.84042553191489366</v>
      </c>
      <c r="F38" s="37">
        <f t="shared" si="29"/>
        <v>94.319148936170208</v>
      </c>
      <c r="G38" s="37">
        <f t="shared" si="29"/>
        <v>94.884893617021277</v>
      </c>
      <c r="H38" s="37">
        <f t="shared" si="29"/>
        <v>98.3745744680851</v>
      </c>
      <c r="I38" s="37">
        <f t="shared" si="29"/>
        <v>89.011382978723404</v>
      </c>
      <c r="J38" s="37">
        <f t="shared" si="29"/>
        <v>55.391276595744685</v>
      </c>
      <c r="K38" s="37">
        <f t="shared" si="29"/>
        <v>72.406914893617014</v>
      </c>
      <c r="L38" s="37">
        <f t="shared" si="29"/>
        <v>104.79521276595746</v>
      </c>
      <c r="M38" s="37">
        <f t="shared" si="29"/>
        <v>153.93202127659575</v>
      </c>
      <c r="N38" s="37">
        <f t="shared" si="29"/>
        <v>114.03755319148937</v>
      </c>
      <c r="O38" s="37">
        <f t="shared" si="29"/>
        <v>126.84531914893617</v>
      </c>
      <c r="P38" s="37">
        <f t="shared" si="29"/>
        <v>118.55255319148937</v>
      </c>
      <c r="Q38" s="37">
        <f t="shared" si="29"/>
        <v>64.482446808510645</v>
      </c>
      <c r="R38" s="37">
        <f t="shared" si="29"/>
        <v>0</v>
      </c>
      <c r="S38" s="37">
        <f t="shared" si="29"/>
        <v>109.86882978723405</v>
      </c>
      <c r="T38" s="37">
        <f t="shared" si="29"/>
        <v>119.97734042553192</v>
      </c>
      <c r="U38" s="37">
        <f t="shared" si="29"/>
        <v>96.867021276595736</v>
      </c>
      <c r="V38" s="37">
        <f t="shared" si="29"/>
        <v>47.647659574468086</v>
      </c>
      <c r="W38" s="37">
        <f t="shared" si="29"/>
        <v>36.122765957446809</v>
      </c>
      <c r="X38" s="37">
        <f t="shared" si="29"/>
        <v>122.44776595744682</v>
      </c>
      <c r="Y38" s="37">
        <f t="shared" si="29"/>
        <v>0</v>
      </c>
      <c r="Z38" s="37">
        <f t="shared" si="29"/>
        <v>0</v>
      </c>
      <c r="AA38" s="37">
        <f t="shared" si="29"/>
        <v>0</v>
      </c>
      <c r="AB38" s="37">
        <f t="shared" si="29"/>
        <v>0</v>
      </c>
      <c r="AC38" s="37">
        <f t="shared" si="29"/>
        <v>0</v>
      </c>
      <c r="AD38" s="37">
        <f t="shared" si="29"/>
        <v>0</v>
      </c>
      <c r="AE38" s="37">
        <f t="shared" si="29"/>
        <v>0</v>
      </c>
      <c r="AF38" s="37">
        <f t="shared" si="29"/>
        <v>0</v>
      </c>
      <c r="AG38" s="37">
        <f t="shared" si="29"/>
        <v>0</v>
      </c>
      <c r="AH38" s="37">
        <f t="shared" si="29"/>
        <v>0</v>
      </c>
      <c r="AI38" s="283">
        <f>+AI37*AI36</f>
        <v>86.011995947315114</v>
      </c>
      <c r="AJ38" s="279">
        <f>+AJ36*AJ37</f>
        <v>88.879062478892266</v>
      </c>
    </row>
    <row r="39" spans="1:36" ht="15" thickBot="1" x14ac:dyDescent="0.35">
      <c r="A39" s="203"/>
      <c r="B39" s="33"/>
      <c r="C39" s="330" t="s">
        <v>19</v>
      </c>
      <c r="D39" s="158">
        <v>8032</v>
      </c>
      <c r="E39" s="158">
        <v>79</v>
      </c>
      <c r="F39" s="158">
        <v>8866</v>
      </c>
      <c r="G39" s="158">
        <v>8919.18</v>
      </c>
      <c r="H39" s="158">
        <v>9247.2099999999991</v>
      </c>
      <c r="I39" s="158">
        <v>8367.07</v>
      </c>
      <c r="J39" s="158">
        <v>5206.78</v>
      </c>
      <c r="K39" s="158">
        <v>6806.25</v>
      </c>
      <c r="L39" s="158">
        <v>9850.75</v>
      </c>
      <c r="M39" s="158">
        <v>14469.61</v>
      </c>
      <c r="N39" s="158">
        <v>10719.53</v>
      </c>
      <c r="O39" s="158">
        <v>11923.46</v>
      </c>
      <c r="P39" s="158">
        <v>11143.94</v>
      </c>
      <c r="Q39" s="158">
        <v>6061.35</v>
      </c>
      <c r="R39" s="158"/>
      <c r="S39" s="158">
        <v>10327.67</v>
      </c>
      <c r="T39" s="158">
        <v>11277.87</v>
      </c>
      <c r="U39" s="158">
        <v>9105.5</v>
      </c>
      <c r="V39" s="158">
        <v>4478.88</v>
      </c>
      <c r="W39" s="158">
        <v>3395.54</v>
      </c>
      <c r="X39" s="158">
        <v>11510.09</v>
      </c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284">
        <f>SUM(D39:AH39)</f>
        <v>169787.68000000002</v>
      </c>
      <c r="AJ39" s="285">
        <f>+AI39/$A$1*$AK$1</f>
        <v>250638.95619047622</v>
      </c>
    </row>
    <row r="40" spans="1:36" x14ac:dyDescent="0.3">
      <c r="A40" s="203">
        <v>133</v>
      </c>
      <c r="B40" s="159" t="s">
        <v>30</v>
      </c>
      <c r="C40" s="332" t="s">
        <v>15</v>
      </c>
      <c r="D40" s="275">
        <v>108</v>
      </c>
      <c r="E40" s="207">
        <v>132</v>
      </c>
      <c r="F40" s="207">
        <v>132</v>
      </c>
      <c r="G40" s="207">
        <v>129</v>
      </c>
      <c r="H40" s="207">
        <v>55</v>
      </c>
      <c r="I40" s="207">
        <v>95</v>
      </c>
      <c r="J40" s="207">
        <v>92</v>
      </c>
      <c r="K40" s="207">
        <v>129</v>
      </c>
      <c r="L40" s="207">
        <v>131</v>
      </c>
      <c r="M40" s="207">
        <v>132</v>
      </c>
      <c r="N40" s="207">
        <v>132</v>
      </c>
      <c r="O40" s="207">
        <v>127</v>
      </c>
      <c r="P40" s="207">
        <v>112</v>
      </c>
      <c r="Q40" s="207">
        <v>97</v>
      </c>
      <c r="R40" s="207">
        <v>127</v>
      </c>
      <c r="S40" s="207">
        <v>130</v>
      </c>
      <c r="T40" s="207">
        <v>128</v>
      </c>
      <c r="U40" s="207">
        <v>127</v>
      </c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302">
        <f>SUM(D40:AH40)</f>
        <v>2115</v>
      </c>
      <c r="AJ40" s="303">
        <f>+$AI40/$A$1*$AK$1</f>
        <v>3122.1428571428569</v>
      </c>
    </row>
    <row r="41" spans="1:36" x14ac:dyDescent="0.3">
      <c r="A41" s="203"/>
      <c r="B41" s="162"/>
      <c r="C41" s="333" t="s">
        <v>16</v>
      </c>
      <c r="D41" s="164">
        <f>D40/$A$40</f>
        <v>0.81203007518796988</v>
      </c>
      <c r="E41" s="164">
        <f t="shared" ref="E41:W41" si="30">E40/$A$40</f>
        <v>0.99248120300751874</v>
      </c>
      <c r="F41" s="164">
        <f t="shared" si="30"/>
        <v>0.99248120300751874</v>
      </c>
      <c r="G41" s="164">
        <f t="shared" si="30"/>
        <v>0.96992481203007519</v>
      </c>
      <c r="H41" s="164">
        <f t="shared" si="30"/>
        <v>0.41353383458646614</v>
      </c>
      <c r="I41" s="164">
        <f t="shared" si="30"/>
        <v>0.7142857142857143</v>
      </c>
      <c r="J41" s="164">
        <f t="shared" si="30"/>
        <v>0.69172932330827064</v>
      </c>
      <c r="K41" s="164">
        <f t="shared" si="30"/>
        <v>0.96992481203007519</v>
      </c>
      <c r="L41" s="164">
        <f t="shared" si="30"/>
        <v>0.98496240601503759</v>
      </c>
      <c r="M41" s="164">
        <f t="shared" si="30"/>
        <v>0.99248120300751874</v>
      </c>
      <c r="N41" s="164">
        <f t="shared" si="30"/>
        <v>0.99248120300751874</v>
      </c>
      <c r="O41" s="164">
        <f t="shared" si="30"/>
        <v>0.95488721804511278</v>
      </c>
      <c r="P41" s="164">
        <f t="shared" si="30"/>
        <v>0.84210526315789469</v>
      </c>
      <c r="Q41" s="164">
        <f>Q40/$A$40</f>
        <v>0.72932330827067671</v>
      </c>
      <c r="R41" s="164">
        <f t="shared" si="30"/>
        <v>0.95488721804511278</v>
      </c>
      <c r="S41" s="164">
        <f t="shared" si="30"/>
        <v>0.97744360902255634</v>
      </c>
      <c r="T41" s="164">
        <f t="shared" si="30"/>
        <v>0.96240601503759393</v>
      </c>
      <c r="U41" s="164">
        <f t="shared" si="30"/>
        <v>0.95488721804511278</v>
      </c>
      <c r="V41" s="164">
        <f t="shared" si="30"/>
        <v>0</v>
      </c>
      <c r="W41" s="164">
        <f t="shared" si="30"/>
        <v>0</v>
      </c>
      <c r="X41" s="164">
        <f>X40/$A$40</f>
        <v>0</v>
      </c>
      <c r="Y41" s="164">
        <f t="shared" ref="Y41:AH41" si="31">Y40/$A$40</f>
        <v>0</v>
      </c>
      <c r="Z41" s="164">
        <f t="shared" si="31"/>
        <v>0</v>
      </c>
      <c r="AA41" s="164">
        <f t="shared" si="31"/>
        <v>0</v>
      </c>
      <c r="AB41" s="164">
        <f t="shared" si="31"/>
        <v>0</v>
      </c>
      <c r="AC41" s="164">
        <f t="shared" si="31"/>
        <v>0</v>
      </c>
      <c r="AD41" s="164">
        <f t="shared" si="31"/>
        <v>0</v>
      </c>
      <c r="AE41" s="164">
        <f t="shared" si="31"/>
        <v>0</v>
      </c>
      <c r="AF41" s="164">
        <f t="shared" si="31"/>
        <v>0</v>
      </c>
      <c r="AG41" s="164">
        <f>AG40/$A$40</f>
        <v>0</v>
      </c>
      <c r="AH41" s="164">
        <f t="shared" si="31"/>
        <v>0</v>
      </c>
      <c r="AI41" s="290">
        <f>+AI40/(A40*A$1)</f>
        <v>0.757250268528464</v>
      </c>
      <c r="AJ41" s="304">
        <f>AJ40/($A40*AK1)</f>
        <v>0.757250268528464</v>
      </c>
    </row>
    <row r="42" spans="1:36" x14ac:dyDescent="0.3">
      <c r="A42" s="203"/>
      <c r="B42" s="162"/>
      <c r="C42" s="333" t="s">
        <v>17</v>
      </c>
      <c r="D42" s="165">
        <f>+IFERROR(D44/D40,0)</f>
        <v>145.37037037037038</v>
      </c>
      <c r="E42" s="165">
        <f t="shared" ref="E42:AH42" si="32">+IFERROR(E44/E40,0)</f>
        <v>138.13621212121211</v>
      </c>
      <c r="F42" s="165">
        <f t="shared" si="32"/>
        <v>147.26545454545456</v>
      </c>
      <c r="G42" s="165">
        <f t="shared" si="32"/>
        <v>151.01201550387597</v>
      </c>
      <c r="H42" s="165">
        <f t="shared" si="32"/>
        <v>285.10545454545451</v>
      </c>
      <c r="I42" s="165">
        <f t="shared" si="32"/>
        <v>122.23094736842106</v>
      </c>
      <c r="J42" s="165">
        <f t="shared" si="32"/>
        <v>114.48641304347827</v>
      </c>
      <c r="K42" s="165">
        <f t="shared" si="32"/>
        <v>146.8979069767442</v>
      </c>
      <c r="L42" s="165">
        <f t="shared" si="32"/>
        <v>147.67274809160307</v>
      </c>
      <c r="M42" s="165">
        <f t="shared" si="32"/>
        <v>143.87871212121215</v>
      </c>
      <c r="N42" s="165">
        <f t="shared" si="32"/>
        <v>140.41295454545454</v>
      </c>
      <c r="O42" s="165">
        <f t="shared" si="32"/>
        <v>114.02000000000001</v>
      </c>
      <c r="P42" s="165">
        <f t="shared" si="32"/>
        <v>118.35767857142856</v>
      </c>
      <c r="Q42" s="165">
        <f>+IFERROR(Q44/Q40,0)</f>
        <v>121.96000000000001</v>
      </c>
      <c r="R42" s="165">
        <f t="shared" si="32"/>
        <v>138.03629921259844</v>
      </c>
      <c r="S42" s="165">
        <f t="shared" si="32"/>
        <v>147.12592307692307</v>
      </c>
      <c r="T42" s="165">
        <f t="shared" si="32"/>
        <v>145.83195312500001</v>
      </c>
      <c r="U42" s="165">
        <f t="shared" si="32"/>
        <v>147.4023622047244</v>
      </c>
      <c r="V42" s="165">
        <f t="shared" si="32"/>
        <v>0</v>
      </c>
      <c r="W42" s="165">
        <f t="shared" si="32"/>
        <v>0</v>
      </c>
      <c r="X42" s="165">
        <f t="shared" si="32"/>
        <v>0</v>
      </c>
      <c r="Y42" s="165">
        <f t="shared" si="32"/>
        <v>0</v>
      </c>
      <c r="Z42" s="165">
        <f t="shared" si="32"/>
        <v>0</v>
      </c>
      <c r="AA42" s="165">
        <f t="shared" si="32"/>
        <v>0</v>
      </c>
      <c r="AB42" s="165">
        <f t="shared" si="32"/>
        <v>0</v>
      </c>
      <c r="AC42" s="165">
        <f t="shared" si="32"/>
        <v>0</v>
      </c>
      <c r="AD42" s="165">
        <f t="shared" si="32"/>
        <v>0</v>
      </c>
      <c r="AE42" s="165">
        <f t="shared" si="32"/>
        <v>0</v>
      </c>
      <c r="AF42" s="165">
        <f t="shared" si="32"/>
        <v>0</v>
      </c>
      <c r="AG42" s="165">
        <f>+IFERROR(AG44/AG40,0)</f>
        <v>0</v>
      </c>
      <c r="AH42" s="165">
        <f t="shared" si="32"/>
        <v>0</v>
      </c>
      <c r="AI42" s="292">
        <f>+AI44/AI40</f>
        <v>141.89636406619383</v>
      </c>
      <c r="AJ42" s="305">
        <f>+AJ44/AJ40</f>
        <v>141.89636406619383</v>
      </c>
    </row>
    <row r="43" spans="1:36" x14ac:dyDescent="0.3">
      <c r="A43" s="203"/>
      <c r="B43" s="162"/>
      <c r="C43" s="333" t="s">
        <v>18</v>
      </c>
      <c r="D43" s="165">
        <f>+D41*D42</f>
        <v>118.04511278195488</v>
      </c>
      <c r="E43" s="165">
        <f t="shared" ref="E43:AH43" si="33">+E41*E42</f>
        <v>137.0975939849624</v>
      </c>
      <c r="F43" s="165">
        <f t="shared" si="33"/>
        <v>146.15819548872182</v>
      </c>
      <c r="G43" s="165">
        <f t="shared" si="33"/>
        <v>146.47030075187971</v>
      </c>
      <c r="H43" s="165">
        <f t="shared" si="33"/>
        <v>117.90075187969923</v>
      </c>
      <c r="I43" s="165">
        <f t="shared" si="33"/>
        <v>87.307819548872189</v>
      </c>
      <c r="J43" s="165">
        <f t="shared" si="33"/>
        <v>79.193609022556387</v>
      </c>
      <c r="K43" s="165">
        <f t="shared" si="33"/>
        <v>142.47992481203008</v>
      </c>
      <c r="L43" s="165">
        <f t="shared" si="33"/>
        <v>145.4521052631579</v>
      </c>
      <c r="M43" s="165">
        <f t="shared" si="33"/>
        <v>142.79691729323309</v>
      </c>
      <c r="N43" s="165">
        <f t="shared" si="33"/>
        <v>139.35721804511277</v>
      </c>
      <c r="O43" s="165">
        <f t="shared" si="33"/>
        <v>108.87624060150377</v>
      </c>
      <c r="P43" s="165">
        <f t="shared" si="33"/>
        <v>99.669624060150369</v>
      </c>
      <c r="Q43" s="165">
        <f t="shared" si="33"/>
        <v>88.948270676691735</v>
      </c>
      <c r="R43" s="165">
        <f t="shared" si="33"/>
        <v>131.80909774436091</v>
      </c>
      <c r="S43" s="165">
        <f t="shared" si="33"/>
        <v>143.8072932330827</v>
      </c>
      <c r="T43" s="165">
        <f t="shared" si="33"/>
        <v>140.34954887218046</v>
      </c>
      <c r="U43" s="165">
        <f t="shared" si="33"/>
        <v>140.75263157894736</v>
      </c>
      <c r="V43" s="165">
        <f t="shared" si="33"/>
        <v>0</v>
      </c>
      <c r="W43" s="165">
        <f t="shared" si="33"/>
        <v>0</v>
      </c>
      <c r="X43" s="165">
        <f t="shared" si="33"/>
        <v>0</v>
      </c>
      <c r="Y43" s="165">
        <f t="shared" si="33"/>
        <v>0</v>
      </c>
      <c r="Z43" s="165">
        <f t="shared" si="33"/>
        <v>0</v>
      </c>
      <c r="AA43" s="165">
        <f t="shared" si="33"/>
        <v>0</v>
      </c>
      <c r="AB43" s="165">
        <f t="shared" si="33"/>
        <v>0</v>
      </c>
      <c r="AC43" s="165">
        <f t="shared" si="33"/>
        <v>0</v>
      </c>
      <c r="AD43" s="165">
        <f t="shared" si="33"/>
        <v>0</v>
      </c>
      <c r="AE43" s="165">
        <f t="shared" si="33"/>
        <v>0</v>
      </c>
      <c r="AF43" s="165">
        <f t="shared" si="33"/>
        <v>0</v>
      </c>
      <c r="AG43" s="165">
        <f t="shared" si="33"/>
        <v>0</v>
      </c>
      <c r="AH43" s="165">
        <f t="shared" si="33"/>
        <v>0</v>
      </c>
      <c r="AI43" s="292">
        <f>+AI41*AI42</f>
        <v>107.45105979233796</v>
      </c>
      <c r="AJ43" s="305">
        <f>+AJ41*AJ42</f>
        <v>107.45105979233796</v>
      </c>
    </row>
    <row r="44" spans="1:36" s="248" customFormat="1" ht="15" thickBot="1" x14ac:dyDescent="0.35">
      <c r="A44" s="238"/>
      <c r="B44" s="212"/>
      <c r="C44" s="335" t="s">
        <v>31</v>
      </c>
      <c r="D44" s="214">
        <v>15700</v>
      </c>
      <c r="E44" s="214">
        <v>18233.98</v>
      </c>
      <c r="F44" s="214">
        <v>19439.04</v>
      </c>
      <c r="G44" s="214">
        <v>19480.55</v>
      </c>
      <c r="H44" s="214">
        <v>15680.8</v>
      </c>
      <c r="I44" s="214">
        <v>11611.94</v>
      </c>
      <c r="J44" s="214">
        <v>10532.75</v>
      </c>
      <c r="K44" s="214">
        <v>18949.830000000002</v>
      </c>
      <c r="L44" s="214">
        <v>19345.13</v>
      </c>
      <c r="M44" s="214">
        <v>18991.990000000002</v>
      </c>
      <c r="N44" s="214">
        <v>18534.509999999998</v>
      </c>
      <c r="O44" s="214">
        <v>14480.54</v>
      </c>
      <c r="P44" s="214">
        <v>13256.06</v>
      </c>
      <c r="Q44" s="214">
        <v>11830.12</v>
      </c>
      <c r="R44" s="214">
        <v>17530.61</v>
      </c>
      <c r="S44" s="214">
        <v>19126.37</v>
      </c>
      <c r="T44" s="214">
        <v>18666.490000000002</v>
      </c>
      <c r="U44" s="214">
        <v>18720.099999999999</v>
      </c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5">
        <f>SUM(D44:AH44)</f>
        <v>300110.80999999994</v>
      </c>
      <c r="AJ44" s="306">
        <f>+AI44/$A$1*$AK$1</f>
        <v>443020.71952380944</v>
      </c>
    </row>
    <row r="45" spans="1:36" x14ac:dyDescent="0.3">
      <c r="A45" s="203">
        <v>91</v>
      </c>
      <c r="B45" s="159" t="s">
        <v>32</v>
      </c>
      <c r="C45" s="332" t="s">
        <v>15</v>
      </c>
      <c r="D45" s="207">
        <v>51</v>
      </c>
      <c r="E45" s="207">
        <v>70</v>
      </c>
      <c r="F45" s="207">
        <v>91</v>
      </c>
      <c r="G45" s="207">
        <v>69</v>
      </c>
      <c r="H45" s="207">
        <v>56</v>
      </c>
      <c r="I45" s="207">
        <v>59</v>
      </c>
      <c r="J45" s="207">
        <v>39</v>
      </c>
      <c r="K45" s="207">
        <v>83</v>
      </c>
      <c r="L45" s="207">
        <v>84</v>
      </c>
      <c r="M45" s="207">
        <v>90</v>
      </c>
      <c r="N45" s="207">
        <v>53</v>
      </c>
      <c r="O45" s="207">
        <v>51</v>
      </c>
      <c r="P45" s="207">
        <v>49</v>
      </c>
      <c r="Q45" s="207">
        <v>46</v>
      </c>
      <c r="R45" s="207">
        <v>73</v>
      </c>
      <c r="S45" s="207">
        <v>68</v>
      </c>
      <c r="T45" s="207">
        <v>83</v>
      </c>
      <c r="U45" s="207">
        <v>82</v>
      </c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302">
        <f>SUM(D45:AH45)</f>
        <v>1197</v>
      </c>
      <c r="AJ45" s="289">
        <f>+$AI45/$A$1*$AK$1</f>
        <v>1767</v>
      </c>
    </row>
    <row r="46" spans="1:36" x14ac:dyDescent="0.3">
      <c r="A46" s="203"/>
      <c r="B46" s="162"/>
      <c r="C46" s="333" t="s">
        <v>16</v>
      </c>
      <c r="D46" s="164">
        <f t="shared" ref="D46:G46" si="34">D45/$A$45</f>
        <v>0.56043956043956045</v>
      </c>
      <c r="E46" s="164">
        <f t="shared" si="34"/>
        <v>0.76923076923076927</v>
      </c>
      <c r="F46" s="164">
        <f t="shared" si="34"/>
        <v>1</v>
      </c>
      <c r="G46" s="164">
        <f t="shared" si="34"/>
        <v>0.75824175824175821</v>
      </c>
      <c r="H46" s="164">
        <f t="shared" ref="H46" si="35">H45/$A$45</f>
        <v>0.61538461538461542</v>
      </c>
      <c r="I46" s="164">
        <f t="shared" ref="I46:AH46" si="36">I45/$A$45</f>
        <v>0.64835164835164838</v>
      </c>
      <c r="J46" s="164">
        <f t="shared" si="36"/>
        <v>0.42857142857142855</v>
      </c>
      <c r="K46" s="164">
        <f t="shared" si="36"/>
        <v>0.91208791208791207</v>
      </c>
      <c r="L46" s="164">
        <f t="shared" si="36"/>
        <v>0.92307692307692313</v>
      </c>
      <c r="M46" s="164">
        <f t="shared" si="36"/>
        <v>0.98901098901098905</v>
      </c>
      <c r="N46" s="164">
        <f t="shared" si="36"/>
        <v>0.58241758241758246</v>
      </c>
      <c r="O46" s="164">
        <f t="shared" si="36"/>
        <v>0.56043956043956045</v>
      </c>
      <c r="P46" s="164">
        <f t="shared" si="36"/>
        <v>0.53846153846153844</v>
      </c>
      <c r="Q46" s="164">
        <f>Q45/$A$45</f>
        <v>0.50549450549450547</v>
      </c>
      <c r="R46" s="164">
        <f t="shared" si="36"/>
        <v>0.80219780219780223</v>
      </c>
      <c r="S46" s="164">
        <f t="shared" si="36"/>
        <v>0.74725274725274726</v>
      </c>
      <c r="T46" s="164">
        <f t="shared" si="36"/>
        <v>0.91208791208791207</v>
      </c>
      <c r="U46" s="164">
        <f t="shared" si="36"/>
        <v>0.90109890109890112</v>
      </c>
      <c r="V46" s="164">
        <f t="shared" si="36"/>
        <v>0</v>
      </c>
      <c r="W46" s="164">
        <f t="shared" si="36"/>
        <v>0</v>
      </c>
      <c r="X46" s="164">
        <f t="shared" si="36"/>
        <v>0</v>
      </c>
      <c r="Y46" s="164">
        <f t="shared" si="36"/>
        <v>0</v>
      </c>
      <c r="Z46" s="164">
        <f t="shared" si="36"/>
        <v>0</v>
      </c>
      <c r="AA46" s="164">
        <f t="shared" si="36"/>
        <v>0</v>
      </c>
      <c r="AB46" s="164">
        <f t="shared" si="36"/>
        <v>0</v>
      </c>
      <c r="AC46" s="164">
        <f t="shared" si="36"/>
        <v>0</v>
      </c>
      <c r="AD46" s="164">
        <f t="shared" si="36"/>
        <v>0</v>
      </c>
      <c r="AE46" s="164">
        <f t="shared" si="36"/>
        <v>0</v>
      </c>
      <c r="AF46" s="164">
        <f t="shared" si="36"/>
        <v>0</v>
      </c>
      <c r="AG46" s="164">
        <f t="shared" si="36"/>
        <v>0</v>
      </c>
      <c r="AH46" s="164">
        <f t="shared" si="36"/>
        <v>0</v>
      </c>
      <c r="AI46" s="290">
        <f>+AI45/(A45*A$1)</f>
        <v>0.62637362637362637</v>
      </c>
      <c r="AJ46" s="291">
        <f>AJ45/($A45*AK1)</f>
        <v>0.62637362637362637</v>
      </c>
    </row>
    <row r="47" spans="1:36" x14ac:dyDescent="0.3">
      <c r="A47" s="203"/>
      <c r="B47" s="162"/>
      <c r="C47" s="333" t="s">
        <v>17</v>
      </c>
      <c r="D47" s="165">
        <f>+IFERROR(D49/D45,0)</f>
        <v>121.16156862745098</v>
      </c>
      <c r="E47" s="165">
        <f t="shared" ref="E47:AH47" si="37">+IFERROR(E49/E45,0)</f>
        <v>152.44900000000001</v>
      </c>
      <c r="F47" s="165">
        <f t="shared" si="37"/>
        <v>140.27153846153846</v>
      </c>
      <c r="G47" s="165">
        <f t="shared" si="37"/>
        <v>144.5108695652174</v>
      </c>
      <c r="H47" s="165">
        <f t="shared" ref="H47" si="38">+IFERROR(H49/H45,0)</f>
        <v>171.01410714285717</v>
      </c>
      <c r="I47" s="165">
        <f t="shared" si="37"/>
        <v>126.72694915254237</v>
      </c>
      <c r="J47" s="165">
        <f t="shared" si="37"/>
        <v>116.46102564102563</v>
      </c>
      <c r="K47" s="165">
        <f t="shared" si="37"/>
        <v>145.64831325301205</v>
      </c>
      <c r="L47" s="165">
        <f t="shared" si="37"/>
        <v>159.85214285714287</v>
      </c>
      <c r="M47" s="165">
        <f t="shared" si="37"/>
        <v>155.61500000000001</v>
      </c>
      <c r="N47" s="165">
        <f t="shared" si="37"/>
        <v>130.39037735849055</v>
      </c>
      <c r="O47" s="165">
        <f t="shared" si="37"/>
        <v>117.48823529411764</v>
      </c>
      <c r="P47" s="165">
        <f t="shared" si="37"/>
        <v>118.40795918367347</v>
      </c>
      <c r="Q47" s="165">
        <f>+IFERROR(Q49/Q45,0)</f>
        <v>128.63934782608695</v>
      </c>
      <c r="R47" s="165">
        <f t="shared" si="37"/>
        <v>140.85205479452057</v>
      </c>
      <c r="S47" s="165">
        <f t="shared" si="37"/>
        <v>138.58470588235295</v>
      </c>
      <c r="T47" s="165">
        <f t="shared" si="37"/>
        <v>149.44963855421688</v>
      </c>
      <c r="U47" s="165">
        <f t="shared" si="37"/>
        <v>141.2010975609756</v>
      </c>
      <c r="V47" s="165">
        <f t="shared" si="37"/>
        <v>0</v>
      </c>
      <c r="W47" s="165">
        <f t="shared" si="37"/>
        <v>0</v>
      </c>
      <c r="X47" s="165">
        <f t="shared" si="37"/>
        <v>0</v>
      </c>
      <c r="Y47" s="165">
        <f t="shared" si="37"/>
        <v>0</v>
      </c>
      <c r="Z47" s="165">
        <f t="shared" si="37"/>
        <v>0</v>
      </c>
      <c r="AA47" s="165">
        <f t="shared" si="37"/>
        <v>0</v>
      </c>
      <c r="AB47" s="165">
        <f t="shared" si="37"/>
        <v>0</v>
      </c>
      <c r="AC47" s="165">
        <f t="shared" si="37"/>
        <v>0</v>
      </c>
      <c r="AD47" s="165">
        <f t="shared" si="37"/>
        <v>0</v>
      </c>
      <c r="AE47" s="165">
        <f t="shared" si="37"/>
        <v>0</v>
      </c>
      <c r="AF47" s="165">
        <f t="shared" si="37"/>
        <v>0</v>
      </c>
      <c r="AG47" s="165">
        <f t="shared" si="37"/>
        <v>0</v>
      </c>
      <c r="AH47" s="165">
        <f t="shared" si="37"/>
        <v>0</v>
      </c>
      <c r="AI47" s="292">
        <f>+AI49/AI45</f>
        <v>141.19865497076023</v>
      </c>
      <c r="AJ47" s="293">
        <f>+AJ49/AJ45</f>
        <v>141.19865497076023</v>
      </c>
    </row>
    <row r="48" spans="1:36" x14ac:dyDescent="0.3">
      <c r="A48" s="203"/>
      <c r="B48" s="162"/>
      <c r="C48" s="333" t="s">
        <v>18</v>
      </c>
      <c r="D48" s="165">
        <f>+D46*D47</f>
        <v>67.903736263736263</v>
      </c>
      <c r="E48" s="165">
        <f t="shared" ref="E48:AH48" si="39">+E46*E47</f>
        <v>117.26846153846155</v>
      </c>
      <c r="F48" s="165">
        <f t="shared" si="39"/>
        <v>140.27153846153846</v>
      </c>
      <c r="G48" s="165">
        <f t="shared" si="39"/>
        <v>109.57417582417582</v>
      </c>
      <c r="H48" s="165">
        <f t="shared" ref="H48" si="40">+H46*H47</f>
        <v>105.23945054945057</v>
      </c>
      <c r="I48" s="165">
        <f t="shared" si="39"/>
        <v>82.163626373626371</v>
      </c>
      <c r="J48" s="165">
        <f t="shared" si="39"/>
        <v>49.911868131868125</v>
      </c>
      <c r="K48" s="165">
        <f t="shared" si="39"/>
        <v>132.84406593406592</v>
      </c>
      <c r="L48" s="165">
        <f t="shared" si="39"/>
        <v>147.5558241758242</v>
      </c>
      <c r="M48" s="165">
        <f t="shared" si="39"/>
        <v>153.90494505494507</v>
      </c>
      <c r="N48" s="165">
        <f t="shared" si="39"/>
        <v>75.941648351648354</v>
      </c>
      <c r="O48" s="165">
        <f t="shared" si="39"/>
        <v>65.84505494505494</v>
      </c>
      <c r="P48" s="165">
        <f t="shared" si="39"/>
        <v>63.758131868131862</v>
      </c>
      <c r="Q48" s="165">
        <f t="shared" si="39"/>
        <v>65.026483516483509</v>
      </c>
      <c r="R48" s="165">
        <f t="shared" si="39"/>
        <v>112.99120879120882</v>
      </c>
      <c r="S48" s="165">
        <f t="shared" si="39"/>
        <v>103.5578021978022</v>
      </c>
      <c r="T48" s="165">
        <f t="shared" si="39"/>
        <v>136.3112087912088</v>
      </c>
      <c r="U48" s="165">
        <f t="shared" si="39"/>
        <v>127.23615384615384</v>
      </c>
      <c r="V48" s="165">
        <f t="shared" si="39"/>
        <v>0</v>
      </c>
      <c r="W48" s="165">
        <f t="shared" si="39"/>
        <v>0</v>
      </c>
      <c r="X48" s="165">
        <f t="shared" si="39"/>
        <v>0</v>
      </c>
      <c r="Y48" s="165">
        <f t="shared" si="39"/>
        <v>0</v>
      </c>
      <c r="Z48" s="165">
        <f t="shared" si="39"/>
        <v>0</v>
      </c>
      <c r="AA48" s="165">
        <f t="shared" si="39"/>
        <v>0</v>
      </c>
      <c r="AB48" s="165">
        <f>+AB46*AB47</f>
        <v>0</v>
      </c>
      <c r="AC48" s="165">
        <f t="shared" si="39"/>
        <v>0</v>
      </c>
      <c r="AD48" s="165">
        <f t="shared" si="39"/>
        <v>0</v>
      </c>
      <c r="AE48" s="165">
        <f t="shared" si="39"/>
        <v>0</v>
      </c>
      <c r="AF48" s="165">
        <f t="shared" si="39"/>
        <v>0</v>
      </c>
      <c r="AG48" s="165">
        <f t="shared" si="39"/>
        <v>0</v>
      </c>
      <c r="AH48" s="165">
        <f t="shared" si="39"/>
        <v>0</v>
      </c>
      <c r="AI48" s="292">
        <f>+AI46*AI47</f>
        <v>88.443113553113548</v>
      </c>
      <c r="AJ48" s="293">
        <f>+AJ46*AJ47</f>
        <v>88.443113553113548</v>
      </c>
    </row>
    <row r="49" spans="1:38" s="248" customFormat="1" ht="15" thickBot="1" x14ac:dyDescent="0.35">
      <c r="A49" s="238"/>
      <c r="B49" s="212"/>
      <c r="C49" s="335" t="s">
        <v>31</v>
      </c>
      <c r="D49" s="214">
        <v>6179.24</v>
      </c>
      <c r="E49" s="214">
        <v>10671.43</v>
      </c>
      <c r="F49" s="214">
        <v>12764.71</v>
      </c>
      <c r="G49" s="214">
        <v>9971.25</v>
      </c>
      <c r="H49" s="214">
        <v>9576.7900000000009</v>
      </c>
      <c r="I49" s="214">
        <v>7476.89</v>
      </c>
      <c r="J49" s="214">
        <v>4541.9799999999996</v>
      </c>
      <c r="K49" s="214">
        <v>12088.81</v>
      </c>
      <c r="L49" s="214">
        <v>13427.58</v>
      </c>
      <c r="M49" s="214">
        <v>14005.35</v>
      </c>
      <c r="N49" s="214">
        <v>6910.69</v>
      </c>
      <c r="O49" s="214">
        <v>5991.9</v>
      </c>
      <c r="P49" s="214">
        <v>5801.99</v>
      </c>
      <c r="Q49" s="214">
        <v>5917.41</v>
      </c>
      <c r="R49" s="214">
        <v>10282.200000000001</v>
      </c>
      <c r="S49" s="214">
        <v>9423.76</v>
      </c>
      <c r="T49" s="214">
        <v>12404.32</v>
      </c>
      <c r="U49" s="214">
        <v>11578.49</v>
      </c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5">
        <f>SUM(D49:AH49)</f>
        <v>169014.79</v>
      </c>
      <c r="AJ49" s="307">
        <f>+AI49/$A$1*$AK$1</f>
        <v>249498.02333333335</v>
      </c>
    </row>
    <row r="50" spans="1:38" x14ac:dyDescent="0.3">
      <c r="A50" s="203">
        <v>224</v>
      </c>
      <c r="B50" s="159" t="s">
        <v>33</v>
      </c>
      <c r="C50" s="332" t="s">
        <v>19</v>
      </c>
      <c r="D50" s="253">
        <v>21879</v>
      </c>
      <c r="E50" s="253">
        <v>28905.41</v>
      </c>
      <c r="F50" s="253">
        <f t="shared" ref="F50:AH50" si="41">F44+F49</f>
        <v>32203.75</v>
      </c>
      <c r="G50" s="253">
        <f t="shared" si="41"/>
        <v>29451.8</v>
      </c>
      <c r="H50" s="253">
        <f t="shared" si="41"/>
        <v>25257.59</v>
      </c>
      <c r="I50" s="253">
        <f t="shared" si="41"/>
        <v>19088.830000000002</v>
      </c>
      <c r="J50" s="253">
        <f t="shared" si="41"/>
        <v>15074.73</v>
      </c>
      <c r="K50" s="253">
        <f t="shared" si="41"/>
        <v>31038.639999999999</v>
      </c>
      <c r="L50" s="253">
        <f t="shared" si="41"/>
        <v>32772.71</v>
      </c>
      <c r="M50" s="253">
        <f t="shared" si="41"/>
        <v>32997.340000000004</v>
      </c>
      <c r="N50" s="253">
        <f t="shared" si="41"/>
        <v>25445.199999999997</v>
      </c>
      <c r="O50" s="253">
        <f t="shared" si="41"/>
        <v>20472.440000000002</v>
      </c>
      <c r="P50" s="253">
        <f t="shared" si="41"/>
        <v>19058.05</v>
      </c>
      <c r="Q50" s="253">
        <f t="shared" si="41"/>
        <v>17747.53</v>
      </c>
      <c r="R50" s="253">
        <f t="shared" si="41"/>
        <v>27812.81</v>
      </c>
      <c r="S50" s="253">
        <f t="shared" si="41"/>
        <v>28550.129999999997</v>
      </c>
      <c r="T50" s="253">
        <f t="shared" si="41"/>
        <v>31070.81</v>
      </c>
      <c r="U50" s="253">
        <f t="shared" si="41"/>
        <v>30298.589999999997</v>
      </c>
      <c r="V50" s="253">
        <f t="shared" si="41"/>
        <v>0</v>
      </c>
      <c r="W50" s="253">
        <f t="shared" si="41"/>
        <v>0</v>
      </c>
      <c r="X50" s="253">
        <f t="shared" si="41"/>
        <v>0</v>
      </c>
      <c r="Y50" s="253">
        <f t="shared" si="41"/>
        <v>0</v>
      </c>
      <c r="Z50" s="253">
        <f t="shared" si="41"/>
        <v>0</v>
      </c>
      <c r="AA50" s="253">
        <f t="shared" si="41"/>
        <v>0</v>
      </c>
      <c r="AB50" s="253">
        <f t="shared" si="41"/>
        <v>0</v>
      </c>
      <c r="AC50" s="253">
        <f t="shared" si="41"/>
        <v>0</v>
      </c>
      <c r="AD50" s="253">
        <f t="shared" si="41"/>
        <v>0</v>
      </c>
      <c r="AE50" s="253">
        <f t="shared" si="41"/>
        <v>0</v>
      </c>
      <c r="AF50" s="253">
        <f t="shared" si="41"/>
        <v>0</v>
      </c>
      <c r="AG50" s="253">
        <f t="shared" si="41"/>
        <v>0</v>
      </c>
      <c r="AH50" s="253">
        <f t="shared" si="41"/>
        <v>0</v>
      </c>
      <c r="AI50" s="308">
        <f>SUM(D50:AH50)</f>
        <v>469125.36</v>
      </c>
      <c r="AJ50" s="293">
        <f>+AJ49+AJ44</f>
        <v>692518.74285714282</v>
      </c>
    </row>
    <row r="51" spans="1:38" x14ac:dyDescent="0.3">
      <c r="A51" s="203"/>
      <c r="B51" s="162"/>
      <c r="C51" s="333" t="s">
        <v>34</v>
      </c>
      <c r="D51" s="166">
        <f t="shared" ref="D51:W51" si="42">+D52-D50</f>
        <v>411.93000000000029</v>
      </c>
      <c r="E51" s="166">
        <v>866</v>
      </c>
      <c r="F51" s="166">
        <f t="shared" si="42"/>
        <v>717.80000000000291</v>
      </c>
      <c r="G51" s="166">
        <f t="shared" si="42"/>
        <v>426.17000000000189</v>
      </c>
      <c r="H51" s="166">
        <f t="shared" ref="H51" si="43">+H52-H50</f>
        <v>3718.7700000000004</v>
      </c>
      <c r="I51" s="166">
        <f t="shared" si="42"/>
        <v>739.41999999999825</v>
      </c>
      <c r="J51" s="166">
        <f>+J52-J50</f>
        <v>11200.82</v>
      </c>
      <c r="K51" s="166">
        <f t="shared" si="42"/>
        <v>10417.18</v>
      </c>
      <c r="L51" s="166">
        <f>L52-L50</f>
        <v>601.02999999999884</v>
      </c>
      <c r="M51" s="166">
        <f t="shared" si="42"/>
        <v>187.5399999999936</v>
      </c>
      <c r="N51" s="166">
        <f t="shared" si="42"/>
        <v>456.27000000000407</v>
      </c>
      <c r="O51" s="166">
        <f t="shared" si="42"/>
        <v>676.42999999999665</v>
      </c>
      <c r="P51" s="166">
        <f t="shared" si="42"/>
        <v>296.54000000000087</v>
      </c>
      <c r="Q51" s="166">
        <f t="shared" si="42"/>
        <v>314.29000000000087</v>
      </c>
      <c r="R51" s="166">
        <f t="shared" si="42"/>
        <v>421.65999999999985</v>
      </c>
      <c r="S51" s="166">
        <f t="shared" si="42"/>
        <v>529.59000000000378</v>
      </c>
      <c r="T51" s="166">
        <f>+T52-T50</f>
        <v>5972.2999999999993</v>
      </c>
      <c r="U51" s="166">
        <f t="shared" si="42"/>
        <v>612.78000000000247</v>
      </c>
      <c r="V51" s="166">
        <f t="shared" si="42"/>
        <v>0</v>
      </c>
      <c r="W51" s="166">
        <f t="shared" si="42"/>
        <v>0</v>
      </c>
      <c r="X51" s="166">
        <f>+X52-X50</f>
        <v>0</v>
      </c>
      <c r="Y51" s="166">
        <f t="shared" ref="Y51:AH51" si="44">+Y52-Y50</f>
        <v>0</v>
      </c>
      <c r="Z51" s="166">
        <f t="shared" si="44"/>
        <v>0</v>
      </c>
      <c r="AA51" s="166">
        <f t="shared" si="44"/>
        <v>0</v>
      </c>
      <c r="AB51" s="166">
        <f t="shared" si="44"/>
        <v>0</v>
      </c>
      <c r="AC51" s="166">
        <f t="shared" si="44"/>
        <v>0</v>
      </c>
      <c r="AD51" s="166">
        <f t="shared" si="44"/>
        <v>0</v>
      </c>
      <c r="AE51" s="166">
        <f t="shared" si="44"/>
        <v>0</v>
      </c>
      <c r="AF51" s="166">
        <f t="shared" si="44"/>
        <v>0</v>
      </c>
      <c r="AG51" s="166">
        <f t="shared" si="44"/>
        <v>0</v>
      </c>
      <c r="AH51" s="166">
        <f t="shared" si="44"/>
        <v>0</v>
      </c>
      <c r="AI51" s="294">
        <f>SUM(D51:AH51)</f>
        <v>38566.520000000004</v>
      </c>
      <c r="AJ51" s="293">
        <f>+AI51/$A$1*AK1</f>
        <v>56931.529523809535</v>
      </c>
      <c r="AK51" s="252"/>
      <c r="AL51" s="252"/>
    </row>
    <row r="52" spans="1:38" ht="15" thickBot="1" x14ac:dyDescent="0.35">
      <c r="A52" s="203"/>
      <c r="B52" s="205"/>
      <c r="C52" s="336" t="s">
        <v>35</v>
      </c>
      <c r="D52" s="254">
        <v>22290.93</v>
      </c>
      <c r="E52" s="254">
        <v>29771.39</v>
      </c>
      <c r="F52" s="254">
        <f>12803.51+20118.04</f>
        <v>32921.550000000003</v>
      </c>
      <c r="G52" s="254">
        <v>29877.97</v>
      </c>
      <c r="H52" s="254">
        <v>28976.36</v>
      </c>
      <c r="I52" s="254">
        <v>19828.25</v>
      </c>
      <c r="J52" s="254">
        <v>26275.55</v>
      </c>
      <c r="K52" s="254">
        <v>41455.82</v>
      </c>
      <c r="L52" s="254">
        <v>33373.74</v>
      </c>
      <c r="M52" s="254">
        <v>33184.879999999997</v>
      </c>
      <c r="N52" s="254">
        <v>25901.47</v>
      </c>
      <c r="O52" s="254">
        <v>21148.87</v>
      </c>
      <c r="P52" s="254">
        <v>19354.59</v>
      </c>
      <c r="Q52" s="254">
        <v>18061.82</v>
      </c>
      <c r="R52" s="254">
        <v>28234.47</v>
      </c>
      <c r="S52" s="254">
        <v>29079.72</v>
      </c>
      <c r="T52" s="254">
        <v>37043.11</v>
      </c>
      <c r="U52" s="254">
        <v>30911.37</v>
      </c>
      <c r="V52" s="254"/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309">
        <f>SUM(D52:AH52)</f>
        <v>507691.86</v>
      </c>
      <c r="AJ52" s="295">
        <f>+AJ50+AJ51</f>
        <v>749450.27238095237</v>
      </c>
      <c r="AK52" s="252"/>
    </row>
    <row r="53" spans="1:38" x14ac:dyDescent="0.3">
      <c r="A53" s="203">
        <v>120</v>
      </c>
      <c r="B53" s="323" t="s">
        <v>37</v>
      </c>
      <c r="C53" s="333" t="s">
        <v>15</v>
      </c>
      <c r="D53" s="223">
        <v>82</v>
      </c>
      <c r="E53" s="223">
        <v>101</v>
      </c>
      <c r="F53" s="223">
        <v>119</v>
      </c>
      <c r="G53" s="223">
        <v>99</v>
      </c>
      <c r="H53" s="223">
        <v>118</v>
      </c>
      <c r="I53" s="223">
        <v>108</v>
      </c>
      <c r="J53" s="223">
        <v>70</v>
      </c>
      <c r="K53" s="223">
        <v>119</v>
      </c>
      <c r="L53" s="223">
        <v>119</v>
      </c>
      <c r="M53" s="223">
        <v>120</v>
      </c>
      <c r="N53" s="223">
        <v>104</v>
      </c>
      <c r="O53" s="223">
        <v>108</v>
      </c>
      <c r="P53" s="223">
        <v>87</v>
      </c>
      <c r="Q53" s="223">
        <v>78</v>
      </c>
      <c r="R53" s="223">
        <v>120</v>
      </c>
      <c r="S53" s="223">
        <v>120</v>
      </c>
      <c r="T53" s="223">
        <v>120</v>
      </c>
      <c r="U53" s="223">
        <v>120</v>
      </c>
      <c r="V53" s="223">
        <v>70</v>
      </c>
      <c r="W53" s="223">
        <v>78</v>
      </c>
      <c r="X53" s="223">
        <v>46</v>
      </c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312">
        <f>SUM(D53:AH53)</f>
        <v>2106</v>
      </c>
      <c r="AJ53" s="289">
        <f>+$AI53/$A$1*$AK$1</f>
        <v>3108.8571428571431</v>
      </c>
    </row>
    <row r="54" spans="1:38" x14ac:dyDescent="0.3">
      <c r="A54" s="203"/>
      <c r="B54" s="162"/>
      <c r="C54" s="333" t="s">
        <v>16</v>
      </c>
      <c r="D54" s="164">
        <f>+D53/$A53</f>
        <v>0.68333333333333335</v>
      </c>
      <c r="E54" s="164">
        <f t="shared" ref="E54:AH54" si="45">+E53/$A53</f>
        <v>0.84166666666666667</v>
      </c>
      <c r="F54" s="164">
        <f t="shared" si="45"/>
        <v>0.9916666666666667</v>
      </c>
      <c r="G54" s="164">
        <f t="shared" si="45"/>
        <v>0.82499999999999996</v>
      </c>
      <c r="H54" s="164">
        <f t="shared" si="45"/>
        <v>0.98333333333333328</v>
      </c>
      <c r="I54" s="164">
        <f t="shared" si="45"/>
        <v>0.9</v>
      </c>
      <c r="J54" s="164">
        <f t="shared" si="45"/>
        <v>0.58333333333333337</v>
      </c>
      <c r="K54" s="164">
        <f t="shared" si="45"/>
        <v>0.9916666666666667</v>
      </c>
      <c r="L54" s="164">
        <f t="shared" si="45"/>
        <v>0.9916666666666667</v>
      </c>
      <c r="M54" s="164">
        <f t="shared" si="45"/>
        <v>1</v>
      </c>
      <c r="N54" s="164">
        <f t="shared" si="45"/>
        <v>0.8666666666666667</v>
      </c>
      <c r="O54" s="164">
        <f t="shared" si="45"/>
        <v>0.9</v>
      </c>
      <c r="P54" s="164">
        <f>+P53/$A53</f>
        <v>0.72499999999999998</v>
      </c>
      <c r="Q54" s="164">
        <f t="shared" ref="Q54:R54" si="46">+Q53/$A53</f>
        <v>0.65</v>
      </c>
      <c r="R54" s="164">
        <f t="shared" si="46"/>
        <v>1</v>
      </c>
      <c r="S54" s="164">
        <f t="shared" si="45"/>
        <v>1</v>
      </c>
      <c r="T54" s="164">
        <f t="shared" si="45"/>
        <v>1</v>
      </c>
      <c r="U54" s="164">
        <f t="shared" si="45"/>
        <v>1</v>
      </c>
      <c r="V54" s="164">
        <f t="shared" si="45"/>
        <v>0.58333333333333337</v>
      </c>
      <c r="W54" s="164">
        <f t="shared" si="45"/>
        <v>0.65</v>
      </c>
      <c r="X54" s="164">
        <f t="shared" si="45"/>
        <v>0.38333333333333336</v>
      </c>
      <c r="Y54" s="164">
        <f t="shared" si="45"/>
        <v>0</v>
      </c>
      <c r="Z54" s="164">
        <f t="shared" si="45"/>
        <v>0</v>
      </c>
      <c r="AA54" s="164">
        <f t="shared" si="45"/>
        <v>0</v>
      </c>
      <c r="AB54" s="164">
        <f t="shared" si="45"/>
        <v>0</v>
      </c>
      <c r="AC54" s="164">
        <f t="shared" si="45"/>
        <v>0</v>
      </c>
      <c r="AD54" s="164">
        <f t="shared" si="45"/>
        <v>0</v>
      </c>
      <c r="AE54" s="164">
        <f t="shared" si="45"/>
        <v>0</v>
      </c>
      <c r="AF54" s="164">
        <f t="shared" si="45"/>
        <v>0</v>
      </c>
      <c r="AG54" s="164">
        <f t="shared" si="45"/>
        <v>0</v>
      </c>
      <c r="AH54" s="164">
        <f t="shared" si="45"/>
        <v>0</v>
      </c>
      <c r="AI54" s="290">
        <f>+AI53/(A53*A$1)</f>
        <v>0.83571428571428574</v>
      </c>
      <c r="AJ54" s="291">
        <f>AJ53/($A53*AK1)</f>
        <v>0.83571428571428574</v>
      </c>
    </row>
    <row r="55" spans="1:38" x14ac:dyDescent="0.3">
      <c r="A55" s="203"/>
      <c r="B55" s="162"/>
      <c r="C55" s="333" t="s">
        <v>17</v>
      </c>
      <c r="D55" s="165">
        <f t="shared" ref="D55:AH55" si="47">+IFERROR(D57/D53,0)</f>
        <v>113.79426829268291</v>
      </c>
      <c r="E55" s="165">
        <f t="shared" si="47"/>
        <v>125.70702970297029</v>
      </c>
      <c r="F55" s="165">
        <f t="shared" si="47"/>
        <v>140.05235294117648</v>
      </c>
      <c r="G55" s="165">
        <f t="shared" si="47"/>
        <v>130.43545454545455</v>
      </c>
      <c r="H55" s="165">
        <f t="shared" si="47"/>
        <v>139.66966101694916</v>
      </c>
      <c r="I55" s="165">
        <f t="shared" si="47"/>
        <v>143.49888888888887</v>
      </c>
      <c r="J55" s="165">
        <f t="shared" si="47"/>
        <v>114.60957142857143</v>
      </c>
      <c r="K55" s="165">
        <f t="shared" si="47"/>
        <v>118.3781512605042</v>
      </c>
      <c r="L55" s="165">
        <f t="shared" si="47"/>
        <v>117.19949579831932</v>
      </c>
      <c r="M55" s="165">
        <f t="shared" si="47"/>
        <v>128.00091666666668</v>
      </c>
      <c r="N55" s="165">
        <f t="shared" si="47"/>
        <v>117.87548076923076</v>
      </c>
      <c r="O55" s="165">
        <f t="shared" si="47"/>
        <v>164.62925925925924</v>
      </c>
      <c r="P55" s="165">
        <f t="shared" si="47"/>
        <v>131.31701149425288</v>
      </c>
      <c r="Q55" s="165">
        <f t="shared" si="47"/>
        <v>106.48461538461538</v>
      </c>
      <c r="R55" s="165">
        <f t="shared" si="47"/>
        <v>120.73683333333334</v>
      </c>
      <c r="S55" s="165">
        <f t="shared" si="47"/>
        <v>159.94333333333333</v>
      </c>
      <c r="T55" s="165">
        <f t="shared" si="47"/>
        <v>169.90316666666666</v>
      </c>
      <c r="U55" s="165">
        <f t="shared" si="47"/>
        <v>160.87983333333335</v>
      </c>
      <c r="V55" s="165">
        <f t="shared" si="47"/>
        <v>133.24228571428571</v>
      </c>
      <c r="W55" s="165">
        <f t="shared" si="47"/>
        <v>128.42756410256411</v>
      </c>
      <c r="X55" s="165">
        <f t="shared" si="47"/>
        <v>106.41934782608696</v>
      </c>
      <c r="Y55" s="165">
        <f t="shared" si="47"/>
        <v>0</v>
      </c>
      <c r="Z55" s="165">
        <f t="shared" si="47"/>
        <v>0</v>
      </c>
      <c r="AA55" s="165">
        <f t="shared" si="47"/>
        <v>0</v>
      </c>
      <c r="AB55" s="165">
        <f t="shared" si="47"/>
        <v>0</v>
      </c>
      <c r="AC55" s="165">
        <f t="shared" si="47"/>
        <v>0</v>
      </c>
      <c r="AD55" s="165">
        <f t="shared" si="47"/>
        <v>0</v>
      </c>
      <c r="AE55" s="165">
        <f t="shared" si="47"/>
        <v>0</v>
      </c>
      <c r="AF55" s="165">
        <f t="shared" si="47"/>
        <v>0</v>
      </c>
      <c r="AG55" s="165">
        <f t="shared" si="47"/>
        <v>0</v>
      </c>
      <c r="AH55" s="165">
        <f t="shared" si="47"/>
        <v>0</v>
      </c>
      <c r="AI55" s="292">
        <f>+AI57/AI53</f>
        <v>134.08683285849952</v>
      </c>
      <c r="AJ55" s="293">
        <f>+AJ57/AJ53</f>
        <v>134.08683285849949</v>
      </c>
    </row>
    <row r="56" spans="1:38" x14ac:dyDescent="0.3">
      <c r="A56" s="203"/>
      <c r="B56" s="162"/>
      <c r="C56" s="333" t="s">
        <v>18</v>
      </c>
      <c r="D56" s="165">
        <f t="shared" ref="D56:AH56" si="48">+D54*D55</f>
        <v>77.759416666666667</v>
      </c>
      <c r="E56" s="165">
        <f t="shared" si="48"/>
        <v>105.80341666666666</v>
      </c>
      <c r="F56" s="165">
        <f t="shared" si="48"/>
        <v>138.88525000000001</v>
      </c>
      <c r="G56" s="165">
        <f t="shared" si="48"/>
        <v>107.60924999999999</v>
      </c>
      <c r="H56" s="165">
        <f t="shared" si="48"/>
        <v>137.34183333333334</v>
      </c>
      <c r="I56" s="165">
        <f t="shared" si="48"/>
        <v>129.149</v>
      </c>
      <c r="J56" s="165">
        <f t="shared" si="48"/>
        <v>66.855583333333342</v>
      </c>
      <c r="K56" s="165">
        <f t="shared" si="48"/>
        <v>117.39166666666667</v>
      </c>
      <c r="L56" s="165">
        <f t="shared" si="48"/>
        <v>116.22283333333333</v>
      </c>
      <c r="M56" s="165">
        <f t="shared" si="48"/>
        <v>128.00091666666668</v>
      </c>
      <c r="N56" s="165">
        <f t="shared" si="48"/>
        <v>102.15875</v>
      </c>
      <c r="O56" s="165">
        <f t="shared" si="48"/>
        <v>148.16633333333331</v>
      </c>
      <c r="P56" s="165">
        <f>+P54*P55</f>
        <v>95.20483333333334</v>
      </c>
      <c r="Q56" s="165">
        <f t="shared" ref="Q56:R56" si="49">+Q54*Q55</f>
        <v>69.215000000000003</v>
      </c>
      <c r="R56" s="165">
        <f t="shared" si="49"/>
        <v>120.73683333333334</v>
      </c>
      <c r="S56" s="165">
        <f t="shared" si="48"/>
        <v>159.94333333333333</v>
      </c>
      <c r="T56" s="165">
        <f t="shared" si="48"/>
        <v>169.90316666666666</v>
      </c>
      <c r="U56" s="165">
        <f t="shared" si="48"/>
        <v>160.87983333333335</v>
      </c>
      <c r="V56" s="165">
        <f t="shared" si="48"/>
        <v>77.724666666666678</v>
      </c>
      <c r="W56" s="165">
        <f t="shared" si="48"/>
        <v>83.477916666666673</v>
      </c>
      <c r="X56" s="165">
        <f t="shared" si="48"/>
        <v>40.79408333333334</v>
      </c>
      <c r="Y56" s="165">
        <f t="shared" si="48"/>
        <v>0</v>
      </c>
      <c r="Z56" s="165">
        <f t="shared" si="48"/>
        <v>0</v>
      </c>
      <c r="AA56" s="165">
        <f t="shared" si="48"/>
        <v>0</v>
      </c>
      <c r="AB56" s="165">
        <f t="shared" si="48"/>
        <v>0</v>
      </c>
      <c r="AC56" s="165">
        <f t="shared" si="48"/>
        <v>0</v>
      </c>
      <c r="AD56" s="165">
        <f t="shared" si="48"/>
        <v>0</v>
      </c>
      <c r="AE56" s="165">
        <f t="shared" si="48"/>
        <v>0</v>
      </c>
      <c r="AF56" s="165">
        <f t="shared" si="48"/>
        <v>0</v>
      </c>
      <c r="AG56" s="165">
        <f t="shared" si="48"/>
        <v>0</v>
      </c>
      <c r="AH56" s="165">
        <f t="shared" si="48"/>
        <v>0</v>
      </c>
      <c r="AI56" s="292">
        <f>+AI55*AI54</f>
        <v>112.05828174603174</v>
      </c>
      <c r="AJ56" s="293">
        <f>+AJ54*AJ55</f>
        <v>112.05828174603172</v>
      </c>
    </row>
    <row r="57" spans="1:38" ht="15" thickBot="1" x14ac:dyDescent="0.35">
      <c r="A57" s="203"/>
      <c r="B57" s="162"/>
      <c r="C57" s="333" t="s">
        <v>19</v>
      </c>
      <c r="D57" s="166">
        <v>9331.1299999999992</v>
      </c>
      <c r="E57" s="166">
        <v>12696.41</v>
      </c>
      <c r="F57" s="166">
        <v>16666.23</v>
      </c>
      <c r="G57" s="166">
        <v>12913.11</v>
      </c>
      <c r="H57" s="166">
        <v>16481.02</v>
      </c>
      <c r="I57" s="166">
        <v>15497.88</v>
      </c>
      <c r="J57" s="166">
        <v>8022.67</v>
      </c>
      <c r="K57" s="166">
        <v>14087</v>
      </c>
      <c r="L57" s="166">
        <v>13946.74</v>
      </c>
      <c r="M57" s="166">
        <v>15360.11</v>
      </c>
      <c r="N57" s="166">
        <v>12259.05</v>
      </c>
      <c r="O57" s="166">
        <v>17779.96</v>
      </c>
      <c r="P57" s="166">
        <v>11424.58</v>
      </c>
      <c r="Q57" s="166">
        <v>8305.7999999999993</v>
      </c>
      <c r="R57" s="166">
        <v>14488.42</v>
      </c>
      <c r="S57" s="166">
        <v>19193.2</v>
      </c>
      <c r="T57" s="166">
        <v>20388.38</v>
      </c>
      <c r="U57" s="166">
        <v>19305.580000000002</v>
      </c>
      <c r="V57" s="166">
        <v>9326.9599999999991</v>
      </c>
      <c r="W57" s="166">
        <v>10017.35</v>
      </c>
      <c r="X57" s="166">
        <v>4895.29</v>
      </c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294">
        <f>SUM(D57:AH57)</f>
        <v>282386.87</v>
      </c>
      <c r="AJ57" s="307">
        <f>+AI57/$A$1*$AK$1</f>
        <v>416856.80809523806</v>
      </c>
    </row>
    <row r="58" spans="1:38" ht="15" thickTop="1" x14ac:dyDescent="0.3">
      <c r="A58" s="203">
        <v>93</v>
      </c>
      <c r="B58" s="28" t="s">
        <v>38</v>
      </c>
      <c r="C58" s="329" t="s">
        <v>15</v>
      </c>
      <c r="D58" s="30">
        <v>89</v>
      </c>
      <c r="E58" s="30">
        <v>91</v>
      </c>
      <c r="F58" s="30">
        <v>92</v>
      </c>
      <c r="G58" s="30">
        <v>93</v>
      </c>
      <c r="H58" s="30">
        <v>88</v>
      </c>
      <c r="I58" s="30">
        <v>74</v>
      </c>
      <c r="J58" s="30">
        <v>86</v>
      </c>
      <c r="K58" s="30">
        <v>91</v>
      </c>
      <c r="L58" s="30">
        <v>92</v>
      </c>
      <c r="M58" s="30">
        <v>87</v>
      </c>
      <c r="N58" s="30">
        <v>84</v>
      </c>
      <c r="O58" s="30">
        <v>84</v>
      </c>
      <c r="P58" s="30">
        <v>90</v>
      </c>
      <c r="Q58" s="30">
        <v>66</v>
      </c>
      <c r="R58" s="30">
        <v>78</v>
      </c>
      <c r="S58" s="30">
        <v>93</v>
      </c>
      <c r="T58" s="30">
        <v>93</v>
      </c>
      <c r="U58" s="30">
        <v>92</v>
      </c>
      <c r="V58" s="30">
        <v>80</v>
      </c>
      <c r="W58" s="30"/>
      <c r="X58" s="30">
        <v>63</v>
      </c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13">
        <f>SUM(D58:AH58)</f>
        <v>1706</v>
      </c>
      <c r="AJ58" s="285">
        <f>+$AI58/$A$1*$AK$1</f>
        <v>2518.3809523809523</v>
      </c>
    </row>
    <row r="59" spans="1:38" x14ac:dyDescent="0.3">
      <c r="A59" s="203"/>
      <c r="B59" s="33"/>
      <c r="C59" s="330" t="s">
        <v>16</v>
      </c>
      <c r="D59" s="35">
        <f t="shared" ref="D59:AH59" si="50">+D58/$A58</f>
        <v>0.956989247311828</v>
      </c>
      <c r="E59" s="35">
        <f t="shared" si="50"/>
        <v>0.978494623655914</v>
      </c>
      <c r="F59" s="35">
        <f t="shared" si="50"/>
        <v>0.989247311827957</v>
      </c>
      <c r="G59" s="35">
        <f t="shared" si="50"/>
        <v>1</v>
      </c>
      <c r="H59" s="35">
        <f t="shared" si="50"/>
        <v>0.94623655913978499</v>
      </c>
      <c r="I59" s="35">
        <f t="shared" si="50"/>
        <v>0.79569892473118276</v>
      </c>
      <c r="J59" s="35">
        <f t="shared" si="50"/>
        <v>0.92473118279569888</v>
      </c>
      <c r="K59" s="35">
        <f t="shared" si="50"/>
        <v>0.978494623655914</v>
      </c>
      <c r="L59" s="35">
        <f>+L58/$A58</f>
        <v>0.989247311827957</v>
      </c>
      <c r="M59" s="35">
        <f t="shared" si="50"/>
        <v>0.93548387096774188</v>
      </c>
      <c r="N59" s="35">
        <f t="shared" si="50"/>
        <v>0.90322580645161288</v>
      </c>
      <c r="O59" s="35">
        <f t="shared" si="50"/>
        <v>0.90322580645161288</v>
      </c>
      <c r="P59" s="35">
        <f t="shared" si="50"/>
        <v>0.967741935483871</v>
      </c>
      <c r="Q59" s="35">
        <f t="shared" si="50"/>
        <v>0.70967741935483875</v>
      </c>
      <c r="R59" s="35">
        <f t="shared" si="50"/>
        <v>0.83870967741935487</v>
      </c>
      <c r="S59" s="35">
        <f t="shared" si="50"/>
        <v>1</v>
      </c>
      <c r="T59" s="35">
        <f t="shared" si="50"/>
        <v>1</v>
      </c>
      <c r="U59" s="35">
        <f t="shared" si="50"/>
        <v>0.989247311827957</v>
      </c>
      <c r="V59" s="35">
        <f t="shared" si="50"/>
        <v>0.86021505376344087</v>
      </c>
      <c r="W59" s="35">
        <f t="shared" si="50"/>
        <v>0</v>
      </c>
      <c r="X59" s="35">
        <f t="shared" si="50"/>
        <v>0.67741935483870963</v>
      </c>
      <c r="Y59" s="35">
        <f t="shared" si="50"/>
        <v>0</v>
      </c>
      <c r="Z59" s="35">
        <f t="shared" si="50"/>
        <v>0</v>
      </c>
      <c r="AA59" s="35">
        <f t="shared" si="50"/>
        <v>0</v>
      </c>
      <c r="AB59" s="35">
        <f t="shared" si="50"/>
        <v>0</v>
      </c>
      <c r="AC59" s="35">
        <f t="shared" si="50"/>
        <v>0</v>
      </c>
      <c r="AD59" s="35">
        <f t="shared" si="50"/>
        <v>0</v>
      </c>
      <c r="AE59" s="35">
        <f t="shared" si="50"/>
        <v>0</v>
      </c>
      <c r="AF59" s="35">
        <f t="shared" si="50"/>
        <v>0</v>
      </c>
      <c r="AG59" s="35">
        <f t="shared" si="50"/>
        <v>0</v>
      </c>
      <c r="AH59" s="35">
        <f t="shared" si="50"/>
        <v>0</v>
      </c>
      <c r="AI59" s="281">
        <f>+AI58/(A58*A$1)</f>
        <v>0.87352790578597028</v>
      </c>
      <c r="AJ59" s="282">
        <f>AJ58/($A58*AK1)</f>
        <v>0.87352790578597028</v>
      </c>
    </row>
    <row r="60" spans="1:38" x14ac:dyDescent="0.3">
      <c r="A60" s="203"/>
      <c r="B60" s="33"/>
      <c r="C60" s="330" t="s">
        <v>17</v>
      </c>
      <c r="D60" s="37">
        <f>+IFERROR(D62/D58,0)</f>
        <v>129.86516853932585</v>
      </c>
      <c r="E60" s="37">
        <f t="shared" ref="E60:AH60" si="51">+IFERROR(E62/E58,0)</f>
        <v>137.84615384615384</v>
      </c>
      <c r="F60" s="37">
        <f t="shared" si="51"/>
        <v>136.34782608695653</v>
      </c>
      <c r="G60" s="37">
        <f t="shared" si="51"/>
        <v>136.20032258064515</v>
      </c>
      <c r="H60" s="37">
        <f t="shared" si="51"/>
        <v>140.79727272727271</v>
      </c>
      <c r="I60" s="37">
        <f t="shared" si="51"/>
        <v>106.245</v>
      </c>
      <c r="J60" s="37">
        <f t="shared" si="51"/>
        <v>112.91860465116279</v>
      </c>
      <c r="K60" s="37">
        <f t="shared" si="51"/>
        <v>135.86153846153846</v>
      </c>
      <c r="L60" s="37">
        <f t="shared" si="51"/>
        <v>137.95141304347825</v>
      </c>
      <c r="M60" s="37">
        <f t="shared" si="51"/>
        <v>135.7883908045977</v>
      </c>
      <c r="N60" s="37">
        <f t="shared" si="51"/>
        <v>99.877857142857138</v>
      </c>
      <c r="O60" s="37">
        <f t="shared" si="51"/>
        <v>98.839761904761914</v>
      </c>
      <c r="P60" s="37">
        <f t="shared" si="51"/>
        <v>113.70266666666666</v>
      </c>
      <c r="Q60" s="37">
        <f t="shared" si="51"/>
        <v>121.26060606060605</v>
      </c>
      <c r="R60" s="37">
        <f t="shared" si="51"/>
        <v>112.68641025641027</v>
      </c>
      <c r="S60" s="37">
        <f t="shared" si="51"/>
        <v>130.63290322580644</v>
      </c>
      <c r="T60" s="37">
        <f t="shared" si="51"/>
        <v>152.93494623655914</v>
      </c>
      <c r="U60" s="37">
        <f t="shared" si="51"/>
        <v>137.24402173913043</v>
      </c>
      <c r="V60" s="37">
        <f t="shared" si="51"/>
        <v>123.09124999999999</v>
      </c>
      <c r="W60" s="37">
        <f t="shared" si="51"/>
        <v>0</v>
      </c>
      <c r="X60" s="37">
        <f t="shared" si="51"/>
        <v>108.55079365079365</v>
      </c>
      <c r="Y60" s="37">
        <f t="shared" si="51"/>
        <v>0</v>
      </c>
      <c r="Z60" s="37">
        <f t="shared" si="51"/>
        <v>0</v>
      </c>
      <c r="AA60" s="37">
        <f t="shared" si="51"/>
        <v>0</v>
      </c>
      <c r="AB60" s="37">
        <f t="shared" si="51"/>
        <v>0</v>
      </c>
      <c r="AC60" s="37">
        <f t="shared" si="51"/>
        <v>0</v>
      </c>
      <c r="AD60" s="37">
        <f t="shared" si="51"/>
        <v>0</v>
      </c>
      <c r="AE60" s="37">
        <f t="shared" si="51"/>
        <v>0</v>
      </c>
      <c r="AF60" s="37">
        <f t="shared" si="51"/>
        <v>0</v>
      </c>
      <c r="AG60" s="37">
        <f t="shared" si="51"/>
        <v>0</v>
      </c>
      <c r="AH60" s="37">
        <f t="shared" si="51"/>
        <v>0</v>
      </c>
      <c r="AI60" s="283">
        <f>+AI62/AI58</f>
        <v>126.34640093786636</v>
      </c>
      <c r="AJ60" s="279">
        <f>+AJ62/AJ58</f>
        <v>126.34640093786636</v>
      </c>
    </row>
    <row r="61" spans="1:38" x14ac:dyDescent="0.3">
      <c r="A61" s="203"/>
      <c r="B61" s="33"/>
      <c r="C61" s="330" t="s">
        <v>18</v>
      </c>
      <c r="D61" s="37">
        <f>+D59*D60</f>
        <v>124.27956989247313</v>
      </c>
      <c r="E61" s="37">
        <f t="shared" ref="E61:AH61" si="52">+E59*E60</f>
        <v>134.88172043010752</v>
      </c>
      <c r="F61" s="37">
        <f t="shared" si="52"/>
        <v>134.88172043010755</v>
      </c>
      <c r="G61" s="37">
        <f t="shared" si="52"/>
        <v>136.20032258064515</v>
      </c>
      <c r="H61" s="37">
        <f t="shared" si="52"/>
        <v>133.22752688172042</v>
      </c>
      <c r="I61" s="37">
        <f t="shared" si="52"/>
        <v>84.539032258064509</v>
      </c>
      <c r="J61" s="37">
        <f t="shared" si="52"/>
        <v>104.41935483870968</v>
      </c>
      <c r="K61" s="37">
        <f t="shared" si="52"/>
        <v>132.93978494623656</v>
      </c>
      <c r="L61" s="37">
        <f t="shared" si="52"/>
        <v>136.46806451612903</v>
      </c>
      <c r="M61" s="37">
        <f t="shared" si="52"/>
        <v>127.02784946236558</v>
      </c>
      <c r="N61" s="37">
        <f t="shared" si="52"/>
        <v>90.212258064516121</v>
      </c>
      <c r="O61" s="37">
        <f t="shared" si="52"/>
        <v>89.274623655913985</v>
      </c>
      <c r="P61" s="37">
        <f t="shared" si="52"/>
        <v>110.03483870967742</v>
      </c>
      <c r="Q61" s="37">
        <f t="shared" si="52"/>
        <v>86.055913978494615</v>
      </c>
      <c r="R61" s="37">
        <f t="shared" si="52"/>
        <v>94.511182795698943</v>
      </c>
      <c r="S61" s="37">
        <f t="shared" si="52"/>
        <v>130.63290322580644</v>
      </c>
      <c r="T61" s="37">
        <f t="shared" si="52"/>
        <v>152.93494623655914</v>
      </c>
      <c r="U61" s="37">
        <f t="shared" si="52"/>
        <v>135.76827956989248</v>
      </c>
      <c r="V61" s="37">
        <f t="shared" si="52"/>
        <v>105.88494623655913</v>
      </c>
      <c r="W61" s="37">
        <f t="shared" si="52"/>
        <v>0</v>
      </c>
      <c r="X61" s="37">
        <f t="shared" si="52"/>
        <v>73.534408602150535</v>
      </c>
      <c r="Y61" s="37">
        <f t="shared" si="52"/>
        <v>0</v>
      </c>
      <c r="Z61" s="37">
        <f t="shared" si="52"/>
        <v>0</v>
      </c>
      <c r="AA61" s="37">
        <f t="shared" si="52"/>
        <v>0</v>
      </c>
      <c r="AB61" s="37">
        <f t="shared" si="52"/>
        <v>0</v>
      </c>
      <c r="AC61" s="37">
        <f t="shared" si="52"/>
        <v>0</v>
      </c>
      <c r="AD61" s="37">
        <f t="shared" si="52"/>
        <v>0</v>
      </c>
      <c r="AE61" s="37">
        <f t="shared" si="52"/>
        <v>0</v>
      </c>
      <c r="AF61" s="37">
        <f t="shared" si="52"/>
        <v>0</v>
      </c>
      <c r="AG61" s="37">
        <f t="shared" si="52"/>
        <v>0</v>
      </c>
      <c r="AH61" s="37">
        <f t="shared" si="52"/>
        <v>0</v>
      </c>
      <c r="AI61" s="283">
        <f>+AI60*AI59</f>
        <v>110.36710701484895</v>
      </c>
      <c r="AJ61" s="279">
        <f>+AJ59*AJ60</f>
        <v>110.36710701484895</v>
      </c>
    </row>
    <row r="62" spans="1:38" ht="15" thickBot="1" x14ac:dyDescent="0.35">
      <c r="A62" s="203"/>
      <c r="B62" s="33"/>
      <c r="C62" s="330" t="s">
        <v>19</v>
      </c>
      <c r="D62" s="158">
        <v>11558</v>
      </c>
      <c r="E62" s="158">
        <v>12544</v>
      </c>
      <c r="F62" s="158">
        <v>12544</v>
      </c>
      <c r="G62" s="158">
        <v>12666.63</v>
      </c>
      <c r="H62" s="158">
        <v>12390.16</v>
      </c>
      <c r="I62" s="158">
        <v>7862.13</v>
      </c>
      <c r="J62" s="326">
        <v>9711</v>
      </c>
      <c r="K62" s="158">
        <v>12363.4</v>
      </c>
      <c r="L62" s="158">
        <v>12691.53</v>
      </c>
      <c r="M62" s="326">
        <v>11813.59</v>
      </c>
      <c r="N62" s="158">
        <v>8389.74</v>
      </c>
      <c r="O62" s="158">
        <v>8302.5400000000009</v>
      </c>
      <c r="P62" s="158">
        <v>10233.24</v>
      </c>
      <c r="Q62" s="158">
        <v>8003.2</v>
      </c>
      <c r="R62" s="158">
        <v>8789.5400000000009</v>
      </c>
      <c r="S62" s="158">
        <v>12148.86</v>
      </c>
      <c r="T62" s="158">
        <v>14222.95</v>
      </c>
      <c r="U62" s="158">
        <v>12626.45</v>
      </c>
      <c r="V62" s="158">
        <v>9847.2999999999993</v>
      </c>
      <c r="W62" s="158"/>
      <c r="X62" s="158">
        <v>6838.7</v>
      </c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284">
        <f>SUM(D62:AH62)</f>
        <v>215546.96000000002</v>
      </c>
      <c r="AJ62" s="285">
        <f>+AI62/$A$1*$AK$1</f>
        <v>318188.36952380952</v>
      </c>
    </row>
    <row r="63" spans="1:38" x14ac:dyDescent="0.3">
      <c r="A63" s="203">
        <v>118</v>
      </c>
      <c r="B63" s="159" t="s">
        <v>39</v>
      </c>
      <c r="C63" s="332" t="s">
        <v>15</v>
      </c>
      <c r="D63" s="228">
        <v>76</v>
      </c>
      <c r="E63" s="228">
        <v>83</v>
      </c>
      <c r="F63" s="228">
        <v>81</v>
      </c>
      <c r="G63" s="228">
        <v>79</v>
      </c>
      <c r="H63" s="228">
        <v>77</v>
      </c>
      <c r="I63" s="228">
        <v>72</v>
      </c>
      <c r="J63" s="228">
        <v>59</v>
      </c>
      <c r="K63" s="228">
        <v>79</v>
      </c>
      <c r="L63" s="228">
        <v>66</v>
      </c>
      <c r="M63" s="228">
        <v>76</v>
      </c>
      <c r="N63" s="228">
        <v>77</v>
      </c>
      <c r="O63" s="228">
        <v>73</v>
      </c>
      <c r="P63" s="228">
        <v>70</v>
      </c>
      <c r="Q63" s="228">
        <v>55</v>
      </c>
      <c r="R63" s="228">
        <v>60</v>
      </c>
      <c r="S63" s="228">
        <v>82</v>
      </c>
      <c r="T63" s="228">
        <v>84</v>
      </c>
      <c r="U63" s="228">
        <v>87</v>
      </c>
      <c r="V63" s="228">
        <v>68</v>
      </c>
      <c r="W63" s="228">
        <v>69</v>
      </c>
      <c r="X63" s="228">
        <v>84</v>
      </c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88">
        <f>SUM(D63:AH63)</f>
        <v>1557</v>
      </c>
      <c r="AJ63" s="289">
        <f>+$AI63/$A$1*$AK$1</f>
        <v>2298.4285714285711</v>
      </c>
    </row>
    <row r="64" spans="1:38" x14ac:dyDescent="0.3">
      <c r="A64" s="203"/>
      <c r="B64" s="162"/>
      <c r="C64" s="333" t="s">
        <v>16</v>
      </c>
      <c r="D64" s="164">
        <f>+D63/$A63</f>
        <v>0.64406779661016944</v>
      </c>
      <c r="E64" s="164">
        <f t="shared" ref="E64:AH64" si="53">+E63/$A63</f>
        <v>0.70338983050847459</v>
      </c>
      <c r="F64" s="164">
        <v>0.68640000000000001</v>
      </c>
      <c r="G64" s="164">
        <f t="shared" si="53"/>
        <v>0.66949152542372881</v>
      </c>
      <c r="H64" s="164">
        <f t="shared" si="53"/>
        <v>0.65254237288135597</v>
      </c>
      <c r="I64" s="164">
        <f t="shared" si="53"/>
        <v>0.61016949152542377</v>
      </c>
      <c r="J64" s="164">
        <f t="shared" ref="J64" si="54">+J63/$A63</f>
        <v>0.5</v>
      </c>
      <c r="K64" s="164">
        <f t="shared" si="53"/>
        <v>0.66949152542372881</v>
      </c>
      <c r="L64" s="164">
        <f t="shared" si="53"/>
        <v>0.55932203389830504</v>
      </c>
      <c r="M64" s="164">
        <f t="shared" si="53"/>
        <v>0.64406779661016944</v>
      </c>
      <c r="N64" s="164">
        <f t="shared" si="53"/>
        <v>0.65254237288135597</v>
      </c>
      <c r="O64" s="164">
        <f t="shared" si="53"/>
        <v>0.61864406779661019</v>
      </c>
      <c r="P64" s="164">
        <f t="shared" si="53"/>
        <v>0.59322033898305082</v>
      </c>
      <c r="Q64" s="164">
        <f t="shared" si="53"/>
        <v>0.46610169491525422</v>
      </c>
      <c r="R64" s="164">
        <f t="shared" si="53"/>
        <v>0.50847457627118642</v>
      </c>
      <c r="S64" s="164">
        <f t="shared" si="53"/>
        <v>0.69491525423728817</v>
      </c>
      <c r="T64" s="164">
        <f t="shared" si="53"/>
        <v>0.71186440677966101</v>
      </c>
      <c r="U64" s="164">
        <f t="shared" si="53"/>
        <v>0.73728813559322037</v>
      </c>
      <c r="V64" s="164">
        <f t="shared" si="53"/>
        <v>0.57627118644067798</v>
      </c>
      <c r="W64" s="164">
        <f t="shared" si="53"/>
        <v>0.5847457627118644</v>
      </c>
      <c r="X64" s="164">
        <f t="shared" si="53"/>
        <v>0.71186440677966101</v>
      </c>
      <c r="Y64" s="164">
        <f t="shared" si="53"/>
        <v>0</v>
      </c>
      <c r="Z64" s="164">
        <f t="shared" si="53"/>
        <v>0</v>
      </c>
      <c r="AA64" s="164">
        <f>+AA63/$A63</f>
        <v>0</v>
      </c>
      <c r="AB64" s="164">
        <f t="shared" si="53"/>
        <v>0</v>
      </c>
      <c r="AC64" s="164">
        <f t="shared" si="53"/>
        <v>0</v>
      </c>
      <c r="AD64" s="164">
        <f t="shared" si="53"/>
        <v>0</v>
      </c>
      <c r="AE64" s="164">
        <f t="shared" si="53"/>
        <v>0</v>
      </c>
      <c r="AF64" s="164">
        <f t="shared" si="53"/>
        <v>0</v>
      </c>
      <c r="AG64" s="164">
        <f t="shared" si="53"/>
        <v>0</v>
      </c>
      <c r="AH64" s="164">
        <f t="shared" si="53"/>
        <v>0</v>
      </c>
      <c r="AI64" s="290">
        <f>+AI63/(A63*A$1)</f>
        <v>0.62832929782082325</v>
      </c>
      <c r="AJ64" s="291">
        <f>AJ63/($A63*AK1)</f>
        <v>0.62832929782082314</v>
      </c>
    </row>
    <row r="65" spans="1:36" x14ac:dyDescent="0.3">
      <c r="A65" s="203"/>
      <c r="B65" s="162"/>
      <c r="C65" s="333" t="s">
        <v>17</v>
      </c>
      <c r="D65" s="165">
        <f t="shared" ref="D65:AH65" si="55">+IFERROR(D67/D63,0)</f>
        <v>95.868421052631575</v>
      </c>
      <c r="E65" s="165">
        <f t="shared" si="55"/>
        <v>100.07228915662651</v>
      </c>
      <c r="F65" s="165">
        <f t="shared" si="55"/>
        <v>100.39506172839506</v>
      </c>
      <c r="G65" s="165">
        <f t="shared" si="55"/>
        <v>97.192658227848099</v>
      </c>
      <c r="H65" s="165">
        <f t="shared" si="55"/>
        <v>123.43467532467531</v>
      </c>
      <c r="I65" s="165">
        <f t="shared" si="55"/>
        <v>116.87402777777778</v>
      </c>
      <c r="J65" s="165">
        <f t="shared" ref="J65" si="56">+IFERROR(J67/J63,0)</f>
        <v>85.062542372881353</v>
      </c>
      <c r="K65" s="165">
        <f t="shared" si="55"/>
        <v>94.419113924050635</v>
      </c>
      <c r="L65" s="165">
        <f t="shared" si="55"/>
        <v>102.05984848484849</v>
      </c>
      <c r="M65" s="165">
        <f t="shared" si="55"/>
        <v>96.615526315789467</v>
      </c>
      <c r="N65" s="165">
        <f t="shared" si="55"/>
        <v>91.008311688311693</v>
      </c>
      <c r="O65" s="165">
        <f t="shared" si="55"/>
        <v>124.54863013698629</v>
      </c>
      <c r="P65" s="165">
        <f t="shared" si="55"/>
        <v>119.08457142857144</v>
      </c>
      <c r="Q65" s="165">
        <f t="shared" si="55"/>
        <v>83.727999999999994</v>
      </c>
      <c r="R65" s="165">
        <f t="shared" si="55"/>
        <v>111.05716666666667</v>
      </c>
      <c r="S65" s="165">
        <f t="shared" si="55"/>
        <v>151.14756097560976</v>
      </c>
      <c r="T65" s="165">
        <f t="shared" si="55"/>
        <v>154.01214285714286</v>
      </c>
      <c r="U65" s="165">
        <f t="shared" si="55"/>
        <v>163.99689655172412</v>
      </c>
      <c r="V65" s="165">
        <f t="shared" si="55"/>
        <v>140.84529411764706</v>
      </c>
      <c r="W65" s="165">
        <f t="shared" si="55"/>
        <v>117.17173913043479</v>
      </c>
      <c r="X65" s="165">
        <f t="shared" si="55"/>
        <v>154.01214285714286</v>
      </c>
      <c r="Y65" s="165">
        <f t="shared" si="55"/>
        <v>0</v>
      </c>
      <c r="Z65" s="165">
        <f t="shared" si="55"/>
        <v>0</v>
      </c>
      <c r="AA65" s="165">
        <f>+IFERROR(AA67/AA63,0)</f>
        <v>0</v>
      </c>
      <c r="AB65" s="165">
        <f t="shared" si="55"/>
        <v>0</v>
      </c>
      <c r="AC65" s="165">
        <f t="shared" si="55"/>
        <v>0</v>
      </c>
      <c r="AD65" s="165">
        <f t="shared" si="55"/>
        <v>0</v>
      </c>
      <c r="AE65" s="165">
        <f t="shared" si="55"/>
        <v>0</v>
      </c>
      <c r="AF65" s="165">
        <f t="shared" si="55"/>
        <v>0</v>
      </c>
      <c r="AG65" s="165">
        <f t="shared" si="55"/>
        <v>0</v>
      </c>
      <c r="AH65" s="165">
        <f t="shared" si="55"/>
        <v>0</v>
      </c>
      <c r="AI65" s="292">
        <f>+AI67/AI63</f>
        <v>116.75043673731537</v>
      </c>
      <c r="AJ65" s="293">
        <f>+AJ67/AJ63</f>
        <v>116.75043673731538</v>
      </c>
    </row>
    <row r="66" spans="1:36" x14ac:dyDescent="0.3">
      <c r="A66" s="203"/>
      <c r="B66" s="162"/>
      <c r="C66" s="333" t="s">
        <v>18</v>
      </c>
      <c r="D66" s="165">
        <f t="shared" ref="D66:AH66" si="57">+D64*D65</f>
        <v>61.745762711864401</v>
      </c>
      <c r="E66" s="165">
        <f t="shared" si="57"/>
        <v>70.389830508474574</v>
      </c>
      <c r="F66" s="165">
        <f t="shared" si="57"/>
        <v>68.911170370370371</v>
      </c>
      <c r="G66" s="165">
        <f t="shared" si="57"/>
        <v>65.069661016949155</v>
      </c>
      <c r="H66" s="165">
        <f t="shared" si="57"/>
        <v>80.546355932203383</v>
      </c>
      <c r="I66" s="165">
        <f t="shared" si="57"/>
        <v>71.312966101694926</v>
      </c>
      <c r="J66" s="165">
        <f t="shared" ref="J66" si="58">+J64*J65</f>
        <v>42.531271186440677</v>
      </c>
      <c r="K66" s="165">
        <f t="shared" si="57"/>
        <v>63.212796610169491</v>
      </c>
      <c r="L66" s="165">
        <f t="shared" si="57"/>
        <v>57.084322033898303</v>
      </c>
      <c r="M66" s="165">
        <f t="shared" si="57"/>
        <v>62.22694915254236</v>
      </c>
      <c r="N66" s="165">
        <f t="shared" si="57"/>
        <v>59.386779661016952</v>
      </c>
      <c r="O66" s="165">
        <f t="shared" si="57"/>
        <v>77.051271186440673</v>
      </c>
      <c r="P66" s="165">
        <f t="shared" si="57"/>
        <v>70.643389830508482</v>
      </c>
      <c r="Q66" s="165">
        <f t="shared" si="57"/>
        <v>39.025762711864402</v>
      </c>
      <c r="R66" s="165">
        <f t="shared" si="57"/>
        <v>56.469745762711867</v>
      </c>
      <c r="S66" s="165">
        <f t="shared" si="57"/>
        <v>105.03474576271188</v>
      </c>
      <c r="T66" s="165">
        <f t="shared" si="57"/>
        <v>109.63576271186442</v>
      </c>
      <c r="U66" s="165">
        <f t="shared" si="57"/>
        <v>120.91296610169491</v>
      </c>
      <c r="V66" s="165">
        <f t="shared" si="57"/>
        <v>81.165084745762712</v>
      </c>
      <c r="W66" s="165">
        <f t="shared" si="57"/>
        <v>68.515677966101691</v>
      </c>
      <c r="X66" s="165">
        <f t="shared" si="57"/>
        <v>109.63576271186442</v>
      </c>
      <c r="Y66" s="165">
        <f t="shared" si="57"/>
        <v>0</v>
      </c>
      <c r="Z66" s="165">
        <f t="shared" si="57"/>
        <v>0</v>
      </c>
      <c r="AA66" s="165">
        <f t="shared" si="57"/>
        <v>0</v>
      </c>
      <c r="AB66" s="165">
        <f t="shared" si="57"/>
        <v>0</v>
      </c>
      <c r="AC66" s="165">
        <f t="shared" si="57"/>
        <v>0</v>
      </c>
      <c r="AD66" s="165">
        <f t="shared" si="57"/>
        <v>0</v>
      </c>
      <c r="AE66" s="165">
        <f t="shared" si="57"/>
        <v>0</v>
      </c>
      <c r="AF66" s="165">
        <f t="shared" si="57"/>
        <v>0</v>
      </c>
      <c r="AG66" s="165">
        <f t="shared" si="57"/>
        <v>0</v>
      </c>
      <c r="AH66" s="165">
        <f t="shared" si="57"/>
        <v>0</v>
      </c>
      <c r="AI66" s="292">
        <f>+AI65*AI64</f>
        <v>73.357719935431817</v>
      </c>
      <c r="AJ66" s="293">
        <f>+AJ64*AJ65</f>
        <v>73.357719935431803</v>
      </c>
    </row>
    <row r="67" spans="1:36" ht="15" thickBot="1" x14ac:dyDescent="0.35">
      <c r="A67" s="203"/>
      <c r="B67" s="162"/>
      <c r="C67" s="333" t="s">
        <v>19</v>
      </c>
      <c r="D67" s="166">
        <v>7286</v>
      </c>
      <c r="E67" s="166">
        <v>8306</v>
      </c>
      <c r="F67" s="166">
        <v>8132</v>
      </c>
      <c r="G67" s="166">
        <v>7678.22</v>
      </c>
      <c r="H67" s="166">
        <v>9504.4699999999993</v>
      </c>
      <c r="I67" s="166">
        <v>8414.93</v>
      </c>
      <c r="J67" s="166">
        <v>5018.6899999999996</v>
      </c>
      <c r="K67" s="166">
        <v>7459.11</v>
      </c>
      <c r="L67" s="166">
        <v>6735.95</v>
      </c>
      <c r="M67" s="166">
        <v>7342.78</v>
      </c>
      <c r="N67" s="166">
        <v>7007.64</v>
      </c>
      <c r="O67" s="166">
        <v>9092.0499999999993</v>
      </c>
      <c r="P67" s="166">
        <v>8335.92</v>
      </c>
      <c r="Q67" s="166">
        <v>4605.04</v>
      </c>
      <c r="R67" s="166">
        <v>6663.43</v>
      </c>
      <c r="S67" s="166">
        <v>12394.1</v>
      </c>
      <c r="T67" s="166">
        <v>12937.02</v>
      </c>
      <c r="U67" s="166">
        <v>14267.73</v>
      </c>
      <c r="V67" s="166">
        <v>9577.48</v>
      </c>
      <c r="W67" s="166">
        <v>8084.85</v>
      </c>
      <c r="X67" s="166">
        <v>12937.02</v>
      </c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294">
        <f>SUM(D67:AH67)</f>
        <v>181780.43000000002</v>
      </c>
      <c r="AJ67" s="295">
        <f>+AI67/$A$1*$AK$1</f>
        <v>268342.53952380957</v>
      </c>
    </row>
    <row r="68" spans="1:36" x14ac:dyDescent="0.3">
      <c r="A68" s="203">
        <v>103</v>
      </c>
      <c r="B68" s="201" t="s">
        <v>40</v>
      </c>
      <c r="C68" s="338" t="s">
        <v>15</v>
      </c>
      <c r="D68" s="59">
        <v>32</v>
      </c>
      <c r="E68" s="59">
        <v>47</v>
      </c>
      <c r="F68" s="59">
        <v>46</v>
      </c>
      <c r="G68" s="59">
        <v>38</v>
      </c>
      <c r="H68" s="59">
        <v>38</v>
      </c>
      <c r="I68" s="59">
        <v>48</v>
      </c>
      <c r="J68" s="59">
        <v>36</v>
      </c>
      <c r="K68" s="59">
        <v>32</v>
      </c>
      <c r="L68" s="59">
        <v>31</v>
      </c>
      <c r="M68" s="59">
        <v>27</v>
      </c>
      <c r="N68" s="59">
        <v>39</v>
      </c>
      <c r="O68" s="59">
        <v>47</v>
      </c>
      <c r="P68" s="59">
        <v>53</v>
      </c>
      <c r="Q68" s="59">
        <v>29</v>
      </c>
      <c r="R68" s="59">
        <v>41</v>
      </c>
      <c r="S68" s="59">
        <v>41</v>
      </c>
      <c r="T68" s="59">
        <v>32</v>
      </c>
      <c r="U68" s="59">
        <v>33</v>
      </c>
      <c r="V68" s="59">
        <v>34</v>
      </c>
      <c r="W68" s="59">
        <v>39</v>
      </c>
      <c r="X68" s="59">
        <v>29</v>
      </c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315">
        <f>SUM(D68:AH68)</f>
        <v>792</v>
      </c>
      <c r="AJ68" s="280">
        <f>+$AI68/$A$1*$AK$1</f>
        <v>1169.1428571428571</v>
      </c>
    </row>
    <row r="69" spans="1:36" x14ac:dyDescent="0.3">
      <c r="A69" s="203"/>
      <c r="B69" s="33"/>
      <c r="C69" s="330" t="s">
        <v>16</v>
      </c>
      <c r="D69" s="35">
        <f t="shared" ref="D69:AH69" si="59">+D68/$A68</f>
        <v>0.31067961165048541</v>
      </c>
      <c r="E69" s="35">
        <f t="shared" si="59"/>
        <v>0.4563106796116505</v>
      </c>
      <c r="F69" s="35">
        <f t="shared" si="59"/>
        <v>0.44660194174757284</v>
      </c>
      <c r="G69" s="35">
        <f t="shared" si="59"/>
        <v>0.36893203883495146</v>
      </c>
      <c r="H69" s="35">
        <f t="shared" si="59"/>
        <v>0.36893203883495146</v>
      </c>
      <c r="I69" s="35">
        <f t="shared" si="59"/>
        <v>0.46601941747572817</v>
      </c>
      <c r="J69" s="35">
        <f t="shared" si="59"/>
        <v>0.34951456310679613</v>
      </c>
      <c r="K69" s="35">
        <f t="shared" si="59"/>
        <v>0.31067961165048541</v>
      </c>
      <c r="L69" s="35">
        <f t="shared" si="59"/>
        <v>0.30097087378640774</v>
      </c>
      <c r="M69" s="35">
        <f t="shared" si="59"/>
        <v>0.26213592233009708</v>
      </c>
      <c r="N69" s="35">
        <f t="shared" si="59"/>
        <v>0.37864077669902912</v>
      </c>
      <c r="O69" s="35">
        <f t="shared" si="59"/>
        <v>0.4563106796116505</v>
      </c>
      <c r="P69" s="35">
        <f>+P68/$A68</f>
        <v>0.5145631067961165</v>
      </c>
      <c r="Q69" s="35">
        <f t="shared" si="59"/>
        <v>0.28155339805825241</v>
      </c>
      <c r="R69" s="35">
        <f t="shared" si="59"/>
        <v>0.39805825242718446</v>
      </c>
      <c r="S69" s="35">
        <f t="shared" si="59"/>
        <v>0.39805825242718446</v>
      </c>
      <c r="T69" s="35">
        <f>+T68/$A68</f>
        <v>0.31067961165048541</v>
      </c>
      <c r="U69" s="35">
        <f>+U68/$A68</f>
        <v>0.32038834951456313</v>
      </c>
      <c r="V69" s="35">
        <f t="shared" si="59"/>
        <v>0.3300970873786408</v>
      </c>
      <c r="W69" s="35">
        <f t="shared" si="59"/>
        <v>0.37864077669902912</v>
      </c>
      <c r="X69" s="35">
        <f t="shared" si="59"/>
        <v>0.28155339805825241</v>
      </c>
      <c r="Y69" s="35">
        <f t="shared" si="59"/>
        <v>0</v>
      </c>
      <c r="Z69" s="35">
        <f t="shared" si="59"/>
        <v>0</v>
      </c>
      <c r="AA69" s="35">
        <f t="shared" si="59"/>
        <v>0</v>
      </c>
      <c r="AB69" s="35">
        <f t="shared" si="59"/>
        <v>0</v>
      </c>
      <c r="AC69" s="35">
        <f t="shared" si="59"/>
        <v>0</v>
      </c>
      <c r="AD69" s="35">
        <f t="shared" si="59"/>
        <v>0</v>
      </c>
      <c r="AE69" s="35">
        <f t="shared" si="59"/>
        <v>0</v>
      </c>
      <c r="AF69" s="35">
        <f t="shared" si="59"/>
        <v>0</v>
      </c>
      <c r="AG69" s="35">
        <f t="shared" si="59"/>
        <v>0</v>
      </c>
      <c r="AH69" s="35">
        <f t="shared" si="59"/>
        <v>0</v>
      </c>
      <c r="AI69" s="281">
        <f>+AI68/(A68*A$1)</f>
        <v>0.36615811373092927</v>
      </c>
      <c r="AJ69" s="282">
        <f>AJ68/($A68*AK1)</f>
        <v>0.36615811373092927</v>
      </c>
    </row>
    <row r="70" spans="1:36" x14ac:dyDescent="0.3">
      <c r="A70" s="203"/>
      <c r="B70" s="33"/>
      <c r="C70" s="330" t="s">
        <v>17</v>
      </c>
      <c r="D70" s="37">
        <f t="shared" ref="D70:R70" si="60">+IFERROR(D72/D68,0)</f>
        <v>86.65625</v>
      </c>
      <c r="E70" s="37">
        <f t="shared" si="60"/>
        <v>87</v>
      </c>
      <c r="F70" s="37">
        <f t="shared" si="60"/>
        <v>94.217391304347828</v>
      </c>
      <c r="G70" s="37">
        <f t="shared" si="60"/>
        <v>75.023684210526312</v>
      </c>
      <c r="H70" s="37">
        <f t="shared" si="60"/>
        <v>94.998421052631585</v>
      </c>
      <c r="I70" s="37">
        <f t="shared" si="60"/>
        <v>106.91666666666667</v>
      </c>
      <c r="J70" s="37">
        <f t="shared" si="60"/>
        <v>85.064444444444447</v>
      </c>
      <c r="K70" s="37">
        <f t="shared" si="60"/>
        <v>90.0625</v>
      </c>
      <c r="L70" s="37">
        <f t="shared" si="60"/>
        <v>95.411612903225816</v>
      </c>
      <c r="M70" s="37">
        <f t="shared" si="60"/>
        <v>90.360740740740738</v>
      </c>
      <c r="N70" s="37">
        <f t="shared" si="60"/>
        <v>97.318205128205122</v>
      </c>
      <c r="O70" s="37">
        <f t="shared" si="60"/>
        <v>102.39191489361703</v>
      </c>
      <c r="P70" s="37">
        <f t="shared" si="60"/>
        <v>104.60075471698113</v>
      </c>
      <c r="Q70" s="37">
        <f t="shared" si="60"/>
        <v>94.184827586206907</v>
      </c>
      <c r="R70" s="37">
        <f t="shared" si="60"/>
        <v>88.071951219512187</v>
      </c>
      <c r="S70" s="37">
        <f>+IFERROR(S72/S68,0)</f>
        <v>91.987560975609753</v>
      </c>
      <c r="T70" s="37">
        <f t="shared" ref="T70:AH70" si="61">+IFERROR(T72/T68,0)</f>
        <v>87.15</v>
      </c>
      <c r="U70" s="37">
        <f t="shared" si="61"/>
        <v>88.286060606060602</v>
      </c>
      <c r="V70" s="37">
        <f t="shared" si="61"/>
        <v>94.747647058823532</v>
      </c>
      <c r="W70" s="37">
        <f t="shared" si="61"/>
        <v>108.9625641025641</v>
      </c>
      <c r="X70" s="37">
        <f t="shared" si="61"/>
        <v>84.232758620689651</v>
      </c>
      <c r="Y70" s="37">
        <f t="shared" si="61"/>
        <v>0</v>
      </c>
      <c r="Z70" s="37">
        <f t="shared" si="61"/>
        <v>0</v>
      </c>
      <c r="AA70" s="37">
        <f t="shared" si="61"/>
        <v>0</v>
      </c>
      <c r="AB70" s="37">
        <f t="shared" si="61"/>
        <v>0</v>
      </c>
      <c r="AC70" s="37">
        <f t="shared" si="61"/>
        <v>0</v>
      </c>
      <c r="AD70" s="37">
        <f t="shared" si="61"/>
        <v>0</v>
      </c>
      <c r="AE70" s="37">
        <f t="shared" si="61"/>
        <v>0</v>
      </c>
      <c r="AF70" s="37">
        <f t="shared" si="61"/>
        <v>0</v>
      </c>
      <c r="AG70" s="37">
        <f t="shared" si="61"/>
        <v>0</v>
      </c>
      <c r="AH70" s="37">
        <f t="shared" si="61"/>
        <v>0</v>
      </c>
      <c r="AI70" s="283">
        <f>+AI72/AI68</f>
        <v>93.449595959595939</v>
      </c>
      <c r="AJ70" s="279">
        <f>+AJ72/AJ68</f>
        <v>93.449595959595953</v>
      </c>
    </row>
    <row r="71" spans="1:36" x14ac:dyDescent="0.3">
      <c r="A71" s="203"/>
      <c r="B71" s="33"/>
      <c r="C71" s="330" t="s">
        <v>18</v>
      </c>
      <c r="D71" s="37">
        <f t="shared" ref="D71:AH71" si="62">+D69*D70</f>
        <v>26.922330097087375</v>
      </c>
      <c r="E71" s="37">
        <f t="shared" si="62"/>
        <v>39.699029126213595</v>
      </c>
      <c r="F71" s="37">
        <f t="shared" si="62"/>
        <v>42.077669902912625</v>
      </c>
      <c r="G71" s="37">
        <f t="shared" si="62"/>
        <v>27.678640776699027</v>
      </c>
      <c r="H71" s="37">
        <f t="shared" si="62"/>
        <v>35.047961165048548</v>
      </c>
      <c r="I71" s="37">
        <f t="shared" si="62"/>
        <v>49.825242718446603</v>
      </c>
      <c r="J71" s="37">
        <f t="shared" si="62"/>
        <v>29.731262135922332</v>
      </c>
      <c r="K71" s="37">
        <f t="shared" si="62"/>
        <v>27.980582524271842</v>
      </c>
      <c r="L71" s="37">
        <f t="shared" si="62"/>
        <v>28.716116504854369</v>
      </c>
      <c r="M71" s="37">
        <f t="shared" si="62"/>
        <v>23.686796116504855</v>
      </c>
      <c r="N71" s="37">
        <f t="shared" si="62"/>
        <v>36.848640776699028</v>
      </c>
      <c r="O71" s="37">
        <f t="shared" si="62"/>
        <v>46.722524271844662</v>
      </c>
      <c r="P71" s="37">
        <f t="shared" si="62"/>
        <v>53.823689320388347</v>
      </c>
      <c r="Q71" s="37">
        <f t="shared" si="62"/>
        <v>26.518058252427185</v>
      </c>
      <c r="R71" s="37">
        <f t="shared" si="62"/>
        <v>35.057766990291256</v>
      </c>
      <c r="S71" s="37">
        <f t="shared" si="62"/>
        <v>36.616407766990292</v>
      </c>
      <c r="T71" s="37">
        <f t="shared" si="62"/>
        <v>27.075728155339807</v>
      </c>
      <c r="U71" s="37">
        <f t="shared" si="62"/>
        <v>28.285825242718449</v>
      </c>
      <c r="V71" s="37">
        <f t="shared" si="62"/>
        <v>31.275922330097089</v>
      </c>
      <c r="W71" s="37">
        <f t="shared" si="62"/>
        <v>41.257669902912617</v>
      </c>
      <c r="X71" s="37">
        <f t="shared" si="62"/>
        <v>23.716019417475724</v>
      </c>
      <c r="Y71" s="37">
        <f t="shared" si="62"/>
        <v>0</v>
      </c>
      <c r="Z71" s="37">
        <f t="shared" si="62"/>
        <v>0</v>
      </c>
      <c r="AA71" s="37">
        <f t="shared" si="62"/>
        <v>0</v>
      </c>
      <c r="AB71" s="37">
        <f t="shared" si="62"/>
        <v>0</v>
      </c>
      <c r="AC71" s="37">
        <f t="shared" si="62"/>
        <v>0</v>
      </c>
      <c r="AD71" s="37">
        <f t="shared" si="62"/>
        <v>0</v>
      </c>
      <c r="AE71" s="37">
        <f t="shared" si="62"/>
        <v>0</v>
      </c>
      <c r="AF71" s="37">
        <f t="shared" si="62"/>
        <v>0</v>
      </c>
      <c r="AG71" s="37">
        <f t="shared" si="62"/>
        <v>0</v>
      </c>
      <c r="AH71" s="37">
        <f t="shared" si="62"/>
        <v>0</v>
      </c>
      <c r="AI71" s="283">
        <f>+AI70*AI69</f>
        <v>34.217327785483121</v>
      </c>
      <c r="AJ71" s="279">
        <f>+AJ69*AJ70</f>
        <v>34.217327785483121</v>
      </c>
    </row>
    <row r="72" spans="1:36" ht="15" thickBot="1" x14ac:dyDescent="0.35">
      <c r="A72" s="203"/>
      <c r="B72" s="33"/>
      <c r="C72" s="330" t="s">
        <v>19</v>
      </c>
      <c r="D72" s="158">
        <v>2773</v>
      </c>
      <c r="E72" s="158">
        <v>4089</v>
      </c>
      <c r="F72" s="158">
        <v>4334</v>
      </c>
      <c r="G72" s="158">
        <v>2850.9</v>
      </c>
      <c r="H72" s="158">
        <v>3609.94</v>
      </c>
      <c r="I72" s="158">
        <v>5132</v>
      </c>
      <c r="J72" s="158">
        <v>3062.32</v>
      </c>
      <c r="K72" s="158">
        <v>2882</v>
      </c>
      <c r="L72" s="158">
        <v>2957.76</v>
      </c>
      <c r="M72" s="158">
        <v>2439.7399999999998</v>
      </c>
      <c r="N72" s="158">
        <v>3795.41</v>
      </c>
      <c r="O72" s="158">
        <v>4812.42</v>
      </c>
      <c r="P72" s="158">
        <v>5543.84</v>
      </c>
      <c r="Q72" s="158">
        <v>2731.36</v>
      </c>
      <c r="R72" s="222">
        <v>3610.95</v>
      </c>
      <c r="S72" s="158">
        <v>3771.49</v>
      </c>
      <c r="T72" s="158">
        <v>2788.8</v>
      </c>
      <c r="U72" s="158">
        <v>2913.44</v>
      </c>
      <c r="V72" s="158">
        <v>3221.42</v>
      </c>
      <c r="W72" s="158">
        <v>4249.54</v>
      </c>
      <c r="X72" s="158">
        <v>2442.75</v>
      </c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284">
        <f>SUM(D72:AH72)</f>
        <v>74012.079999999987</v>
      </c>
      <c r="AJ72" s="285">
        <f>+AI72/$A$1*$AK$1</f>
        <v>109255.92761904761</v>
      </c>
    </row>
    <row r="73" spans="1:36" x14ac:dyDescent="0.3">
      <c r="A73" s="203">
        <v>115</v>
      </c>
      <c r="B73" s="159" t="s">
        <v>41</v>
      </c>
      <c r="C73" s="332" t="s">
        <v>15</v>
      </c>
      <c r="D73" s="228">
        <v>55</v>
      </c>
      <c r="E73" s="228">
        <v>58</v>
      </c>
      <c r="F73" s="228">
        <v>61</v>
      </c>
      <c r="G73" s="228">
        <v>71</v>
      </c>
      <c r="H73" s="228">
        <v>92</v>
      </c>
      <c r="I73" s="228">
        <v>115</v>
      </c>
      <c r="J73" s="228">
        <v>49</v>
      </c>
      <c r="K73" s="228">
        <v>46</v>
      </c>
      <c r="L73" s="228">
        <v>61</v>
      </c>
      <c r="M73" s="228">
        <v>69</v>
      </c>
      <c r="N73" s="228">
        <v>69</v>
      </c>
      <c r="O73" s="228">
        <v>75</v>
      </c>
      <c r="P73" s="228">
        <v>89</v>
      </c>
      <c r="Q73" s="228">
        <v>49</v>
      </c>
      <c r="R73" s="228">
        <v>58</v>
      </c>
      <c r="S73" s="228">
        <v>64</v>
      </c>
      <c r="T73" s="228">
        <v>55</v>
      </c>
      <c r="U73" s="228">
        <v>106</v>
      </c>
      <c r="V73" s="228">
        <v>69</v>
      </c>
      <c r="W73" s="228">
        <v>78</v>
      </c>
      <c r="X73" s="228">
        <v>30</v>
      </c>
      <c r="Y73" s="228"/>
      <c r="Z73" s="228"/>
      <c r="AA73" s="228"/>
      <c r="AB73" s="228"/>
      <c r="AC73" s="228"/>
      <c r="AD73" s="228"/>
      <c r="AE73" s="228"/>
      <c r="AF73" s="228"/>
      <c r="AG73" s="228"/>
      <c r="AH73" s="228"/>
      <c r="AI73" s="288">
        <f>SUM(D73:AH73)</f>
        <v>1419</v>
      </c>
      <c r="AJ73" s="289">
        <f>+$AI73/$A$1*$AK$1</f>
        <v>2094.7142857142858</v>
      </c>
    </row>
    <row r="74" spans="1:36" x14ac:dyDescent="0.3">
      <c r="A74" s="203"/>
      <c r="B74" s="162"/>
      <c r="C74" s="333" t="s">
        <v>16</v>
      </c>
      <c r="D74" s="164">
        <f>+D73/$A73</f>
        <v>0.47826086956521741</v>
      </c>
      <c r="E74" s="164">
        <f t="shared" ref="E74:AH74" si="63">+E73/$A73</f>
        <v>0.5043478260869565</v>
      </c>
      <c r="F74" s="164">
        <f t="shared" si="63"/>
        <v>0.5304347826086957</v>
      </c>
      <c r="G74" s="164">
        <f t="shared" si="63"/>
        <v>0.61739130434782608</v>
      </c>
      <c r="H74" s="164">
        <f t="shared" ref="H74" si="64">+H73/$A73</f>
        <v>0.8</v>
      </c>
      <c r="I74" s="164">
        <f t="shared" si="63"/>
        <v>1</v>
      </c>
      <c r="J74" s="164">
        <f t="shared" si="63"/>
        <v>0.42608695652173911</v>
      </c>
      <c r="K74" s="164">
        <f t="shared" si="63"/>
        <v>0.4</v>
      </c>
      <c r="L74" s="164">
        <f t="shared" si="63"/>
        <v>0.5304347826086957</v>
      </c>
      <c r="M74" s="164">
        <f t="shared" si="63"/>
        <v>0.6</v>
      </c>
      <c r="N74" s="164">
        <f t="shared" si="63"/>
        <v>0.6</v>
      </c>
      <c r="O74" s="164">
        <f t="shared" si="63"/>
        <v>0.65217391304347827</v>
      </c>
      <c r="P74" s="164">
        <f t="shared" si="63"/>
        <v>0.77391304347826084</v>
      </c>
      <c r="Q74" s="164">
        <f t="shared" si="63"/>
        <v>0.42608695652173911</v>
      </c>
      <c r="R74" s="164">
        <f t="shared" si="63"/>
        <v>0.5043478260869565</v>
      </c>
      <c r="S74" s="164">
        <f t="shared" si="63"/>
        <v>0.55652173913043479</v>
      </c>
      <c r="T74" s="164">
        <f t="shared" si="63"/>
        <v>0.47826086956521741</v>
      </c>
      <c r="U74" s="164">
        <f t="shared" si="63"/>
        <v>0.92173913043478262</v>
      </c>
      <c r="V74" s="164">
        <f t="shared" si="63"/>
        <v>0.6</v>
      </c>
      <c r="W74" s="164">
        <f t="shared" si="63"/>
        <v>0.67826086956521736</v>
      </c>
      <c r="X74" s="164">
        <f t="shared" si="63"/>
        <v>0.2608695652173913</v>
      </c>
      <c r="Y74" s="164">
        <f t="shared" si="63"/>
        <v>0</v>
      </c>
      <c r="Z74" s="164">
        <f t="shared" si="63"/>
        <v>0</v>
      </c>
      <c r="AA74" s="164">
        <f>+AA73/$A73</f>
        <v>0</v>
      </c>
      <c r="AB74" s="164">
        <f t="shared" si="63"/>
        <v>0</v>
      </c>
      <c r="AC74" s="164">
        <f t="shared" si="63"/>
        <v>0</v>
      </c>
      <c r="AD74" s="164">
        <f t="shared" si="63"/>
        <v>0</v>
      </c>
      <c r="AE74" s="164">
        <f t="shared" si="63"/>
        <v>0</v>
      </c>
      <c r="AF74" s="164">
        <f t="shared" si="63"/>
        <v>0</v>
      </c>
      <c r="AG74" s="164">
        <f t="shared" si="63"/>
        <v>0</v>
      </c>
      <c r="AH74" s="164">
        <f t="shared" si="63"/>
        <v>0</v>
      </c>
      <c r="AI74" s="290">
        <f>+AI73/(A73*A$1)</f>
        <v>0.58757763975155275</v>
      </c>
      <c r="AJ74" s="291">
        <f>AJ73/($A73*AK1)</f>
        <v>0.58757763975155286</v>
      </c>
    </row>
    <row r="75" spans="1:36" x14ac:dyDescent="0.3">
      <c r="A75" s="203"/>
      <c r="B75" s="162"/>
      <c r="C75" s="333" t="s">
        <v>17</v>
      </c>
      <c r="D75" s="165">
        <f>+IFERROR(D77/D73,0)</f>
        <v>92.002909090909085</v>
      </c>
      <c r="E75" s="165">
        <f t="shared" ref="E75:AG75" si="65">+IFERROR(E77/E73,0)</f>
        <v>94.981724137931025</v>
      </c>
      <c r="F75" s="165">
        <f t="shared" si="65"/>
        <v>100.6088524590164</v>
      </c>
      <c r="G75" s="165">
        <f t="shared" si="65"/>
        <v>101.05084507042253</v>
      </c>
      <c r="H75" s="165">
        <f t="shared" ref="H75" si="66">+IFERROR(H77/H73,0)</f>
        <v>99.800652173913036</v>
      </c>
      <c r="I75" s="165">
        <f t="shared" si="65"/>
        <v>109.4988695652174</v>
      </c>
      <c r="J75" s="165">
        <f t="shared" si="65"/>
        <v>102.46040816326531</v>
      </c>
      <c r="K75" s="165">
        <f t="shared" si="65"/>
        <v>98.273913043478274</v>
      </c>
      <c r="L75" s="165">
        <f t="shared" si="65"/>
        <v>102.97885245901639</v>
      </c>
      <c r="M75" s="165">
        <f t="shared" si="65"/>
        <v>112.33695652173913</v>
      </c>
      <c r="N75" s="165">
        <f t="shared" si="65"/>
        <v>103.46840579710144</v>
      </c>
      <c r="O75" s="165">
        <f t="shared" si="65"/>
        <v>97.973333333333329</v>
      </c>
      <c r="P75" s="165">
        <f t="shared" si="65"/>
        <v>100.35955056179775</v>
      </c>
      <c r="Q75" s="165">
        <f t="shared" si="65"/>
        <v>106.74020408163267</v>
      </c>
      <c r="R75" s="165">
        <f t="shared" si="65"/>
        <v>113.68965517241379</v>
      </c>
      <c r="S75" s="165">
        <f t="shared" si="65"/>
        <v>114.61359375000001</v>
      </c>
      <c r="T75" s="165">
        <f t="shared" si="65"/>
        <v>107.85254545454546</v>
      </c>
      <c r="U75" s="165">
        <f t="shared" si="65"/>
        <v>106.60754716981131</v>
      </c>
      <c r="V75" s="165">
        <f t="shared" si="65"/>
        <v>105.40579710144928</v>
      </c>
      <c r="W75" s="165">
        <f t="shared" si="65"/>
        <v>96.435897435897431</v>
      </c>
      <c r="X75" s="165">
        <f t="shared" si="65"/>
        <v>126.82433333333333</v>
      </c>
      <c r="Y75" s="165">
        <f t="shared" si="65"/>
        <v>0</v>
      </c>
      <c r="Z75" s="165">
        <f t="shared" si="65"/>
        <v>0</v>
      </c>
      <c r="AA75" s="165">
        <f>+IFERROR(AA77/AA73,0)</f>
        <v>0</v>
      </c>
      <c r="AB75" s="165">
        <f t="shared" si="65"/>
        <v>0</v>
      </c>
      <c r="AC75" s="165">
        <f t="shared" si="65"/>
        <v>0</v>
      </c>
      <c r="AD75" s="165">
        <f t="shared" si="65"/>
        <v>0</v>
      </c>
      <c r="AE75" s="165">
        <f t="shared" si="65"/>
        <v>0</v>
      </c>
      <c r="AF75" s="165">
        <f t="shared" si="65"/>
        <v>0</v>
      </c>
      <c r="AG75" s="165">
        <f t="shared" si="65"/>
        <v>0</v>
      </c>
      <c r="AH75" s="165">
        <f>+IFERROR(AH77/AH73,0)</f>
        <v>0</v>
      </c>
      <c r="AI75" s="292">
        <f>+AI77/AI73</f>
        <v>104.0450176180409</v>
      </c>
      <c r="AJ75" s="293">
        <f>+AJ77/AJ73</f>
        <v>104.0450176180409</v>
      </c>
    </row>
    <row r="76" spans="1:36" x14ac:dyDescent="0.3">
      <c r="A76" s="203"/>
      <c r="B76" s="162"/>
      <c r="C76" s="333" t="s">
        <v>18</v>
      </c>
      <c r="D76" s="165">
        <f>+D74*D75</f>
        <v>44.001391304347827</v>
      </c>
      <c r="E76" s="165">
        <f t="shared" ref="E76:AH76" si="67">+E74*E75</f>
        <v>47.903826086956514</v>
      </c>
      <c r="F76" s="165">
        <f t="shared" si="67"/>
        <v>53.366434782608707</v>
      </c>
      <c r="G76" s="165">
        <f t="shared" si="67"/>
        <v>62.387913043478257</v>
      </c>
      <c r="H76" s="165">
        <f t="shared" ref="H76" si="68">+H74*H75</f>
        <v>79.840521739130438</v>
      </c>
      <c r="I76" s="165">
        <f t="shared" si="67"/>
        <v>109.4988695652174</v>
      </c>
      <c r="J76" s="165">
        <f t="shared" si="67"/>
        <v>43.657043478260874</v>
      </c>
      <c r="K76" s="165">
        <f t="shared" si="67"/>
        <v>39.309565217391309</v>
      </c>
      <c r="L76" s="165">
        <f t="shared" si="67"/>
        <v>54.62356521739131</v>
      </c>
      <c r="M76" s="165">
        <f t="shared" si="67"/>
        <v>67.40217391304347</v>
      </c>
      <c r="N76" s="165">
        <f t="shared" si="67"/>
        <v>62.08104347826086</v>
      </c>
      <c r="O76" s="165">
        <f t="shared" si="67"/>
        <v>63.895652173913042</v>
      </c>
      <c r="P76" s="165">
        <f t="shared" si="67"/>
        <v>77.669565217391295</v>
      </c>
      <c r="Q76" s="165">
        <f t="shared" si="67"/>
        <v>45.48060869565218</v>
      </c>
      <c r="R76" s="165">
        <f t="shared" si="67"/>
        <v>57.339130434782604</v>
      </c>
      <c r="S76" s="165">
        <f t="shared" si="67"/>
        <v>63.784956521739133</v>
      </c>
      <c r="T76" s="165">
        <f t="shared" si="67"/>
        <v>51.581652173913049</v>
      </c>
      <c r="U76" s="165">
        <f t="shared" si="67"/>
        <v>98.264347826086947</v>
      </c>
      <c r="V76" s="165">
        <f t="shared" si="67"/>
        <v>63.243478260869566</v>
      </c>
      <c r="W76" s="165">
        <f t="shared" si="67"/>
        <v>65.408695652173904</v>
      </c>
      <c r="X76" s="165">
        <f t="shared" si="67"/>
        <v>33.084608695652172</v>
      </c>
      <c r="Y76" s="165">
        <f t="shared" si="67"/>
        <v>0</v>
      </c>
      <c r="Z76" s="165">
        <f t="shared" si="67"/>
        <v>0</v>
      </c>
      <c r="AA76" s="165">
        <f t="shared" si="67"/>
        <v>0</v>
      </c>
      <c r="AB76" s="165">
        <f t="shared" si="67"/>
        <v>0</v>
      </c>
      <c r="AC76" s="165">
        <f t="shared" si="67"/>
        <v>0</v>
      </c>
      <c r="AD76" s="165">
        <f t="shared" si="67"/>
        <v>0</v>
      </c>
      <c r="AE76" s="165">
        <f t="shared" si="67"/>
        <v>0</v>
      </c>
      <c r="AF76" s="165">
        <f t="shared" si="67"/>
        <v>0</v>
      </c>
      <c r="AG76" s="165">
        <f t="shared" si="67"/>
        <v>0</v>
      </c>
      <c r="AH76" s="165">
        <f t="shared" si="67"/>
        <v>0</v>
      </c>
      <c r="AI76" s="292">
        <f>+AI75*AI74</f>
        <v>61.134525879917199</v>
      </c>
      <c r="AJ76" s="293">
        <f>+AJ74*AJ75</f>
        <v>61.134525879917206</v>
      </c>
    </row>
    <row r="77" spans="1:36" ht="15" thickBot="1" x14ac:dyDescent="0.35">
      <c r="A77" s="203"/>
      <c r="B77" s="205"/>
      <c r="C77" s="336" t="s">
        <v>19</v>
      </c>
      <c r="D77" s="254">
        <v>5060.16</v>
      </c>
      <c r="E77" s="254">
        <v>5508.94</v>
      </c>
      <c r="F77" s="254">
        <v>6137.14</v>
      </c>
      <c r="G77" s="254">
        <v>7174.61</v>
      </c>
      <c r="H77" s="254">
        <v>9181.66</v>
      </c>
      <c r="I77" s="254">
        <v>12592.37</v>
      </c>
      <c r="J77" s="254">
        <v>5020.5600000000004</v>
      </c>
      <c r="K77" s="254">
        <v>4520.6000000000004</v>
      </c>
      <c r="L77" s="254">
        <v>6281.71</v>
      </c>
      <c r="M77" s="254">
        <v>7751.25</v>
      </c>
      <c r="N77" s="254">
        <v>7139.32</v>
      </c>
      <c r="O77" s="254">
        <v>7348</v>
      </c>
      <c r="P77" s="254">
        <v>8932</v>
      </c>
      <c r="Q77" s="254">
        <v>5230.2700000000004</v>
      </c>
      <c r="R77" s="254">
        <v>6594</v>
      </c>
      <c r="S77" s="254">
        <v>7335.27</v>
      </c>
      <c r="T77" s="254">
        <v>5931.89</v>
      </c>
      <c r="U77" s="254">
        <v>11300.4</v>
      </c>
      <c r="V77" s="254">
        <v>7273</v>
      </c>
      <c r="W77" s="254">
        <v>7522</v>
      </c>
      <c r="X77" s="254">
        <v>3804.73</v>
      </c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309">
        <f>SUM(D77:AH77)</f>
        <v>147639.88000000003</v>
      </c>
      <c r="AJ77" s="307">
        <f>+AI77/$A$1*$AK$1</f>
        <v>217944.58476190481</v>
      </c>
    </row>
    <row r="78" spans="1:36" hidden="1" x14ac:dyDescent="0.3">
      <c r="A78" s="203">
        <f>100-100</f>
        <v>0</v>
      </c>
      <c r="B78" s="33" t="s">
        <v>42</v>
      </c>
      <c r="C78" s="330" t="s">
        <v>15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310">
        <f>SUM(D78:AH78)</f>
        <v>0</v>
      </c>
      <c r="AJ78" s="285">
        <f>+$AI78/$A$1*$AK$1</f>
        <v>0</v>
      </c>
    </row>
    <row r="79" spans="1:36" hidden="1" x14ac:dyDescent="0.3">
      <c r="A79" s="203"/>
      <c r="B79" s="33"/>
      <c r="C79" s="330" t="s">
        <v>16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281" t="e">
        <f>+AI78/(A78*A$1)</f>
        <v>#DIV/0!</v>
      </c>
      <c r="AJ79" s="282" t="e">
        <f>AJ78/($A78*AK1)</f>
        <v>#DIV/0!</v>
      </c>
    </row>
    <row r="80" spans="1:36" hidden="1" x14ac:dyDescent="0.3">
      <c r="A80" s="203"/>
      <c r="B80" s="33"/>
      <c r="C80" s="330" t="s">
        <v>17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283" t="e">
        <f>+AI82/AI78</f>
        <v>#DIV/0!</v>
      </c>
      <c r="AJ80" s="279" t="e">
        <f>+AJ82/AJ78</f>
        <v>#DIV/0!</v>
      </c>
    </row>
    <row r="81" spans="1:36" hidden="1" x14ac:dyDescent="0.3">
      <c r="A81" s="203"/>
      <c r="B81" s="33"/>
      <c r="C81" s="330" t="s">
        <v>18</v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283" t="e">
        <f>+AI80*AI79</f>
        <v>#DIV/0!</v>
      </c>
      <c r="AJ81" s="279" t="e">
        <f>+AJ79*AJ80</f>
        <v>#DIV/0!</v>
      </c>
    </row>
    <row r="82" spans="1:36" ht="15" hidden="1" thickBot="1" x14ac:dyDescent="0.35">
      <c r="A82" s="203"/>
      <c r="B82" s="33"/>
      <c r="C82" s="330" t="s">
        <v>19</v>
      </c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284">
        <f>SUM(D82:AH82)</f>
        <v>0</v>
      </c>
      <c r="AJ82" s="285">
        <f>+AI82/$A$1*$AK$1</f>
        <v>0</v>
      </c>
    </row>
    <row r="83" spans="1:36" x14ac:dyDescent="0.3">
      <c r="A83" s="203">
        <v>107</v>
      </c>
      <c r="B83" s="159" t="s">
        <v>43</v>
      </c>
      <c r="C83" s="332" t="s">
        <v>15</v>
      </c>
      <c r="D83" s="228">
        <v>62</v>
      </c>
      <c r="E83" s="228">
        <v>72</v>
      </c>
      <c r="F83" s="228">
        <v>69</v>
      </c>
      <c r="G83" s="228">
        <v>62</v>
      </c>
      <c r="H83" s="228">
        <v>71</v>
      </c>
      <c r="I83" s="228">
        <v>77</v>
      </c>
      <c r="J83" s="228">
        <v>44</v>
      </c>
      <c r="K83" s="228">
        <v>63</v>
      </c>
      <c r="L83" s="228">
        <v>62</v>
      </c>
      <c r="M83" s="228">
        <v>70</v>
      </c>
      <c r="N83" s="228">
        <v>66</v>
      </c>
      <c r="O83" s="228">
        <v>70</v>
      </c>
      <c r="P83" s="228">
        <v>61</v>
      </c>
      <c r="Q83" s="228">
        <v>51</v>
      </c>
      <c r="R83" s="228">
        <v>55</v>
      </c>
      <c r="S83" s="228">
        <v>58</v>
      </c>
      <c r="T83" s="228">
        <v>52</v>
      </c>
      <c r="U83" s="228">
        <v>51</v>
      </c>
      <c r="V83" s="228">
        <v>60</v>
      </c>
      <c r="W83" s="228">
        <v>63</v>
      </c>
      <c r="X83" s="228">
        <v>40</v>
      </c>
      <c r="Y83" s="228"/>
      <c r="Z83" s="228"/>
      <c r="AA83" s="228"/>
      <c r="AB83" s="228"/>
      <c r="AC83" s="228"/>
      <c r="AD83" s="228"/>
      <c r="AE83" s="228"/>
      <c r="AF83" s="228"/>
      <c r="AG83" s="228"/>
      <c r="AH83" s="228"/>
      <c r="AI83" s="288">
        <f>SUM(D83:AH83)</f>
        <v>1279</v>
      </c>
      <c r="AJ83" s="289">
        <f>+$AI83/$A$1*$AK$1</f>
        <v>1888.047619047619</v>
      </c>
    </row>
    <row r="84" spans="1:36" x14ac:dyDescent="0.3">
      <c r="A84" s="203"/>
      <c r="B84" s="162"/>
      <c r="C84" s="333" t="s">
        <v>16</v>
      </c>
      <c r="D84" s="164">
        <f>+D83/$A83</f>
        <v>0.57943925233644855</v>
      </c>
      <c r="E84" s="164">
        <f t="shared" ref="E84:AH84" si="69">+E83/$A83</f>
        <v>0.67289719626168221</v>
      </c>
      <c r="F84" s="164">
        <f t="shared" si="69"/>
        <v>0.64485981308411211</v>
      </c>
      <c r="G84" s="164">
        <f t="shared" si="69"/>
        <v>0.57943925233644855</v>
      </c>
      <c r="H84" s="164">
        <f t="shared" si="69"/>
        <v>0.66355140186915884</v>
      </c>
      <c r="I84" s="164">
        <f t="shared" si="69"/>
        <v>0.71962616822429903</v>
      </c>
      <c r="J84" s="164">
        <f t="shared" si="69"/>
        <v>0.41121495327102803</v>
      </c>
      <c r="K84" s="164">
        <f t="shared" si="69"/>
        <v>0.58878504672897192</v>
      </c>
      <c r="L84" s="164">
        <f t="shared" si="69"/>
        <v>0.57943925233644855</v>
      </c>
      <c r="M84" s="164">
        <f t="shared" si="69"/>
        <v>0.65420560747663548</v>
      </c>
      <c r="N84" s="164">
        <f t="shared" si="69"/>
        <v>0.61682242990654201</v>
      </c>
      <c r="O84" s="164">
        <f t="shared" si="69"/>
        <v>0.65420560747663548</v>
      </c>
      <c r="P84" s="164">
        <f t="shared" si="69"/>
        <v>0.57009345794392519</v>
      </c>
      <c r="Q84" s="164">
        <f t="shared" si="69"/>
        <v>0.47663551401869159</v>
      </c>
      <c r="R84" s="164">
        <f t="shared" si="69"/>
        <v>0.51401869158878499</v>
      </c>
      <c r="S84" s="164">
        <f t="shared" si="69"/>
        <v>0.54205607476635509</v>
      </c>
      <c r="T84" s="164">
        <f t="shared" si="69"/>
        <v>0.48598130841121495</v>
      </c>
      <c r="U84" s="164">
        <f t="shared" si="69"/>
        <v>0.47663551401869159</v>
      </c>
      <c r="V84" s="164">
        <f t="shared" si="69"/>
        <v>0.56074766355140182</v>
      </c>
      <c r="W84" s="164">
        <f t="shared" si="69"/>
        <v>0.58878504672897192</v>
      </c>
      <c r="X84" s="164">
        <f>+X83/$A83</f>
        <v>0.37383177570093457</v>
      </c>
      <c r="Y84" s="164">
        <f t="shared" si="69"/>
        <v>0</v>
      </c>
      <c r="Z84" s="164">
        <f t="shared" si="69"/>
        <v>0</v>
      </c>
      <c r="AA84" s="164">
        <f>+AA83/$A83</f>
        <v>0</v>
      </c>
      <c r="AB84" s="164">
        <f t="shared" si="69"/>
        <v>0</v>
      </c>
      <c r="AC84" s="164">
        <f t="shared" si="69"/>
        <v>0</v>
      </c>
      <c r="AD84" s="164">
        <f t="shared" si="69"/>
        <v>0</v>
      </c>
      <c r="AE84" s="164">
        <f t="shared" si="69"/>
        <v>0</v>
      </c>
      <c r="AF84" s="164">
        <f t="shared" si="69"/>
        <v>0</v>
      </c>
      <c r="AG84" s="164">
        <f t="shared" si="69"/>
        <v>0</v>
      </c>
      <c r="AH84" s="164">
        <f t="shared" si="69"/>
        <v>0</v>
      </c>
      <c r="AI84" s="290">
        <f>+AI83/(A83*A$1)</f>
        <v>0.56920338228749445</v>
      </c>
      <c r="AJ84" s="291">
        <f>AJ83/($A83*AK1)</f>
        <v>0.56920338228749445</v>
      </c>
    </row>
    <row r="85" spans="1:36" x14ac:dyDescent="0.3">
      <c r="A85" s="203"/>
      <c r="B85" s="162"/>
      <c r="C85" s="333" t="s">
        <v>17</v>
      </c>
      <c r="D85" s="165">
        <f>+IFERROR(D87/D83,0)</f>
        <v>113.87096774193549</v>
      </c>
      <c r="E85" s="165">
        <f t="shared" ref="E85:AH85" si="70">+IFERROR(E87/E83,0)</f>
        <v>111.25</v>
      </c>
      <c r="F85" s="165">
        <f t="shared" si="70"/>
        <v>115.31884057971014</v>
      </c>
      <c r="G85" s="165">
        <f t="shared" si="70"/>
        <v>112.70177419354839</v>
      </c>
      <c r="H85" s="165">
        <f t="shared" si="70"/>
        <v>114.92084507042253</v>
      </c>
      <c r="I85" s="165">
        <f t="shared" si="70"/>
        <v>112.48259740259741</v>
      </c>
      <c r="J85" s="165">
        <f t="shared" si="70"/>
        <v>110.32545454545453</v>
      </c>
      <c r="K85" s="165">
        <f t="shared" si="70"/>
        <v>111.70190476190477</v>
      </c>
      <c r="L85" s="165">
        <f t="shared" si="70"/>
        <v>110.88451612903226</v>
      </c>
      <c r="M85" s="165">
        <f t="shared" si="70"/>
        <v>115.78757142857143</v>
      </c>
      <c r="N85" s="165">
        <f t="shared" si="70"/>
        <v>109.7</v>
      </c>
      <c r="O85" s="165">
        <f t="shared" si="70"/>
        <v>111.76585714285714</v>
      </c>
      <c r="P85" s="165">
        <f t="shared" si="70"/>
        <v>110.8272131147541</v>
      </c>
      <c r="Q85" s="165">
        <f t="shared" si="70"/>
        <v>106.83019607843137</v>
      </c>
      <c r="R85" s="165">
        <f t="shared" si="70"/>
        <v>107.67745454545455</v>
      </c>
      <c r="S85" s="165">
        <f t="shared" si="70"/>
        <v>110.23068965517241</v>
      </c>
      <c r="T85" s="165">
        <f t="shared" si="70"/>
        <v>110.38307692307693</v>
      </c>
      <c r="U85" s="165">
        <f t="shared" si="70"/>
        <v>109.31725490196079</v>
      </c>
      <c r="V85" s="165">
        <f t="shared" si="70"/>
        <v>112.72433333333333</v>
      </c>
      <c r="W85" s="165">
        <f t="shared" si="70"/>
        <v>118.29714285714286</v>
      </c>
      <c r="X85" s="165">
        <f>+IFERROR(X87/X83,0)</f>
        <v>104.26949999999999</v>
      </c>
      <c r="Y85" s="165">
        <f t="shared" si="70"/>
        <v>0</v>
      </c>
      <c r="Z85" s="165">
        <f t="shared" si="70"/>
        <v>0</v>
      </c>
      <c r="AA85" s="165">
        <f t="shared" si="70"/>
        <v>0</v>
      </c>
      <c r="AB85" s="165">
        <f t="shared" si="70"/>
        <v>0</v>
      </c>
      <c r="AC85" s="165">
        <f t="shared" si="70"/>
        <v>0</v>
      </c>
      <c r="AD85" s="165">
        <f t="shared" si="70"/>
        <v>0</v>
      </c>
      <c r="AE85" s="165">
        <f t="shared" si="70"/>
        <v>0</v>
      </c>
      <c r="AF85" s="165">
        <f t="shared" si="70"/>
        <v>0</v>
      </c>
      <c r="AG85" s="165">
        <f t="shared" si="70"/>
        <v>0</v>
      </c>
      <c r="AH85" s="165">
        <f t="shared" si="70"/>
        <v>0</v>
      </c>
      <c r="AI85" s="292">
        <f>+AI87/AI83</f>
        <v>111.80365129007036</v>
      </c>
      <c r="AJ85" s="293">
        <f>+AJ87/AJ83</f>
        <v>111.80365129007036</v>
      </c>
    </row>
    <row r="86" spans="1:36" x14ac:dyDescent="0.3">
      <c r="A86" s="203"/>
      <c r="B86" s="162"/>
      <c r="C86" s="333" t="s">
        <v>18</v>
      </c>
      <c r="D86" s="165">
        <f>+D84*D85</f>
        <v>65.981308411214954</v>
      </c>
      <c r="E86" s="165">
        <f t="shared" ref="E86:AH86" si="71">+E84*E85</f>
        <v>74.859813084112147</v>
      </c>
      <c r="F86" s="165">
        <f t="shared" si="71"/>
        <v>74.364485981308405</v>
      </c>
      <c r="G86" s="165">
        <f t="shared" si="71"/>
        <v>65.303831775700928</v>
      </c>
      <c r="H86" s="165">
        <f t="shared" si="71"/>
        <v>76.255887850467289</v>
      </c>
      <c r="I86" s="165">
        <f t="shared" si="71"/>
        <v>80.945420560747664</v>
      </c>
      <c r="J86" s="165">
        <f t="shared" si="71"/>
        <v>45.367476635514009</v>
      </c>
      <c r="K86" s="165">
        <f t="shared" si="71"/>
        <v>65.768411214953275</v>
      </c>
      <c r="L86" s="165">
        <f t="shared" si="71"/>
        <v>64.250841121495327</v>
      </c>
      <c r="M86" s="165">
        <f t="shared" si="71"/>
        <v>75.748878504672888</v>
      </c>
      <c r="N86" s="165">
        <f t="shared" si="71"/>
        <v>67.665420560747663</v>
      </c>
      <c r="O86" s="165">
        <f t="shared" si="71"/>
        <v>73.117850467289713</v>
      </c>
      <c r="P86" s="165">
        <f t="shared" si="71"/>
        <v>63.181869158878499</v>
      </c>
      <c r="Q86" s="165">
        <f t="shared" si="71"/>
        <v>50.919065420560749</v>
      </c>
      <c r="R86" s="165">
        <f t="shared" si="71"/>
        <v>55.348224299065421</v>
      </c>
      <c r="S86" s="165">
        <f t="shared" si="71"/>
        <v>59.751214953271024</v>
      </c>
      <c r="T86" s="165">
        <f t="shared" si="71"/>
        <v>53.64411214953271</v>
      </c>
      <c r="U86" s="165">
        <f t="shared" si="71"/>
        <v>52.104485981308414</v>
      </c>
      <c r="V86" s="165">
        <f t="shared" si="71"/>
        <v>63.209906542056068</v>
      </c>
      <c r="W86" s="165">
        <f t="shared" si="71"/>
        <v>69.651588785046727</v>
      </c>
      <c r="X86" s="165">
        <f>+X84*X85</f>
        <v>38.979252336448596</v>
      </c>
      <c r="Y86" s="165">
        <f t="shared" si="71"/>
        <v>0</v>
      </c>
      <c r="Z86" s="165">
        <f t="shared" si="71"/>
        <v>0</v>
      </c>
      <c r="AA86" s="165">
        <f t="shared" si="71"/>
        <v>0</v>
      </c>
      <c r="AB86" s="165">
        <f t="shared" si="71"/>
        <v>0</v>
      </c>
      <c r="AC86" s="165">
        <f t="shared" si="71"/>
        <v>0</v>
      </c>
      <c r="AD86" s="165">
        <f t="shared" si="71"/>
        <v>0</v>
      </c>
      <c r="AE86" s="165">
        <f t="shared" si="71"/>
        <v>0</v>
      </c>
      <c r="AF86" s="165">
        <f t="shared" si="71"/>
        <v>0</v>
      </c>
      <c r="AG86" s="165">
        <f t="shared" si="71"/>
        <v>0</v>
      </c>
      <c r="AH86" s="165">
        <f t="shared" si="71"/>
        <v>0</v>
      </c>
      <c r="AI86" s="292">
        <f>+AI85*AI84</f>
        <v>63.639016466399646</v>
      </c>
      <c r="AJ86" s="293">
        <f>+AJ84*AJ85</f>
        <v>63.639016466399646</v>
      </c>
    </row>
    <row r="87" spans="1:36" ht="15" thickBot="1" x14ac:dyDescent="0.35">
      <c r="A87" s="203"/>
      <c r="B87" s="162"/>
      <c r="C87" s="333" t="s">
        <v>19</v>
      </c>
      <c r="D87" s="166">
        <v>7060</v>
      </c>
      <c r="E87" s="166">
        <v>8010</v>
      </c>
      <c r="F87" s="166">
        <v>7957</v>
      </c>
      <c r="G87" s="166">
        <v>6987.51</v>
      </c>
      <c r="H87" s="166">
        <v>8159.38</v>
      </c>
      <c r="I87" s="166">
        <v>8661.16</v>
      </c>
      <c r="J87" s="166">
        <v>4854.32</v>
      </c>
      <c r="K87" s="166">
        <v>7037.22</v>
      </c>
      <c r="L87" s="166">
        <v>6874.84</v>
      </c>
      <c r="M87" s="166">
        <v>8105.13</v>
      </c>
      <c r="N87" s="166">
        <v>7240.2</v>
      </c>
      <c r="O87" s="166">
        <v>7823.61</v>
      </c>
      <c r="P87" s="166">
        <v>6760.46</v>
      </c>
      <c r="Q87" s="166">
        <v>5448.34</v>
      </c>
      <c r="R87" s="166">
        <v>5922.26</v>
      </c>
      <c r="S87" s="166">
        <v>6393.38</v>
      </c>
      <c r="T87" s="166">
        <v>5739.92</v>
      </c>
      <c r="U87" s="166">
        <v>5575.18</v>
      </c>
      <c r="V87" s="166">
        <v>6763.46</v>
      </c>
      <c r="W87" s="166">
        <v>7452.72</v>
      </c>
      <c r="X87" s="166">
        <v>4170.78</v>
      </c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294">
        <f>SUM(D87:AH87)</f>
        <v>142996.87</v>
      </c>
      <c r="AJ87" s="295">
        <f>+AI87/$A$1*$AK$1</f>
        <v>211090.61761904761</v>
      </c>
    </row>
    <row r="88" spans="1:36" x14ac:dyDescent="0.3">
      <c r="A88" s="203">
        <v>125</v>
      </c>
      <c r="B88" s="201" t="s">
        <v>44</v>
      </c>
      <c r="C88" s="338" t="s">
        <v>15</v>
      </c>
      <c r="D88" s="59">
        <v>65</v>
      </c>
      <c r="E88" s="59">
        <v>75</v>
      </c>
      <c r="F88" s="59">
        <v>67</v>
      </c>
      <c r="G88" s="59">
        <v>63</v>
      </c>
      <c r="H88" s="59">
        <v>75</v>
      </c>
      <c r="I88" s="59">
        <v>79</v>
      </c>
      <c r="J88" s="59">
        <v>44</v>
      </c>
      <c r="K88" s="59">
        <v>53</v>
      </c>
      <c r="L88" s="59">
        <v>61</v>
      </c>
      <c r="M88" s="59">
        <v>69</v>
      </c>
      <c r="N88" s="59">
        <v>86</v>
      </c>
      <c r="O88" s="59">
        <v>97</v>
      </c>
      <c r="P88" s="59">
        <v>101</v>
      </c>
      <c r="Q88" s="59">
        <v>31</v>
      </c>
      <c r="R88" s="59">
        <v>52</v>
      </c>
      <c r="S88" s="59">
        <v>53</v>
      </c>
      <c r="T88" s="59">
        <v>52</v>
      </c>
      <c r="U88" s="59">
        <v>53</v>
      </c>
      <c r="V88" s="59">
        <v>58</v>
      </c>
      <c r="W88" s="59">
        <v>58</v>
      </c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315">
        <f>SUM(D88:AH88)</f>
        <v>1292</v>
      </c>
      <c r="AJ88" s="280">
        <f>+$AI88/$A$1*$AK$1</f>
        <v>1907.2380952380952</v>
      </c>
    </row>
    <row r="89" spans="1:36" x14ac:dyDescent="0.3">
      <c r="A89" s="203"/>
      <c r="B89" s="33"/>
      <c r="C89" s="330" t="s">
        <v>16</v>
      </c>
      <c r="D89" s="35">
        <f t="shared" ref="D89:AH89" si="72">+D88/$A88</f>
        <v>0.52</v>
      </c>
      <c r="E89" s="35">
        <f t="shared" si="72"/>
        <v>0.6</v>
      </c>
      <c r="F89" s="35">
        <f t="shared" si="72"/>
        <v>0.53600000000000003</v>
      </c>
      <c r="G89" s="35">
        <f t="shared" si="72"/>
        <v>0.504</v>
      </c>
      <c r="H89" s="35">
        <f t="shared" si="72"/>
        <v>0.6</v>
      </c>
      <c r="I89" s="35">
        <v>0.63200000000000001</v>
      </c>
      <c r="J89" s="35">
        <f t="shared" si="72"/>
        <v>0.35199999999999998</v>
      </c>
      <c r="K89" s="35">
        <f t="shared" si="72"/>
        <v>0.42399999999999999</v>
      </c>
      <c r="L89" s="35">
        <f t="shared" si="72"/>
        <v>0.48799999999999999</v>
      </c>
      <c r="M89" s="35">
        <f t="shared" si="72"/>
        <v>0.55200000000000005</v>
      </c>
      <c r="N89" s="35">
        <f t="shared" si="72"/>
        <v>0.68799999999999994</v>
      </c>
      <c r="O89" s="35">
        <f t="shared" si="72"/>
        <v>0.77600000000000002</v>
      </c>
      <c r="P89" s="35">
        <f t="shared" si="72"/>
        <v>0.80800000000000005</v>
      </c>
      <c r="Q89" s="35">
        <f t="shared" si="72"/>
        <v>0.248</v>
      </c>
      <c r="R89" s="35">
        <f t="shared" si="72"/>
        <v>0.41599999999999998</v>
      </c>
      <c r="S89" s="35">
        <f t="shared" si="72"/>
        <v>0.42399999999999999</v>
      </c>
      <c r="T89" s="35">
        <f t="shared" si="72"/>
        <v>0.41599999999999998</v>
      </c>
      <c r="U89" s="35">
        <f t="shared" si="72"/>
        <v>0.42399999999999999</v>
      </c>
      <c r="V89" s="35">
        <f t="shared" si="72"/>
        <v>0.46400000000000002</v>
      </c>
      <c r="W89" s="35">
        <f t="shared" si="72"/>
        <v>0.46400000000000002</v>
      </c>
      <c r="X89" s="35">
        <f t="shared" si="72"/>
        <v>0</v>
      </c>
      <c r="Y89" s="35">
        <f t="shared" si="72"/>
        <v>0</v>
      </c>
      <c r="Z89" s="35">
        <f t="shared" si="72"/>
        <v>0</v>
      </c>
      <c r="AA89" s="35">
        <f t="shared" si="72"/>
        <v>0</v>
      </c>
      <c r="AB89" s="35">
        <f t="shared" si="72"/>
        <v>0</v>
      </c>
      <c r="AC89" s="35">
        <f t="shared" si="72"/>
        <v>0</v>
      </c>
      <c r="AD89" s="35">
        <f t="shared" si="72"/>
        <v>0</v>
      </c>
      <c r="AE89" s="35">
        <f t="shared" si="72"/>
        <v>0</v>
      </c>
      <c r="AF89" s="35">
        <f t="shared" si="72"/>
        <v>0</v>
      </c>
      <c r="AG89" s="35">
        <f t="shared" si="72"/>
        <v>0</v>
      </c>
      <c r="AH89" s="35">
        <f t="shared" si="72"/>
        <v>0</v>
      </c>
      <c r="AI89" s="281">
        <f>+AI88/(A88*A$1)</f>
        <v>0.49219047619047618</v>
      </c>
      <c r="AJ89" s="282">
        <f>AJ88/($A88*AK1)</f>
        <v>0.49219047619047618</v>
      </c>
    </row>
    <row r="90" spans="1:36" x14ac:dyDescent="0.3">
      <c r="A90" s="203"/>
      <c r="B90" s="33"/>
      <c r="C90" s="330" t="s">
        <v>17</v>
      </c>
      <c r="D90" s="37">
        <f>+IFERROR(D92/D88,0)</f>
        <v>106.83076923076923</v>
      </c>
      <c r="E90" s="37">
        <f t="shared" ref="E90:AH90" si="73">+IFERROR(E92/E88,0)</f>
        <v>107.77333333333333</v>
      </c>
      <c r="F90" s="37">
        <f t="shared" si="73"/>
        <v>107.19402985074628</v>
      </c>
      <c r="G90" s="37">
        <f t="shared" si="73"/>
        <v>106.79</v>
      </c>
      <c r="H90" s="37">
        <f t="shared" si="73"/>
        <v>110.53519999999999</v>
      </c>
      <c r="I90" s="37">
        <f t="shared" si="73"/>
        <v>112.45506329113925</v>
      </c>
      <c r="J90" s="37">
        <f t="shared" si="73"/>
        <v>98.975227272727267</v>
      </c>
      <c r="K90" s="37">
        <f t="shared" si="73"/>
        <v>109.36188679245284</v>
      </c>
      <c r="L90" s="37">
        <f t="shared" si="73"/>
        <v>106.95377049180328</v>
      </c>
      <c r="M90" s="37">
        <f t="shared" si="73"/>
        <v>112.30579710144929</v>
      </c>
      <c r="N90" s="37">
        <f t="shared" si="73"/>
        <v>115.17744186046512</v>
      </c>
      <c r="O90" s="37">
        <f t="shared" si="73"/>
        <v>117.58814432989691</v>
      </c>
      <c r="P90" s="37">
        <f t="shared" si="73"/>
        <v>107.55356435643564</v>
      </c>
      <c r="Q90" s="37">
        <f t="shared" si="73"/>
        <v>84.43096774193549</v>
      </c>
      <c r="R90" s="37">
        <f t="shared" si="73"/>
        <v>102.11980769230769</v>
      </c>
      <c r="S90" s="37">
        <f t="shared" si="73"/>
        <v>101.64547169811321</v>
      </c>
      <c r="T90" s="37">
        <f t="shared" si="73"/>
        <v>97.261346153846162</v>
      </c>
      <c r="U90" s="37">
        <f t="shared" si="73"/>
        <v>92.177169811320766</v>
      </c>
      <c r="V90" s="37">
        <f t="shared" si="73"/>
        <v>103.70672413793103</v>
      </c>
      <c r="W90" s="37">
        <f t="shared" si="73"/>
        <v>103.09844827586207</v>
      </c>
      <c r="X90" s="37">
        <f t="shared" si="73"/>
        <v>0</v>
      </c>
      <c r="Y90" s="37">
        <f t="shared" si="73"/>
        <v>0</v>
      </c>
      <c r="Z90" s="37">
        <f t="shared" si="73"/>
        <v>0</v>
      </c>
      <c r="AA90" s="37">
        <f t="shared" si="73"/>
        <v>0</v>
      </c>
      <c r="AB90" s="37">
        <f t="shared" si="73"/>
        <v>0</v>
      </c>
      <c r="AC90" s="37">
        <f t="shared" si="73"/>
        <v>0</v>
      </c>
      <c r="AD90" s="37">
        <f t="shared" si="73"/>
        <v>0</v>
      </c>
      <c r="AE90" s="37">
        <f t="shared" si="73"/>
        <v>0</v>
      </c>
      <c r="AF90" s="37">
        <f t="shared" si="73"/>
        <v>0</v>
      </c>
      <c r="AG90" s="37">
        <f t="shared" si="73"/>
        <v>0</v>
      </c>
      <c r="AH90" s="37">
        <f t="shared" si="73"/>
        <v>0</v>
      </c>
      <c r="AI90" s="283">
        <f>+AI92/AI88</f>
        <v>106.78167956656347</v>
      </c>
      <c r="AJ90" s="279">
        <f>+AJ92/AJ88</f>
        <v>106.78167956656345</v>
      </c>
    </row>
    <row r="91" spans="1:36" x14ac:dyDescent="0.3">
      <c r="A91" s="203"/>
      <c r="B91" s="33"/>
      <c r="C91" s="330" t="s">
        <v>18</v>
      </c>
      <c r="D91" s="37">
        <f t="shared" ref="D91:AH91" si="74">+D89*D90</f>
        <v>55.552000000000007</v>
      </c>
      <c r="E91" s="37">
        <f t="shared" si="74"/>
        <v>64.663999999999987</v>
      </c>
      <c r="F91" s="37">
        <f t="shared" si="74"/>
        <v>57.45600000000001</v>
      </c>
      <c r="G91" s="37">
        <f t="shared" si="74"/>
        <v>53.822160000000004</v>
      </c>
      <c r="H91" s="37">
        <f t="shared" si="74"/>
        <v>66.321119999999993</v>
      </c>
      <c r="I91" s="37">
        <v>71.069999999999993</v>
      </c>
      <c r="J91" s="37">
        <f t="shared" si="74"/>
        <v>34.839279999999995</v>
      </c>
      <c r="K91" s="37">
        <f t="shared" si="74"/>
        <v>46.369440000000004</v>
      </c>
      <c r="L91" s="37">
        <f t="shared" si="74"/>
        <v>52.193440000000002</v>
      </c>
      <c r="M91" s="37">
        <f>+M89*M90</f>
        <v>61.99280000000001</v>
      </c>
      <c r="N91" s="37">
        <f t="shared" si="74"/>
        <v>79.242080000000001</v>
      </c>
      <c r="O91" s="37">
        <f t="shared" si="74"/>
        <v>91.248400000000004</v>
      </c>
      <c r="P91" s="37">
        <f t="shared" si="74"/>
        <v>86.903280000000009</v>
      </c>
      <c r="Q91" s="37">
        <f t="shared" si="74"/>
        <v>20.938880000000001</v>
      </c>
      <c r="R91" s="37">
        <f t="shared" si="74"/>
        <v>42.481839999999998</v>
      </c>
      <c r="S91" s="37">
        <f t="shared" si="74"/>
        <v>43.097680000000004</v>
      </c>
      <c r="T91" s="37">
        <f t="shared" si="74"/>
        <v>40.460720000000002</v>
      </c>
      <c r="U91" s="37">
        <f t="shared" si="74"/>
        <v>39.083120000000001</v>
      </c>
      <c r="V91" s="37">
        <f t="shared" si="74"/>
        <v>48.11992</v>
      </c>
      <c r="W91" s="37">
        <f t="shared" si="74"/>
        <v>47.837679999999999</v>
      </c>
      <c r="X91" s="37">
        <f t="shared" si="74"/>
        <v>0</v>
      </c>
      <c r="Y91" s="37">
        <f t="shared" si="74"/>
        <v>0</v>
      </c>
      <c r="Z91" s="37">
        <f t="shared" si="74"/>
        <v>0</v>
      </c>
      <c r="AA91" s="37">
        <f t="shared" si="74"/>
        <v>0</v>
      </c>
      <c r="AB91" s="37">
        <f t="shared" si="74"/>
        <v>0</v>
      </c>
      <c r="AC91" s="37">
        <f t="shared" si="74"/>
        <v>0</v>
      </c>
      <c r="AD91" s="37">
        <f t="shared" si="74"/>
        <v>0</v>
      </c>
      <c r="AE91" s="37">
        <f t="shared" si="74"/>
        <v>0</v>
      </c>
      <c r="AF91" s="37">
        <f t="shared" si="74"/>
        <v>0</v>
      </c>
      <c r="AG91" s="37">
        <f t="shared" si="74"/>
        <v>0</v>
      </c>
      <c r="AH91" s="37">
        <f t="shared" si="74"/>
        <v>0</v>
      </c>
      <c r="AI91" s="283">
        <f>+AI90*AI89</f>
        <v>52.556925714285711</v>
      </c>
      <c r="AJ91" s="279">
        <f>+AJ89*AJ90</f>
        <v>52.556925714285704</v>
      </c>
    </row>
    <row r="92" spans="1:36" ht="15" thickBot="1" x14ac:dyDescent="0.35">
      <c r="A92" s="203"/>
      <c r="B92" s="33"/>
      <c r="C92" s="330" t="s">
        <v>19</v>
      </c>
      <c r="D92" s="158">
        <v>6944</v>
      </c>
      <c r="E92" s="158">
        <v>8083</v>
      </c>
      <c r="F92" s="158">
        <v>7182</v>
      </c>
      <c r="G92" s="158">
        <v>6727.77</v>
      </c>
      <c r="H92" s="158">
        <v>8290.14</v>
      </c>
      <c r="I92" s="158">
        <v>8883.9500000000007</v>
      </c>
      <c r="J92" s="158">
        <v>4354.91</v>
      </c>
      <c r="K92" s="158">
        <v>5796.18</v>
      </c>
      <c r="L92" s="158">
        <v>6524.18</v>
      </c>
      <c r="M92" s="158">
        <v>7749.1</v>
      </c>
      <c r="N92" s="158">
        <v>9905.26</v>
      </c>
      <c r="O92" s="158">
        <v>11406.05</v>
      </c>
      <c r="P92" s="158">
        <v>10862.91</v>
      </c>
      <c r="Q92" s="158">
        <v>2617.36</v>
      </c>
      <c r="R92" s="158">
        <v>5310.23</v>
      </c>
      <c r="S92" s="158">
        <v>5387.21</v>
      </c>
      <c r="T92" s="158">
        <v>5057.59</v>
      </c>
      <c r="U92" s="158">
        <v>4885.3900000000003</v>
      </c>
      <c r="V92" s="158">
        <v>6014.99</v>
      </c>
      <c r="W92" s="158">
        <v>5979.71</v>
      </c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284">
        <f>SUM(D92:AH92)</f>
        <v>137961.93</v>
      </c>
      <c r="AJ92" s="285">
        <f>+AI92/$A$1*$AK$1</f>
        <v>203658.08714285711</v>
      </c>
    </row>
    <row r="93" spans="1:36" x14ac:dyDescent="0.3">
      <c r="A93" s="203">
        <v>141</v>
      </c>
      <c r="B93" s="233" t="s">
        <v>45</v>
      </c>
      <c r="C93" s="332" t="s">
        <v>15</v>
      </c>
      <c r="D93" s="228">
        <v>89</v>
      </c>
      <c r="E93" s="228">
        <v>111</v>
      </c>
      <c r="F93" s="228">
        <v>125</v>
      </c>
      <c r="G93" s="228">
        <v>94</v>
      </c>
      <c r="H93" s="228">
        <v>117</v>
      </c>
      <c r="I93" s="228">
        <v>133</v>
      </c>
      <c r="J93" s="228">
        <v>87</v>
      </c>
      <c r="K93" s="228">
        <v>102</v>
      </c>
      <c r="L93" s="228">
        <v>116</v>
      </c>
      <c r="M93" s="228">
        <v>110</v>
      </c>
      <c r="N93" s="228">
        <v>75</v>
      </c>
      <c r="O93" s="228">
        <v>92</v>
      </c>
      <c r="P93" s="228">
        <v>101</v>
      </c>
      <c r="Q93" s="228">
        <v>81</v>
      </c>
      <c r="R93" s="228">
        <v>112</v>
      </c>
      <c r="S93" s="228">
        <v>125</v>
      </c>
      <c r="T93" s="228">
        <v>118</v>
      </c>
      <c r="U93" s="228">
        <v>131</v>
      </c>
      <c r="V93" s="228">
        <v>109</v>
      </c>
      <c r="W93" s="228">
        <v>108</v>
      </c>
      <c r="X93" s="228">
        <v>76</v>
      </c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88">
        <f>SUM(D93:AH93)</f>
        <v>2212</v>
      </c>
      <c r="AJ93" s="289">
        <f>+$AI93/$A$1*$AK$1</f>
        <v>3265.333333333333</v>
      </c>
    </row>
    <row r="94" spans="1:36" x14ac:dyDescent="0.3">
      <c r="A94" s="237"/>
      <c r="B94" s="167"/>
      <c r="C94" s="333" t="s">
        <v>16</v>
      </c>
      <c r="D94" s="164">
        <f>D93/$A$93</f>
        <v>0.63120567375886527</v>
      </c>
      <c r="E94" s="164">
        <f t="shared" ref="E94:AH94" si="75">E93/$A$93</f>
        <v>0.78723404255319152</v>
      </c>
      <c r="F94" s="164">
        <f t="shared" si="75"/>
        <v>0.88652482269503541</v>
      </c>
      <c r="G94" s="164">
        <f t="shared" si="75"/>
        <v>0.66666666666666663</v>
      </c>
      <c r="H94" s="164">
        <f t="shared" si="75"/>
        <v>0.82978723404255317</v>
      </c>
      <c r="I94" s="164">
        <f t="shared" si="75"/>
        <v>0.94326241134751776</v>
      </c>
      <c r="J94" s="164">
        <f t="shared" si="75"/>
        <v>0.61702127659574468</v>
      </c>
      <c r="K94" s="164">
        <f t="shared" si="75"/>
        <v>0.72340425531914898</v>
      </c>
      <c r="L94" s="164">
        <f t="shared" si="75"/>
        <v>0.82269503546099287</v>
      </c>
      <c r="M94" s="164">
        <f t="shared" si="75"/>
        <v>0.78014184397163122</v>
      </c>
      <c r="N94" s="164">
        <f t="shared" si="75"/>
        <v>0.53191489361702127</v>
      </c>
      <c r="O94" s="164">
        <f t="shared" si="75"/>
        <v>0.65248226950354615</v>
      </c>
      <c r="P94" s="164">
        <f t="shared" si="75"/>
        <v>0.71631205673758869</v>
      </c>
      <c r="Q94" s="164">
        <f t="shared" si="75"/>
        <v>0.57446808510638303</v>
      </c>
      <c r="R94" s="164">
        <f t="shared" si="75"/>
        <v>0.79432624113475181</v>
      </c>
      <c r="S94" s="164">
        <f t="shared" si="75"/>
        <v>0.88652482269503541</v>
      </c>
      <c r="T94" s="164">
        <f t="shared" si="75"/>
        <v>0.83687943262411346</v>
      </c>
      <c r="U94" s="164">
        <f t="shared" si="75"/>
        <v>0.92907801418439717</v>
      </c>
      <c r="V94" s="164">
        <f t="shared" si="75"/>
        <v>0.77304964539007093</v>
      </c>
      <c r="W94" s="164">
        <f t="shared" si="75"/>
        <v>0.76595744680851063</v>
      </c>
      <c r="X94" s="164">
        <f t="shared" si="75"/>
        <v>0.53900709219858156</v>
      </c>
      <c r="Y94" s="164">
        <f t="shared" si="75"/>
        <v>0</v>
      </c>
      <c r="Z94" s="164">
        <f t="shared" si="75"/>
        <v>0</v>
      </c>
      <c r="AA94" s="164">
        <f t="shared" si="75"/>
        <v>0</v>
      </c>
      <c r="AB94" s="164">
        <f t="shared" si="75"/>
        <v>0</v>
      </c>
      <c r="AC94" s="164">
        <f t="shared" si="75"/>
        <v>0</v>
      </c>
      <c r="AD94" s="164">
        <f t="shared" si="75"/>
        <v>0</v>
      </c>
      <c r="AE94" s="164">
        <f t="shared" si="75"/>
        <v>0</v>
      </c>
      <c r="AF94" s="164">
        <f t="shared" si="75"/>
        <v>0</v>
      </c>
      <c r="AG94" s="164">
        <f t="shared" si="75"/>
        <v>0</v>
      </c>
      <c r="AH94" s="164">
        <f t="shared" si="75"/>
        <v>0</v>
      </c>
      <c r="AI94" s="290">
        <f>+AI93/(A93*A$1)</f>
        <v>0.74704491725768318</v>
      </c>
      <c r="AJ94" s="291">
        <f>AJ93/($A93*AK1)</f>
        <v>0.74704491725768318</v>
      </c>
    </row>
    <row r="95" spans="1:36" x14ac:dyDescent="0.3">
      <c r="A95" s="237"/>
      <c r="B95" s="167"/>
      <c r="C95" s="333" t="s">
        <v>17</v>
      </c>
      <c r="D95" s="165">
        <f>+IFERROR(D97/D93,0)</f>
        <v>120.32584269662921</v>
      </c>
      <c r="E95" s="165">
        <f t="shared" ref="E95:AH95" si="76">+IFERROR(E97/E93,0)</f>
        <v>123.81981981981981</v>
      </c>
      <c r="F95" s="165">
        <f t="shared" si="76"/>
        <v>121.44</v>
      </c>
      <c r="G95" s="165">
        <f t="shared" si="76"/>
        <v>118.07010638297872</v>
      </c>
      <c r="H95" s="165">
        <f t="shared" si="76"/>
        <v>119.42213675213675</v>
      </c>
      <c r="I95" s="165">
        <f t="shared" si="76"/>
        <v>126.95120300751879</v>
      </c>
      <c r="J95" s="165">
        <f t="shared" si="76"/>
        <v>106.16413793103449</v>
      </c>
      <c r="K95" s="165">
        <f t="shared" si="76"/>
        <v>118.8877450980392</v>
      </c>
      <c r="L95" s="165">
        <f t="shared" si="76"/>
        <v>124.9651724137931</v>
      </c>
      <c r="M95" s="165">
        <f t="shared" si="76"/>
        <v>125.73954545454546</v>
      </c>
      <c r="N95" s="165">
        <f t="shared" si="76"/>
        <v>134.44146666666668</v>
      </c>
      <c r="O95" s="165">
        <f t="shared" si="76"/>
        <v>131.87663043478261</v>
      </c>
      <c r="P95" s="165">
        <f t="shared" si="76"/>
        <v>127.41</v>
      </c>
      <c r="Q95" s="165">
        <f t="shared" si="76"/>
        <v>112.70629629629629</v>
      </c>
      <c r="R95" s="165">
        <f t="shared" si="76"/>
        <v>127.16526785714287</v>
      </c>
      <c r="S95" s="165">
        <f t="shared" si="76"/>
        <v>133.09200000000001</v>
      </c>
      <c r="T95" s="165">
        <f t="shared" si="76"/>
        <v>129.64152542372881</v>
      </c>
      <c r="U95" s="165">
        <f t="shared" si="76"/>
        <v>124.86152671755725</v>
      </c>
      <c r="V95" s="165">
        <f t="shared" si="76"/>
        <v>131.53467889908256</v>
      </c>
      <c r="W95" s="165">
        <f t="shared" si="76"/>
        <v>125.56620370370371</v>
      </c>
      <c r="X95" s="165">
        <f t="shared" si="76"/>
        <v>116.14184210526317</v>
      </c>
      <c r="Y95" s="165">
        <f>+IFERROR(Y97/Y93,0)</f>
        <v>0</v>
      </c>
      <c r="Z95" s="165">
        <f t="shared" si="76"/>
        <v>0</v>
      </c>
      <c r="AA95" s="165">
        <f t="shared" si="76"/>
        <v>0</v>
      </c>
      <c r="AB95" s="165">
        <f t="shared" si="76"/>
        <v>0</v>
      </c>
      <c r="AC95" s="165">
        <f t="shared" si="76"/>
        <v>0</v>
      </c>
      <c r="AD95" s="165">
        <f t="shared" si="76"/>
        <v>0</v>
      </c>
      <c r="AE95" s="165">
        <f t="shared" si="76"/>
        <v>0</v>
      </c>
      <c r="AF95" s="165">
        <f t="shared" si="76"/>
        <v>0</v>
      </c>
      <c r="AG95" s="165">
        <f t="shared" si="76"/>
        <v>0</v>
      </c>
      <c r="AH95" s="165">
        <f t="shared" si="76"/>
        <v>0</v>
      </c>
      <c r="AI95" s="292">
        <f>+AI97/AI93</f>
        <v>124.20921790235083</v>
      </c>
      <c r="AJ95" s="293">
        <f>+AJ97/AJ93</f>
        <v>124.20921790235084</v>
      </c>
    </row>
    <row r="96" spans="1:36" x14ac:dyDescent="0.3">
      <c r="A96" s="237"/>
      <c r="B96" s="167"/>
      <c r="C96" s="333" t="s">
        <v>18</v>
      </c>
      <c r="D96" s="165">
        <f>+D94*D95</f>
        <v>75.950354609929079</v>
      </c>
      <c r="E96" s="165">
        <f t="shared" ref="E96:AH96" si="77">+E94*E95</f>
        <v>97.475177304964532</v>
      </c>
      <c r="F96" s="165">
        <f t="shared" si="77"/>
        <v>107.6595744680851</v>
      </c>
      <c r="G96" s="165">
        <f t="shared" si="77"/>
        <v>78.713404255319148</v>
      </c>
      <c r="H96" s="165">
        <f t="shared" si="77"/>
        <v>99.094964539007094</v>
      </c>
      <c r="I96" s="165">
        <f t="shared" si="77"/>
        <v>119.74829787234042</v>
      </c>
      <c r="J96" s="165">
        <f t="shared" si="77"/>
        <v>65.505531914893623</v>
      </c>
      <c r="K96" s="165">
        <f t="shared" si="77"/>
        <v>86.003900709219849</v>
      </c>
      <c r="L96" s="165">
        <f t="shared" si="77"/>
        <v>102.80822695035459</v>
      </c>
      <c r="M96" s="165">
        <f t="shared" si="77"/>
        <v>98.094680851063842</v>
      </c>
      <c r="N96" s="165">
        <f t="shared" si="77"/>
        <v>71.511418439716323</v>
      </c>
      <c r="O96" s="165">
        <f t="shared" si="77"/>
        <v>86.04716312056739</v>
      </c>
      <c r="P96" s="165">
        <f t="shared" si="77"/>
        <v>91.265319148936172</v>
      </c>
      <c r="Q96" s="165">
        <f t="shared" si="77"/>
        <v>64.746170212765961</v>
      </c>
      <c r="R96" s="165">
        <f t="shared" si="77"/>
        <v>101.01070921985817</v>
      </c>
      <c r="S96" s="165">
        <f t="shared" si="77"/>
        <v>117.98936170212767</v>
      </c>
      <c r="T96" s="165">
        <f t="shared" si="77"/>
        <v>108.49432624113474</v>
      </c>
      <c r="U96" s="165">
        <f t="shared" si="77"/>
        <v>116.00609929078014</v>
      </c>
      <c r="V96" s="165">
        <f t="shared" si="77"/>
        <v>101.68283687943263</v>
      </c>
      <c r="W96" s="165">
        <f t="shared" si="77"/>
        <v>96.178368794326246</v>
      </c>
      <c r="X96" s="165">
        <f t="shared" si="77"/>
        <v>62.601276595744686</v>
      </c>
      <c r="Y96" s="165">
        <f t="shared" si="77"/>
        <v>0</v>
      </c>
      <c r="Z96" s="165">
        <f t="shared" si="77"/>
        <v>0</v>
      </c>
      <c r="AA96" s="165">
        <f t="shared" si="77"/>
        <v>0</v>
      </c>
      <c r="AB96" s="165">
        <f t="shared" si="77"/>
        <v>0</v>
      </c>
      <c r="AC96" s="165">
        <f t="shared" si="77"/>
        <v>0</v>
      </c>
      <c r="AD96" s="165">
        <f t="shared" si="77"/>
        <v>0</v>
      </c>
      <c r="AE96" s="165">
        <f t="shared" si="77"/>
        <v>0</v>
      </c>
      <c r="AF96" s="165">
        <f t="shared" si="77"/>
        <v>0</v>
      </c>
      <c r="AG96" s="165">
        <f t="shared" si="77"/>
        <v>0</v>
      </c>
      <c r="AH96" s="165">
        <f t="shared" si="77"/>
        <v>0</v>
      </c>
      <c r="AI96" s="292">
        <f>+AI95*AI94</f>
        <v>92.789864910503212</v>
      </c>
      <c r="AJ96" s="293">
        <f>+AJ94*AJ95</f>
        <v>92.789864910503226</v>
      </c>
    </row>
    <row r="97" spans="1:37" ht="15" thickBot="1" x14ac:dyDescent="0.35">
      <c r="A97" s="203"/>
      <c r="B97" s="162"/>
      <c r="C97" s="333" t="s">
        <v>19</v>
      </c>
      <c r="D97" s="166">
        <v>10709</v>
      </c>
      <c r="E97" s="166">
        <v>13744</v>
      </c>
      <c r="F97" s="166">
        <v>15180</v>
      </c>
      <c r="G97" s="166">
        <v>11098.59</v>
      </c>
      <c r="H97" s="166">
        <v>13972.39</v>
      </c>
      <c r="I97" s="166">
        <v>16884.509999999998</v>
      </c>
      <c r="J97" s="166">
        <v>9236.2800000000007</v>
      </c>
      <c r="K97" s="166">
        <v>12126.55</v>
      </c>
      <c r="L97" s="166">
        <v>14495.96</v>
      </c>
      <c r="M97" s="254">
        <v>13831.35</v>
      </c>
      <c r="N97" s="166">
        <v>10083.11</v>
      </c>
      <c r="O97" s="166">
        <v>12132.65</v>
      </c>
      <c r="P97" s="166">
        <v>12868.41</v>
      </c>
      <c r="Q97" s="166">
        <v>9129.2099999999991</v>
      </c>
      <c r="R97" s="166">
        <v>14242.51</v>
      </c>
      <c r="S97" s="166">
        <v>16636.5</v>
      </c>
      <c r="T97" s="166">
        <v>15297.7</v>
      </c>
      <c r="U97" s="166">
        <v>16356.86</v>
      </c>
      <c r="V97" s="166">
        <v>14337.28</v>
      </c>
      <c r="W97" s="166">
        <v>13561.15</v>
      </c>
      <c r="X97" s="166">
        <v>8826.7800000000007</v>
      </c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294">
        <f>SUM(D97:AH97)</f>
        <v>274750.79000000004</v>
      </c>
      <c r="AJ97" s="295">
        <f>+AI97/$A$1*$AK$1</f>
        <v>405584.49952380959</v>
      </c>
    </row>
    <row r="98" spans="1:37" x14ac:dyDescent="0.3">
      <c r="A98" s="203">
        <v>98</v>
      </c>
      <c r="B98" s="201" t="s">
        <v>46</v>
      </c>
      <c r="C98" s="338" t="s">
        <v>15</v>
      </c>
      <c r="D98" s="59">
        <v>62</v>
      </c>
      <c r="E98" s="59">
        <v>74</v>
      </c>
      <c r="F98" s="59">
        <v>78</v>
      </c>
      <c r="G98" s="59">
        <v>71</v>
      </c>
      <c r="H98" s="59">
        <v>69</v>
      </c>
      <c r="I98" s="59">
        <v>88</v>
      </c>
      <c r="J98" s="59">
        <v>46</v>
      </c>
      <c r="K98" s="59">
        <v>55</v>
      </c>
      <c r="L98" s="59">
        <v>66</v>
      </c>
      <c r="M98" s="59">
        <v>69</v>
      </c>
      <c r="N98" s="59">
        <v>72</v>
      </c>
      <c r="O98" s="59">
        <v>62</v>
      </c>
      <c r="P98" s="59">
        <v>88</v>
      </c>
      <c r="Q98" s="59">
        <v>40</v>
      </c>
      <c r="R98" s="59">
        <v>53</v>
      </c>
      <c r="S98" s="59">
        <v>46</v>
      </c>
      <c r="T98" s="59">
        <v>32</v>
      </c>
      <c r="U98" s="59">
        <v>44</v>
      </c>
      <c r="V98" s="59">
        <v>65</v>
      </c>
      <c r="W98" s="59">
        <v>68</v>
      </c>
      <c r="X98" s="59">
        <v>29</v>
      </c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276">
        <f>SUM(D98:AH98)</f>
        <v>1277</v>
      </c>
      <c r="AJ98" s="285">
        <f>+$AI98/$A$1*$AK$1</f>
        <v>1885.0952380952381</v>
      </c>
    </row>
    <row r="99" spans="1:37" x14ac:dyDescent="0.3">
      <c r="A99" s="203"/>
      <c r="B99" s="33"/>
      <c r="C99" s="330" t="s">
        <v>16</v>
      </c>
      <c r="D99" s="35">
        <f t="shared" ref="D99:AH99" si="78">+D98/$A98</f>
        <v>0.63265306122448983</v>
      </c>
      <c r="E99" s="35">
        <f t="shared" si="78"/>
        <v>0.75510204081632648</v>
      </c>
      <c r="F99" s="35">
        <f t="shared" si="78"/>
        <v>0.79591836734693877</v>
      </c>
      <c r="G99" s="35">
        <f t="shared" si="78"/>
        <v>0.72448979591836737</v>
      </c>
      <c r="H99" s="35">
        <f t="shared" si="78"/>
        <v>0.70408163265306123</v>
      </c>
      <c r="I99" s="35">
        <f t="shared" si="78"/>
        <v>0.89795918367346939</v>
      </c>
      <c r="J99" s="35">
        <f t="shared" si="78"/>
        <v>0.46938775510204084</v>
      </c>
      <c r="K99" s="35">
        <f t="shared" si="78"/>
        <v>0.56122448979591832</v>
      </c>
      <c r="L99" s="35">
        <f>+L98/$A98</f>
        <v>0.67346938775510201</v>
      </c>
      <c r="M99" s="35">
        <f t="shared" si="78"/>
        <v>0.70408163265306123</v>
      </c>
      <c r="N99" s="35">
        <f t="shared" si="78"/>
        <v>0.73469387755102045</v>
      </c>
      <c r="O99" s="35">
        <f t="shared" si="78"/>
        <v>0.63265306122448983</v>
      </c>
      <c r="P99" s="35">
        <f t="shared" si="78"/>
        <v>0.89795918367346939</v>
      </c>
      <c r="Q99" s="35">
        <f t="shared" si="78"/>
        <v>0.40816326530612246</v>
      </c>
      <c r="R99" s="35">
        <f t="shared" si="78"/>
        <v>0.54081632653061229</v>
      </c>
      <c r="S99" s="35">
        <f t="shared" si="78"/>
        <v>0.46938775510204084</v>
      </c>
      <c r="T99" s="35">
        <f t="shared" si="78"/>
        <v>0.32653061224489793</v>
      </c>
      <c r="U99" s="35">
        <f t="shared" si="78"/>
        <v>0.44897959183673469</v>
      </c>
      <c r="V99" s="35">
        <f t="shared" si="78"/>
        <v>0.66326530612244894</v>
      </c>
      <c r="W99" s="35">
        <f t="shared" si="78"/>
        <v>0.69387755102040816</v>
      </c>
      <c r="X99" s="35">
        <f t="shared" si="78"/>
        <v>0.29591836734693877</v>
      </c>
      <c r="Y99" s="35">
        <f>+Y98/$A98</f>
        <v>0</v>
      </c>
      <c r="Z99" s="35">
        <f t="shared" si="78"/>
        <v>0</v>
      </c>
      <c r="AA99" s="35">
        <f t="shared" si="78"/>
        <v>0</v>
      </c>
      <c r="AB99" s="35">
        <f t="shared" si="78"/>
        <v>0</v>
      </c>
      <c r="AC99" s="35">
        <f t="shared" si="78"/>
        <v>0</v>
      </c>
      <c r="AD99" s="35">
        <f t="shared" si="78"/>
        <v>0</v>
      </c>
      <c r="AE99" s="35">
        <f t="shared" si="78"/>
        <v>0</v>
      </c>
      <c r="AF99" s="35">
        <f t="shared" si="78"/>
        <v>0</v>
      </c>
      <c r="AG99" s="35">
        <f t="shared" si="78"/>
        <v>0</v>
      </c>
      <c r="AH99" s="35">
        <f t="shared" si="78"/>
        <v>0</v>
      </c>
      <c r="AI99" s="281">
        <f>+AI98/(A98*A$1)</f>
        <v>0.62050534499514087</v>
      </c>
      <c r="AJ99" s="282">
        <f>AJ98/($A98*AK1)</f>
        <v>0.62050534499514087</v>
      </c>
    </row>
    <row r="100" spans="1:37" x14ac:dyDescent="0.3">
      <c r="A100" s="203"/>
      <c r="B100" s="33"/>
      <c r="C100" s="330" t="s">
        <v>17</v>
      </c>
      <c r="D100" s="37">
        <f t="shared" ref="D100:AH100" si="79">+IFERROR(D102/D98,0)</f>
        <v>97.930161290322587</v>
      </c>
      <c r="E100" s="37">
        <f t="shared" si="79"/>
        <v>95.414459459459465</v>
      </c>
      <c r="F100" s="37">
        <f t="shared" si="79"/>
        <v>99.411923076923074</v>
      </c>
      <c r="G100" s="37">
        <f t="shared" si="79"/>
        <v>86.211830985915498</v>
      </c>
      <c r="H100" s="37">
        <f t="shared" si="79"/>
        <v>115.63956521739131</v>
      </c>
      <c r="I100" s="37">
        <f t="shared" si="79"/>
        <v>117.43181818181819</v>
      </c>
      <c r="J100" s="37">
        <f t="shared" si="79"/>
        <v>82.08</v>
      </c>
      <c r="K100" s="37">
        <f t="shared" si="79"/>
        <v>91.718545454545463</v>
      </c>
      <c r="L100" s="37">
        <f t="shared" si="79"/>
        <v>94.428939393939402</v>
      </c>
      <c r="M100" s="37">
        <f t="shared" si="79"/>
        <v>93.628550724637677</v>
      </c>
      <c r="N100" s="37">
        <f t="shared" si="79"/>
        <v>89.311805555555551</v>
      </c>
      <c r="O100" s="37">
        <f t="shared" si="79"/>
        <v>111.98806451612903</v>
      </c>
      <c r="P100" s="37">
        <f t="shared" si="79"/>
        <v>111.21590909090909</v>
      </c>
      <c r="Q100" s="37">
        <f t="shared" si="79"/>
        <v>76.797249999999991</v>
      </c>
      <c r="R100" s="37">
        <f t="shared" si="79"/>
        <v>109.6854716981132</v>
      </c>
      <c r="S100" s="37">
        <f t="shared" si="79"/>
        <v>90.898913043478274</v>
      </c>
      <c r="T100" s="37">
        <f t="shared" si="79"/>
        <v>91.364062500000003</v>
      </c>
      <c r="U100" s="37">
        <f t="shared" si="79"/>
        <v>94.265227272727273</v>
      </c>
      <c r="V100" s="37">
        <f t="shared" si="79"/>
        <v>109.91384615384615</v>
      </c>
      <c r="W100" s="37">
        <f t="shared" si="79"/>
        <v>117.00750000000001</v>
      </c>
      <c r="X100" s="37">
        <f t="shared" si="79"/>
        <v>87.074137931034485</v>
      </c>
      <c r="Y100" s="37">
        <f>+IFERROR(Y102/Y98,0)</f>
        <v>0</v>
      </c>
      <c r="Z100" s="37">
        <f t="shared" si="79"/>
        <v>0</v>
      </c>
      <c r="AA100" s="37">
        <f t="shared" si="79"/>
        <v>0</v>
      </c>
      <c r="AB100" s="37">
        <f t="shared" si="79"/>
        <v>0</v>
      </c>
      <c r="AC100" s="37">
        <f t="shared" si="79"/>
        <v>0</v>
      </c>
      <c r="AD100" s="37">
        <f>+IFERROR(AD102/AD98,0)</f>
        <v>0</v>
      </c>
      <c r="AE100" s="37">
        <f t="shared" si="79"/>
        <v>0</v>
      </c>
      <c r="AF100" s="37">
        <f t="shared" si="79"/>
        <v>0</v>
      </c>
      <c r="AG100" s="37">
        <f t="shared" si="79"/>
        <v>0</v>
      </c>
      <c r="AH100" s="37">
        <f t="shared" si="79"/>
        <v>0</v>
      </c>
      <c r="AI100" s="283">
        <f>+AI102/AI98</f>
        <v>100.04555990602972</v>
      </c>
      <c r="AJ100" s="279">
        <f>+AJ102/AJ98</f>
        <v>100.04555990602972</v>
      </c>
    </row>
    <row r="101" spans="1:37" x14ac:dyDescent="0.3">
      <c r="A101" s="203"/>
      <c r="B101" s="33"/>
      <c r="C101" s="330" t="s">
        <v>18</v>
      </c>
      <c r="D101" s="37">
        <f t="shared" ref="D101:AH101" si="80">+D99*D100</f>
        <v>61.955816326530623</v>
      </c>
      <c r="E101" s="37">
        <f t="shared" si="80"/>
        <v>72.047653061224494</v>
      </c>
      <c r="F101" s="37">
        <f t="shared" si="80"/>
        <v>79.123775510204084</v>
      </c>
      <c r="G101" s="37">
        <f t="shared" si="80"/>
        <v>62.459591836734702</v>
      </c>
      <c r="H101" s="37">
        <f t="shared" si="80"/>
        <v>81.419693877551026</v>
      </c>
      <c r="I101" s="37">
        <f t="shared" si="80"/>
        <v>105.44897959183673</v>
      </c>
      <c r="J101" s="37">
        <f t="shared" si="80"/>
        <v>38.527346938775509</v>
      </c>
      <c r="K101" s="37">
        <f t="shared" si="80"/>
        <v>51.474693877551019</v>
      </c>
      <c r="L101" s="37">
        <f t="shared" si="80"/>
        <v>63.595000000000006</v>
      </c>
      <c r="M101" s="37">
        <f t="shared" si="80"/>
        <v>65.922142857142859</v>
      </c>
      <c r="N101" s="37">
        <f t="shared" si="80"/>
        <v>65.616836734693877</v>
      </c>
      <c r="O101" s="37">
        <f t="shared" si="80"/>
        <v>70.849591836734689</v>
      </c>
      <c r="P101" s="37">
        <f t="shared" si="80"/>
        <v>99.867346938775512</v>
      </c>
      <c r="Q101" s="37">
        <f t="shared" si="80"/>
        <v>31.34581632653061</v>
      </c>
      <c r="R101" s="37">
        <f t="shared" si="80"/>
        <v>59.319693877551025</v>
      </c>
      <c r="S101" s="37">
        <f t="shared" si="80"/>
        <v>42.666836734693888</v>
      </c>
      <c r="T101" s="37">
        <f t="shared" si="80"/>
        <v>29.833163265306123</v>
      </c>
      <c r="U101" s="37">
        <f t="shared" si="80"/>
        <v>42.323163265306121</v>
      </c>
      <c r="V101" s="37">
        <f t="shared" si="80"/>
        <v>72.902040816326519</v>
      </c>
      <c r="W101" s="37">
        <f t="shared" si="80"/>
        <v>81.188877551020411</v>
      </c>
      <c r="X101" s="37">
        <f t="shared" si="80"/>
        <v>25.766836734693879</v>
      </c>
      <c r="Y101" s="37">
        <f t="shared" si="80"/>
        <v>0</v>
      </c>
      <c r="Z101" s="37">
        <f t="shared" si="80"/>
        <v>0</v>
      </c>
      <c r="AA101" s="37">
        <f t="shared" si="80"/>
        <v>0</v>
      </c>
      <c r="AB101" s="37">
        <f t="shared" si="80"/>
        <v>0</v>
      </c>
      <c r="AC101" s="37">
        <f t="shared" si="80"/>
        <v>0</v>
      </c>
      <c r="AD101" s="37">
        <f t="shared" si="80"/>
        <v>0</v>
      </c>
      <c r="AE101" s="37">
        <f t="shared" si="80"/>
        <v>0</v>
      </c>
      <c r="AF101" s="37">
        <f t="shared" si="80"/>
        <v>0</v>
      </c>
      <c r="AG101" s="37">
        <f t="shared" si="80"/>
        <v>0</v>
      </c>
      <c r="AH101" s="37">
        <f t="shared" si="80"/>
        <v>0</v>
      </c>
      <c r="AI101" s="283">
        <f>+AI100*AI99</f>
        <v>62.078804664723009</v>
      </c>
      <c r="AJ101" s="279">
        <f>+AJ99*AJ100</f>
        <v>62.078804664723009</v>
      </c>
    </row>
    <row r="102" spans="1:37" ht="15" thickBot="1" x14ac:dyDescent="0.35">
      <c r="A102" s="203"/>
      <c r="B102" s="141"/>
      <c r="C102" s="337" t="s">
        <v>19</v>
      </c>
      <c r="D102" s="222">
        <v>6071.67</v>
      </c>
      <c r="E102" s="222">
        <v>7060.67</v>
      </c>
      <c r="F102" s="222">
        <v>7754.13</v>
      </c>
      <c r="G102" s="222">
        <v>6121.04</v>
      </c>
      <c r="H102" s="222">
        <v>7979.13</v>
      </c>
      <c r="I102" s="222">
        <v>10334</v>
      </c>
      <c r="J102" s="222">
        <v>3775.68</v>
      </c>
      <c r="K102" s="222">
        <v>5044.5200000000004</v>
      </c>
      <c r="L102" s="222">
        <v>6232.31</v>
      </c>
      <c r="M102" s="222">
        <v>6460.37</v>
      </c>
      <c r="N102" s="222">
        <v>6430.45</v>
      </c>
      <c r="O102" s="222">
        <v>6943.26</v>
      </c>
      <c r="P102" s="222">
        <v>9787</v>
      </c>
      <c r="Q102" s="222">
        <v>3071.89</v>
      </c>
      <c r="R102" s="222">
        <v>5813.33</v>
      </c>
      <c r="S102" s="222">
        <v>4181.3500000000004</v>
      </c>
      <c r="T102" s="222">
        <v>2923.65</v>
      </c>
      <c r="U102" s="222">
        <v>4147.67</v>
      </c>
      <c r="V102" s="222">
        <v>7144.4</v>
      </c>
      <c r="W102" s="222">
        <v>7956.51</v>
      </c>
      <c r="X102" s="222">
        <v>2525.15</v>
      </c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311">
        <f>SUM(D102:AH102)</f>
        <v>127758.17999999996</v>
      </c>
      <c r="AJ102" s="285">
        <f>+AI102/$A$1*$AK$1</f>
        <v>188595.4085714285</v>
      </c>
      <c r="AK102" s="252"/>
    </row>
    <row r="103" spans="1:37" ht="15.6" thickTop="1" thickBot="1" x14ac:dyDescent="0.35">
      <c r="A103" s="203"/>
      <c r="B103" s="203"/>
      <c r="C103" s="328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316"/>
      <c r="AJ103" s="317" t="e">
        <f>+AI102+AI92+AI87+AI82+AI77+AI72+AI67+AI62+AI57+#REF!+AI50+AI39+AI34+AI29+AI24+AI19+AI14+AI97</f>
        <v>#REF!</v>
      </c>
    </row>
    <row r="104" spans="1:37" ht="28.8" x14ac:dyDescent="0.3">
      <c r="A104" s="203"/>
      <c r="B104" s="203"/>
      <c r="C104" s="328"/>
      <c r="D104" s="240">
        <v>1</v>
      </c>
      <c r="E104" s="240">
        <v>2</v>
      </c>
      <c r="F104" s="240">
        <v>3</v>
      </c>
      <c r="G104" s="240">
        <v>4</v>
      </c>
      <c r="H104" s="240">
        <v>5</v>
      </c>
      <c r="I104" s="240">
        <v>6</v>
      </c>
      <c r="J104" s="240">
        <v>7</v>
      </c>
      <c r="K104" s="240">
        <v>8</v>
      </c>
      <c r="L104" s="240">
        <v>9</v>
      </c>
      <c r="M104" s="240">
        <v>10</v>
      </c>
      <c r="N104" s="240">
        <v>11</v>
      </c>
      <c r="O104" s="240">
        <v>12</v>
      </c>
      <c r="P104" s="240">
        <v>13</v>
      </c>
      <c r="Q104" s="240">
        <v>14</v>
      </c>
      <c r="R104" s="240">
        <v>15</v>
      </c>
      <c r="S104" s="240">
        <v>16</v>
      </c>
      <c r="T104" s="240">
        <v>17</v>
      </c>
      <c r="U104" s="240">
        <v>18</v>
      </c>
      <c r="V104" s="240">
        <v>19</v>
      </c>
      <c r="W104" s="240">
        <v>20</v>
      </c>
      <c r="X104" s="240">
        <v>21</v>
      </c>
      <c r="Y104" s="240">
        <v>22</v>
      </c>
      <c r="Z104" s="240">
        <v>23</v>
      </c>
      <c r="AA104" s="240">
        <v>24</v>
      </c>
      <c r="AB104" s="240">
        <v>25</v>
      </c>
      <c r="AC104" s="240">
        <v>26</v>
      </c>
      <c r="AD104" s="240">
        <v>27</v>
      </c>
      <c r="AE104" s="240">
        <v>28</v>
      </c>
      <c r="AF104" s="240">
        <v>29</v>
      </c>
      <c r="AG104" s="240">
        <v>30</v>
      </c>
      <c r="AH104" s="240">
        <v>31</v>
      </c>
      <c r="AI104" s="318" t="s">
        <v>47</v>
      </c>
      <c r="AJ104" s="318" t="s">
        <v>48</v>
      </c>
    </row>
    <row r="105" spans="1:37" x14ac:dyDescent="0.3">
      <c r="A105" s="203"/>
      <c r="B105" s="203" t="s">
        <v>55</v>
      </c>
      <c r="C105" s="328"/>
      <c r="D105" s="158">
        <f t="shared" ref="D105:AH105" si="81">+D102+D97+D92+D87+D82+D76+D72+D67+D62+D57+D52+D39+D34+D29+D24+D19+D14</f>
        <v>135157.73139130435</v>
      </c>
      <c r="E105" s="158">
        <f t="shared" si="81"/>
        <v>158875.37382608696</v>
      </c>
      <c r="F105" s="158">
        <f t="shared" si="81"/>
        <v>178430.23643478262</v>
      </c>
      <c r="G105" s="158">
        <f t="shared" si="81"/>
        <v>164624.70791304347</v>
      </c>
      <c r="H105" s="158">
        <f t="shared" si="81"/>
        <v>171409.22052173913</v>
      </c>
      <c r="I105" s="158">
        <f t="shared" si="81"/>
        <v>158515.11886956525</v>
      </c>
      <c r="J105" s="158">
        <f t="shared" si="81"/>
        <v>113240.22704347828</v>
      </c>
      <c r="K105" s="158">
        <f t="shared" si="81"/>
        <v>156344.4295652174</v>
      </c>
      <c r="L105" s="158">
        <f t="shared" si="81"/>
        <v>155429.9735652174</v>
      </c>
      <c r="M105" s="158">
        <f t="shared" si="81"/>
        <v>172006.00217391306</v>
      </c>
      <c r="N105" s="158">
        <f t="shared" si="81"/>
        <v>141824.00104347823</v>
      </c>
      <c r="O105" s="158">
        <f t="shared" si="81"/>
        <v>157119.24565217391</v>
      </c>
      <c r="P105" s="158">
        <f t="shared" si="81"/>
        <v>154108.33956521735</v>
      </c>
      <c r="Q105" s="158">
        <f t="shared" si="81"/>
        <v>104401.60060869565</v>
      </c>
      <c r="R105" s="158">
        <f t="shared" si="81"/>
        <v>136968.69913043478</v>
      </c>
      <c r="S105" s="158">
        <f t="shared" si="81"/>
        <v>164174.90495652176</v>
      </c>
      <c r="T105" s="158">
        <f t="shared" si="81"/>
        <v>162807.98165217388</v>
      </c>
      <c r="U105" s="158">
        <f t="shared" si="81"/>
        <v>157700.54434782607</v>
      </c>
      <c r="V105" s="158">
        <f t="shared" si="81"/>
        <v>108352.03347826084</v>
      </c>
      <c r="W105" s="158">
        <f t="shared" si="81"/>
        <v>103400.92869565217</v>
      </c>
      <c r="X105" s="158">
        <f t="shared" si="81"/>
        <v>84728.824608695664</v>
      </c>
      <c r="Y105" s="158">
        <f t="shared" si="81"/>
        <v>0</v>
      </c>
      <c r="Z105" s="158">
        <f t="shared" si="81"/>
        <v>0</v>
      </c>
      <c r="AA105" s="158">
        <f t="shared" si="81"/>
        <v>0</v>
      </c>
      <c r="AB105" s="158">
        <f t="shared" si="81"/>
        <v>0</v>
      </c>
      <c r="AC105" s="158">
        <f t="shared" si="81"/>
        <v>0</v>
      </c>
      <c r="AD105" s="158">
        <f t="shared" si="81"/>
        <v>0</v>
      </c>
      <c r="AE105" s="158">
        <f t="shared" si="81"/>
        <v>0</v>
      </c>
      <c r="AF105" s="158">
        <f t="shared" si="81"/>
        <v>0</v>
      </c>
      <c r="AG105" s="158">
        <f t="shared" si="81"/>
        <v>0</v>
      </c>
      <c r="AH105" s="158">
        <f t="shared" si="81"/>
        <v>0</v>
      </c>
      <c r="AI105" s="319" t="e">
        <f ca="1">SUM(D105:AJ105)/A1</f>
        <v>#VALUE!</v>
      </c>
      <c r="AJ105" s="320" t="e">
        <f ca="1">+AI105/AI107-1</f>
        <v>#VALUE!</v>
      </c>
    </row>
    <row r="106" spans="1:37" x14ac:dyDescent="0.3">
      <c r="A106" s="203"/>
      <c r="B106" s="203" t="s">
        <v>56</v>
      </c>
      <c r="C106" s="328"/>
      <c r="D106" s="158">
        <v>132521.82669565215</v>
      </c>
      <c r="E106" s="158">
        <v>131625.37347826088</v>
      </c>
      <c r="F106" s="158">
        <v>98367.646869565229</v>
      </c>
      <c r="G106" s="158">
        <v>83317.144260869565</v>
      </c>
      <c r="H106" s="158">
        <v>120449.4303478261</v>
      </c>
      <c r="I106" s="158">
        <v>130083.7752173913</v>
      </c>
      <c r="J106" s="158">
        <v>139160.76469565215</v>
      </c>
      <c r="K106" s="158">
        <v>151794.53078260869</v>
      </c>
      <c r="L106" s="158">
        <v>154570.98713043478</v>
      </c>
      <c r="M106" s="158">
        <v>105859.17878260869</v>
      </c>
      <c r="N106" s="158">
        <v>157624.64973913043</v>
      </c>
      <c r="O106" s="158">
        <v>171818.16834782611</v>
      </c>
      <c r="P106" s="158">
        <v>169189.3984347826</v>
      </c>
      <c r="Q106" s="158">
        <v>155334.50834782608</v>
      </c>
      <c r="R106" s="158">
        <v>148613.45008695655</v>
      </c>
      <c r="S106" s="158">
        <v>154374.4003478261</v>
      </c>
      <c r="T106" s="158">
        <v>112036.58304347828</v>
      </c>
      <c r="U106" s="158">
        <v>176144.33147826086</v>
      </c>
      <c r="V106" s="158">
        <v>187969.33608695649</v>
      </c>
      <c r="W106" s="158">
        <v>191511.7973043478</v>
      </c>
      <c r="X106" s="158">
        <v>173356.99391304346</v>
      </c>
      <c r="Y106" s="158">
        <v>151850.42278260869</v>
      </c>
      <c r="Z106" s="158">
        <v>161103.76504347826</v>
      </c>
      <c r="AA106" s="158">
        <v>103694.88973913043</v>
      </c>
      <c r="AB106" s="158">
        <v>149808.97730434785</v>
      </c>
      <c r="AC106" s="158">
        <v>182134.04539130436</v>
      </c>
      <c r="AD106" s="158">
        <v>169360.22886956521</v>
      </c>
      <c r="AE106" s="158">
        <v>159981.29947826086</v>
      </c>
      <c r="AF106" s="158">
        <v>177139.0236521739</v>
      </c>
      <c r="AG106" s="158">
        <v>171449.51234782609</v>
      </c>
      <c r="AH106" s="158">
        <v>115360.07095652174</v>
      </c>
      <c r="AI106" s="319">
        <v>147987.30680504907</v>
      </c>
      <c r="AJ106" s="320">
        <v>-0.15663400234304736</v>
      </c>
    </row>
    <row r="107" spans="1:37" x14ac:dyDescent="0.3">
      <c r="A107" s="203"/>
      <c r="B107" s="203" t="s">
        <v>57</v>
      </c>
      <c r="C107" s="328"/>
      <c r="D107" s="158">
        <v>156997.45999999996</v>
      </c>
      <c r="E107" s="158">
        <v>158569.68</v>
      </c>
      <c r="F107" s="158">
        <v>194237</v>
      </c>
      <c r="G107" s="158">
        <v>173297.15</v>
      </c>
      <c r="H107" s="158">
        <v>119708.284</v>
      </c>
      <c r="I107" s="158">
        <v>174255.63</v>
      </c>
      <c r="J107" s="158">
        <v>192587.53000000003</v>
      </c>
      <c r="K107" s="158">
        <v>189711.47999999998</v>
      </c>
      <c r="L107" s="158">
        <v>155476.89000000001</v>
      </c>
      <c r="M107" s="158">
        <v>179795.72</v>
      </c>
      <c r="N107" s="158">
        <v>173343.68000000002</v>
      </c>
      <c r="O107" s="158">
        <v>119971.66</v>
      </c>
      <c r="P107" s="158">
        <v>185721.62</v>
      </c>
      <c r="Q107" s="158">
        <v>216505.76</v>
      </c>
      <c r="R107" s="158">
        <v>204669.06000000003</v>
      </c>
      <c r="S107" s="158">
        <v>185151.80000000002</v>
      </c>
      <c r="T107" s="158">
        <v>177583.24000000002</v>
      </c>
      <c r="U107" s="158">
        <v>175471.07</v>
      </c>
      <c r="V107" s="158">
        <v>128069.77999999998</v>
      </c>
      <c r="W107" s="158">
        <v>166344.91999999998</v>
      </c>
      <c r="X107" s="158">
        <v>198238.21000000005</v>
      </c>
      <c r="Y107" s="158">
        <v>200543.36000000002</v>
      </c>
      <c r="Z107" s="158">
        <v>198024.49000000002</v>
      </c>
      <c r="AA107" s="158">
        <v>240642.15</v>
      </c>
      <c r="AB107" s="158">
        <v>225985.67</v>
      </c>
      <c r="AC107" s="158">
        <v>134633.53999999998</v>
      </c>
      <c r="AD107" s="158">
        <v>187359.25999999995</v>
      </c>
      <c r="AE107" s="158">
        <v>199847.62999999998</v>
      </c>
      <c r="AF107" s="158">
        <v>134502</v>
      </c>
      <c r="AG107" s="158">
        <v>116920.98000000001</v>
      </c>
      <c r="AH107" s="158">
        <v>0</v>
      </c>
      <c r="AI107" s="319">
        <f>AVERAGE(D107:AG107)</f>
        <v>175472.22346666668</v>
      </c>
      <c r="AJ107" s="320">
        <f>+AI107/AI108-1</f>
        <v>4.3814041123978464E-2</v>
      </c>
    </row>
    <row r="108" spans="1:37" x14ac:dyDescent="0.3">
      <c r="A108" s="203"/>
      <c r="B108" s="203" t="s">
        <v>49</v>
      </c>
      <c r="C108" s="328"/>
      <c r="D108" s="158">
        <v>108967.27000000002</v>
      </c>
      <c r="E108" s="158">
        <v>147836.46</v>
      </c>
      <c r="F108" s="158">
        <v>158968.61999999997</v>
      </c>
      <c r="G108" s="158">
        <v>163514.79099999997</v>
      </c>
      <c r="H108" s="158">
        <v>172974.04999999996</v>
      </c>
      <c r="I108" s="158">
        <v>168839.37000000002</v>
      </c>
      <c r="J108" s="158">
        <v>156890.75999999998</v>
      </c>
      <c r="K108" s="158">
        <v>127466.08999999997</v>
      </c>
      <c r="L108" s="158">
        <v>179859.94999999998</v>
      </c>
      <c r="M108" s="158">
        <v>197325.85000000003</v>
      </c>
      <c r="N108" s="158">
        <v>192981.05000000002</v>
      </c>
      <c r="O108" s="158">
        <v>218390.98999999996</v>
      </c>
      <c r="P108" s="158">
        <v>223246.62</v>
      </c>
      <c r="Q108" s="158">
        <v>205428.65</v>
      </c>
      <c r="R108" s="158">
        <v>111456.17</v>
      </c>
      <c r="S108" s="158">
        <v>142758.69</v>
      </c>
      <c r="T108" s="158">
        <v>168727.56000000003</v>
      </c>
      <c r="U108" s="158">
        <v>158949.52000000002</v>
      </c>
      <c r="V108" s="158">
        <v>153462.42999999996</v>
      </c>
      <c r="W108" s="158">
        <v>198069.11</v>
      </c>
      <c r="X108" s="158">
        <v>206703.33999999994</v>
      </c>
      <c r="Y108" s="158">
        <v>152549.52000000002</v>
      </c>
      <c r="Z108" s="158">
        <v>197319.29</v>
      </c>
      <c r="AA108" s="158">
        <v>213744.25999999998</v>
      </c>
      <c r="AB108" s="158">
        <v>172556.69999999998</v>
      </c>
      <c r="AC108" s="158">
        <v>155253.21</v>
      </c>
      <c r="AD108" s="158">
        <v>168296.33000000002</v>
      </c>
      <c r="AE108" s="158">
        <v>208899.81</v>
      </c>
      <c r="AF108" s="158">
        <v>126420.59000000001</v>
      </c>
      <c r="AG108" s="158">
        <v>92423.460000000021</v>
      </c>
      <c r="AH108" s="158">
        <v>161029.85</v>
      </c>
      <c r="AI108" s="319">
        <f>AVERAGE(D108:AH108)</f>
        <v>168106.78583870962</v>
      </c>
      <c r="AJ108" s="320">
        <f>+AI109/AI109-1</f>
        <v>0</v>
      </c>
    </row>
    <row r="109" spans="1:37" x14ac:dyDescent="0.3">
      <c r="A109" s="203"/>
      <c r="B109" s="203" t="s">
        <v>50</v>
      </c>
      <c r="C109" s="328"/>
      <c r="D109" s="158">
        <v>119447</v>
      </c>
      <c r="E109" s="158">
        <v>87090</v>
      </c>
      <c r="F109" s="158">
        <v>101356</v>
      </c>
      <c r="G109" s="158">
        <v>113572</v>
      </c>
      <c r="H109" s="158">
        <v>127837</v>
      </c>
      <c r="I109" s="158">
        <v>134927</v>
      </c>
      <c r="J109" s="158">
        <v>154766</v>
      </c>
      <c r="K109" s="158">
        <v>150751</v>
      </c>
      <c r="L109" s="158">
        <v>108587</v>
      </c>
      <c r="M109" s="158">
        <v>133543</v>
      </c>
      <c r="N109" s="158">
        <v>110892</v>
      </c>
      <c r="O109" s="158">
        <v>130055</v>
      </c>
      <c r="P109" s="158">
        <v>116397</v>
      </c>
      <c r="Q109" s="158">
        <v>132276</v>
      </c>
      <c r="R109" s="158">
        <v>140500</v>
      </c>
      <c r="S109" s="158">
        <v>122559</v>
      </c>
      <c r="T109" s="158">
        <v>84020</v>
      </c>
      <c r="U109" s="158">
        <v>125866</v>
      </c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240"/>
      <c r="AI109" s="319">
        <f>AVERAGE(D109:AH109)</f>
        <v>121913.38888888889</v>
      </c>
      <c r="AJ109" s="320">
        <f>+AI109/AI110-1</f>
        <v>1.0047674309761057E-3</v>
      </c>
    </row>
    <row r="110" spans="1:37" x14ac:dyDescent="0.3">
      <c r="A110" s="203"/>
      <c r="B110" s="203" t="s">
        <v>51</v>
      </c>
      <c r="C110" s="328"/>
      <c r="D110" s="158">
        <v>141124</v>
      </c>
      <c r="E110" s="158">
        <v>148318</v>
      </c>
      <c r="F110" s="158">
        <v>180210</v>
      </c>
      <c r="G110" s="158">
        <v>182187</v>
      </c>
      <c r="H110" s="158">
        <v>90926</v>
      </c>
      <c r="I110" s="158">
        <v>142191</v>
      </c>
      <c r="J110" s="158">
        <v>154670</v>
      </c>
      <c r="K110" s="158">
        <v>124979</v>
      </c>
      <c r="L110" s="158">
        <v>143617</v>
      </c>
      <c r="M110" s="158">
        <v>154379</v>
      </c>
      <c r="N110" s="158">
        <v>161804</v>
      </c>
      <c r="O110" s="158">
        <v>94785</v>
      </c>
      <c r="P110" s="158">
        <v>127796</v>
      </c>
      <c r="Q110" s="158">
        <v>124395</v>
      </c>
      <c r="R110" s="158">
        <v>127245</v>
      </c>
      <c r="S110" s="158">
        <v>124955</v>
      </c>
      <c r="T110" s="158">
        <v>150751.5</v>
      </c>
      <c r="U110" s="158">
        <v>158865</v>
      </c>
      <c r="V110" s="158">
        <v>86339</v>
      </c>
      <c r="W110" s="158">
        <v>90237</v>
      </c>
      <c r="X110" s="158">
        <v>83794</v>
      </c>
      <c r="Y110" s="158">
        <v>84908</v>
      </c>
      <c r="Z110" s="158">
        <v>84753</v>
      </c>
      <c r="AA110" s="158">
        <v>85520</v>
      </c>
      <c r="AB110" s="158">
        <v>91568</v>
      </c>
      <c r="AC110" s="158">
        <v>96637</v>
      </c>
      <c r="AD110" s="158">
        <v>96617</v>
      </c>
      <c r="AE110" s="158">
        <v>90977</v>
      </c>
      <c r="AF110" s="158">
        <v>107392</v>
      </c>
      <c r="AG110" s="240"/>
      <c r="AH110" s="240"/>
      <c r="AI110" s="319">
        <f>AVERAGE(D110:AH110)</f>
        <v>121791.0172413793</v>
      </c>
      <c r="AJ110" s="320">
        <f t="shared" ref="AJ110:AJ112" si="82">+AI110/AI111-1</f>
        <v>-0.20363410320327613</v>
      </c>
    </row>
    <row r="111" spans="1:37" x14ac:dyDescent="0.3">
      <c r="A111" s="203"/>
      <c r="B111" s="203" t="s">
        <v>52</v>
      </c>
      <c r="C111" s="328"/>
      <c r="D111" s="158">
        <v>124580</v>
      </c>
      <c r="E111" s="158">
        <v>154296.66</v>
      </c>
      <c r="F111" s="158">
        <v>147753</v>
      </c>
      <c r="G111" s="158">
        <v>158873</v>
      </c>
      <c r="H111" s="158">
        <v>199471</v>
      </c>
      <c r="I111" s="158">
        <v>215054</v>
      </c>
      <c r="J111" s="158">
        <v>125430</v>
      </c>
      <c r="K111" s="158">
        <v>152548</v>
      </c>
      <c r="L111" s="158">
        <v>165244</v>
      </c>
      <c r="M111" s="158">
        <v>171115</v>
      </c>
      <c r="N111" s="158">
        <v>173427</v>
      </c>
      <c r="O111" s="158">
        <v>212169</v>
      </c>
      <c r="P111" s="158">
        <v>214125</v>
      </c>
      <c r="Q111" s="158">
        <v>122065</v>
      </c>
      <c r="R111" s="158">
        <v>148524</v>
      </c>
      <c r="S111" s="158">
        <v>163208.09</v>
      </c>
      <c r="T111" s="158">
        <v>160525</v>
      </c>
      <c r="U111" s="158">
        <v>169998</v>
      </c>
      <c r="V111" s="158">
        <v>183815</v>
      </c>
      <c r="W111" s="158">
        <v>179974</v>
      </c>
      <c r="X111" s="158">
        <v>103759</v>
      </c>
      <c r="Y111" s="158">
        <v>99566</v>
      </c>
      <c r="Z111" s="158">
        <v>106365</v>
      </c>
      <c r="AA111" s="158">
        <v>117504</v>
      </c>
      <c r="AB111" s="158">
        <v>144736</v>
      </c>
      <c r="AC111" s="158">
        <v>172844</v>
      </c>
      <c r="AD111" s="158">
        <v>141290</v>
      </c>
      <c r="AE111" s="158">
        <v>90862</v>
      </c>
      <c r="AF111" s="158">
        <v>131911</v>
      </c>
      <c r="AG111" s="158">
        <v>136973</v>
      </c>
      <c r="AH111" s="240"/>
      <c r="AI111" s="319">
        <f>AVERAGE(D111:AH111)</f>
        <v>152933.49166666667</v>
      </c>
      <c r="AJ111" s="320">
        <f t="shared" si="82"/>
        <v>-0.13430132907555237</v>
      </c>
    </row>
    <row r="112" spans="1:37" x14ac:dyDescent="0.3">
      <c r="A112" s="203"/>
      <c r="B112" s="203" t="s">
        <v>53</v>
      </c>
      <c r="C112" s="328"/>
      <c r="D112" s="158">
        <v>184355</v>
      </c>
      <c r="E112" s="158">
        <v>203785</v>
      </c>
      <c r="F112" s="158">
        <v>126974</v>
      </c>
      <c r="G112" s="158">
        <v>151832</v>
      </c>
      <c r="H112" s="158">
        <v>157157.78</v>
      </c>
      <c r="I112" s="158">
        <v>159133</v>
      </c>
      <c r="J112" s="158">
        <v>166580.95000000001</v>
      </c>
      <c r="K112" s="158">
        <v>262111</v>
      </c>
      <c r="L112" s="158">
        <v>260375</v>
      </c>
      <c r="M112" s="158">
        <v>158326</v>
      </c>
      <c r="N112" s="158">
        <v>156220.25</v>
      </c>
      <c r="O112" s="158">
        <v>164611</v>
      </c>
      <c r="P112" s="158">
        <v>178027</v>
      </c>
      <c r="Q112" s="158">
        <v>186451</v>
      </c>
      <c r="R112" s="158">
        <v>242164</v>
      </c>
      <c r="S112" s="158">
        <v>250953</v>
      </c>
      <c r="T112" s="158">
        <v>128371</v>
      </c>
      <c r="U112" s="158">
        <v>150396</v>
      </c>
      <c r="V112" s="158">
        <v>150531</v>
      </c>
      <c r="W112" s="158">
        <v>167115</v>
      </c>
      <c r="X112" s="158">
        <v>161143</v>
      </c>
      <c r="Y112" s="158">
        <v>207530</v>
      </c>
      <c r="Z112" s="158">
        <v>211524</v>
      </c>
      <c r="AA112" s="158">
        <v>133795</v>
      </c>
      <c r="AB112" s="158">
        <v>135271</v>
      </c>
      <c r="AC112" s="158">
        <v>197736.5</v>
      </c>
      <c r="AD112" s="158">
        <v>173262</v>
      </c>
      <c r="AE112" s="158">
        <v>149680</v>
      </c>
      <c r="AF112" s="158">
        <v>184454</v>
      </c>
      <c r="AG112" s="158">
        <v>186589</v>
      </c>
      <c r="AH112" s="158">
        <v>129976.6</v>
      </c>
      <c r="AI112" s="319">
        <f>AVERAGE(D112:AH112)</f>
        <v>176659.03483870969</v>
      </c>
      <c r="AJ112" s="320">
        <f t="shared" si="82"/>
        <v>0.16399498112028188</v>
      </c>
    </row>
    <row r="113" spans="1:36" x14ac:dyDescent="0.3">
      <c r="A113" s="203"/>
      <c r="B113" s="203" t="s">
        <v>54</v>
      </c>
      <c r="C113" s="328"/>
      <c r="D113" s="158">
        <v>135081</v>
      </c>
      <c r="E113" s="158">
        <v>119804</v>
      </c>
      <c r="F113" s="158">
        <v>159717</v>
      </c>
      <c r="G113" s="158">
        <v>200553</v>
      </c>
      <c r="H113" s="158">
        <v>146119</v>
      </c>
      <c r="I113" s="158">
        <v>95658</v>
      </c>
      <c r="J113" s="158">
        <v>120350</v>
      </c>
      <c r="K113" s="158">
        <v>127624</v>
      </c>
      <c r="L113" s="158">
        <v>131409</v>
      </c>
      <c r="M113" s="158">
        <v>127567</v>
      </c>
      <c r="N113" s="158">
        <v>162403</v>
      </c>
      <c r="O113" s="158">
        <v>107348</v>
      </c>
      <c r="P113" s="158">
        <v>143879</v>
      </c>
      <c r="Q113" s="158">
        <v>149942</v>
      </c>
      <c r="R113" s="158">
        <v>151846</v>
      </c>
      <c r="S113" s="158">
        <v>140278</v>
      </c>
      <c r="T113" s="158">
        <v>167616</v>
      </c>
      <c r="U113" s="158">
        <v>177629</v>
      </c>
      <c r="V113" s="158">
        <v>116126</v>
      </c>
      <c r="W113" s="158">
        <v>140286</v>
      </c>
      <c r="X113" s="158">
        <v>153982</v>
      </c>
      <c r="Y113" s="158">
        <v>155274.99</v>
      </c>
      <c r="Z113" s="158">
        <v>172567</v>
      </c>
      <c r="AA113" s="158">
        <v>223177</v>
      </c>
      <c r="AB113" s="158">
        <v>231694.25</v>
      </c>
      <c r="AC113" s="158">
        <v>135454</v>
      </c>
      <c r="AD113" s="158">
        <v>158735</v>
      </c>
      <c r="AE113" s="158">
        <v>167464</v>
      </c>
      <c r="AF113" s="158">
        <v>168759</v>
      </c>
      <c r="AG113" s="158">
        <v>164745.29999999999</v>
      </c>
      <c r="AH113" s="240"/>
      <c r="AI113" s="319">
        <v>151769.58466666666</v>
      </c>
      <c r="AJ113" s="320">
        <v>6.4058604479718673E-2</v>
      </c>
    </row>
    <row r="114" spans="1:36" x14ac:dyDescent="0.3">
      <c r="A114" s="203"/>
      <c r="B114" s="203" t="s">
        <v>55</v>
      </c>
      <c r="C114" s="328"/>
      <c r="D114" s="158">
        <v>132277</v>
      </c>
      <c r="E114" s="158">
        <v>134811</v>
      </c>
      <c r="F114" s="158">
        <v>147393.02000000002</v>
      </c>
      <c r="G114" s="158">
        <v>147065</v>
      </c>
      <c r="H114" s="158">
        <v>146611</v>
      </c>
      <c r="I114" s="158">
        <v>164787</v>
      </c>
      <c r="J114" s="158">
        <v>165674.4</v>
      </c>
      <c r="K114" s="158">
        <v>115147</v>
      </c>
      <c r="L114" s="158">
        <v>130761</v>
      </c>
      <c r="M114" s="158">
        <v>135033.10999999999</v>
      </c>
      <c r="N114" s="158">
        <v>130790</v>
      </c>
      <c r="O114" s="158">
        <v>136739.94</v>
      </c>
      <c r="P114" s="158">
        <v>157693</v>
      </c>
      <c r="Q114" s="158">
        <v>170022</v>
      </c>
      <c r="R114" s="158">
        <v>118001</v>
      </c>
      <c r="S114" s="158">
        <v>147490</v>
      </c>
      <c r="T114" s="158">
        <v>179783</v>
      </c>
      <c r="U114" s="158">
        <v>170075</v>
      </c>
      <c r="V114" s="158">
        <v>144571.1</v>
      </c>
      <c r="W114" s="158">
        <v>147776</v>
      </c>
      <c r="X114" s="158">
        <v>149771</v>
      </c>
      <c r="Y114" s="158">
        <v>102778.09</v>
      </c>
      <c r="Z114" s="158">
        <v>130224</v>
      </c>
      <c r="AA114" s="158">
        <v>143382</v>
      </c>
      <c r="AB114" s="158">
        <v>143656</v>
      </c>
      <c r="AC114" s="158">
        <v>136449</v>
      </c>
      <c r="AD114" s="158">
        <v>145516</v>
      </c>
      <c r="AE114" s="158">
        <v>165913</v>
      </c>
      <c r="AF114" s="158">
        <v>114664</v>
      </c>
      <c r="AG114" s="158">
        <v>123536</v>
      </c>
      <c r="AH114" s="158">
        <v>143225</v>
      </c>
      <c r="AI114" s="319">
        <v>142632.73096774195</v>
      </c>
      <c r="AJ114" s="320">
        <v>-0.10798314790952912</v>
      </c>
    </row>
    <row r="115" spans="1:36" x14ac:dyDescent="0.3">
      <c r="A115" s="203"/>
      <c r="B115" s="203" t="s">
        <v>56</v>
      </c>
      <c r="C115" s="328"/>
      <c r="D115" s="158">
        <v>149150.16</v>
      </c>
      <c r="E115" s="158">
        <v>164371</v>
      </c>
      <c r="F115" s="158">
        <v>165843</v>
      </c>
      <c r="G115" s="158">
        <v>113115</v>
      </c>
      <c r="H115" s="158">
        <v>107949</v>
      </c>
      <c r="I115" s="158">
        <v>140558</v>
      </c>
      <c r="J115" s="158">
        <v>152447</v>
      </c>
      <c r="K115" s="158">
        <v>162650</v>
      </c>
      <c r="L115" s="158">
        <v>176842</v>
      </c>
      <c r="M115" s="158">
        <v>178270</v>
      </c>
      <c r="N115" s="158">
        <v>123610</v>
      </c>
      <c r="O115" s="158">
        <v>152776</v>
      </c>
      <c r="P115" s="158">
        <v>162394</v>
      </c>
      <c r="Q115" s="158">
        <v>163241</v>
      </c>
      <c r="R115" s="158">
        <v>166097</v>
      </c>
      <c r="S115" s="158">
        <v>188036</v>
      </c>
      <c r="T115" s="158">
        <v>205640</v>
      </c>
      <c r="U115" s="158">
        <v>123889</v>
      </c>
      <c r="V115" s="158">
        <v>197425</v>
      </c>
      <c r="W115" s="158">
        <v>153932</v>
      </c>
      <c r="X115" s="158">
        <v>156600</v>
      </c>
      <c r="Y115" s="158">
        <v>161583</v>
      </c>
      <c r="Z115" s="158">
        <v>183945</v>
      </c>
      <c r="AA115" s="158">
        <v>192396</v>
      </c>
      <c r="AB115" s="158">
        <v>121789</v>
      </c>
      <c r="AC115" s="158">
        <v>142467.29999999999</v>
      </c>
      <c r="AD115" s="158">
        <v>163203</v>
      </c>
      <c r="AE115" s="158">
        <v>164257</v>
      </c>
      <c r="AF115" s="158">
        <v>161177</v>
      </c>
      <c r="AG115" s="158">
        <v>175590</v>
      </c>
      <c r="AH115" s="158">
        <v>185631</v>
      </c>
      <c r="AI115" s="319">
        <v>159899.14387096773</v>
      </c>
      <c r="AJ115" s="320">
        <v>-2.1289128722978723E-2</v>
      </c>
    </row>
    <row r="116" spans="1:36" x14ac:dyDescent="0.3">
      <c r="A116" s="203"/>
      <c r="B116" s="203" t="s">
        <v>57</v>
      </c>
      <c r="C116" s="328"/>
      <c r="D116" s="158">
        <v>123011</v>
      </c>
      <c r="E116" s="158">
        <v>135214</v>
      </c>
      <c r="F116" s="158">
        <v>146360</v>
      </c>
      <c r="G116" s="158">
        <v>175853</v>
      </c>
      <c r="H116" s="158">
        <v>181902</v>
      </c>
      <c r="I116" s="158">
        <v>117874</v>
      </c>
      <c r="J116" s="158">
        <v>138979</v>
      </c>
      <c r="K116" s="158">
        <v>161866.45000000001</v>
      </c>
      <c r="L116" s="158">
        <v>163308</v>
      </c>
      <c r="M116" s="158">
        <v>161436</v>
      </c>
      <c r="N116" s="158">
        <v>197316</v>
      </c>
      <c r="O116" s="158">
        <v>189393</v>
      </c>
      <c r="P116" s="158">
        <v>134039</v>
      </c>
      <c r="Q116" s="158">
        <v>160552</v>
      </c>
      <c r="R116" s="158">
        <v>175496</v>
      </c>
      <c r="S116" s="158">
        <v>167668</v>
      </c>
      <c r="T116" s="158">
        <v>163426</v>
      </c>
      <c r="U116" s="158">
        <v>183993</v>
      </c>
      <c r="V116" s="158">
        <v>203363</v>
      </c>
      <c r="W116" s="158">
        <v>123082</v>
      </c>
      <c r="X116" s="158">
        <v>156633</v>
      </c>
      <c r="Y116" s="158">
        <v>180785</v>
      </c>
      <c r="Z116" s="158">
        <v>177471</v>
      </c>
      <c r="AA116" s="158">
        <v>172849</v>
      </c>
      <c r="AB116" s="158">
        <v>213754</v>
      </c>
      <c r="AC116" s="158">
        <v>218472</v>
      </c>
      <c r="AD116" s="158">
        <v>124046</v>
      </c>
      <c r="AE116" s="158">
        <v>153813.54999999999</v>
      </c>
      <c r="AF116" s="158">
        <v>161157</v>
      </c>
      <c r="AG116" s="158">
        <v>138207.13</v>
      </c>
      <c r="AH116" s="240"/>
      <c r="AI116" s="319">
        <v>163377.30433333333</v>
      </c>
      <c r="AJ116" s="320">
        <v>6.7979277812139749E-2</v>
      </c>
    </row>
    <row r="117" spans="1:36" x14ac:dyDescent="0.3">
      <c r="A117" s="203"/>
      <c r="B117" s="203" t="s">
        <v>49</v>
      </c>
      <c r="C117" s="328"/>
      <c r="D117" s="158">
        <v>168260</v>
      </c>
      <c r="E117" s="158">
        <v>107593</v>
      </c>
      <c r="F117" s="158">
        <v>127682.29999999999</v>
      </c>
      <c r="G117" s="158">
        <v>124802.91</v>
      </c>
      <c r="H117" s="158">
        <v>145188</v>
      </c>
      <c r="I117" s="158">
        <v>173439</v>
      </c>
      <c r="J117" s="158">
        <v>206235</v>
      </c>
      <c r="K117" s="158">
        <v>209927</v>
      </c>
      <c r="L117" s="158">
        <v>113105</v>
      </c>
      <c r="M117" s="158">
        <v>138335</v>
      </c>
      <c r="N117" s="158">
        <v>156348.91999999998</v>
      </c>
      <c r="O117" s="158">
        <v>151755</v>
      </c>
      <c r="P117" s="158">
        <v>154837</v>
      </c>
      <c r="Q117" s="158">
        <v>184436</v>
      </c>
      <c r="R117" s="158">
        <v>196057</v>
      </c>
      <c r="S117" s="158">
        <v>115848</v>
      </c>
      <c r="T117" s="158">
        <v>126725.95000000001</v>
      </c>
      <c r="U117" s="158">
        <v>137670.54999999999</v>
      </c>
      <c r="V117" s="158">
        <v>135426.66</v>
      </c>
      <c r="W117" s="158">
        <v>154916</v>
      </c>
      <c r="X117" s="158">
        <v>181312.86</v>
      </c>
      <c r="Y117" s="158">
        <v>197889</v>
      </c>
      <c r="Z117" s="158">
        <v>111347.43</v>
      </c>
      <c r="AA117" s="158">
        <v>132518.97</v>
      </c>
      <c r="AB117" s="158">
        <v>133267.59</v>
      </c>
      <c r="AC117" s="158">
        <v>136538</v>
      </c>
      <c r="AD117" s="158">
        <v>137806</v>
      </c>
      <c r="AE117" s="158">
        <v>191926</v>
      </c>
      <c r="AF117" s="158">
        <v>222963</v>
      </c>
      <c r="AG117" s="158">
        <v>156817</v>
      </c>
      <c r="AH117" s="158">
        <v>111343</v>
      </c>
      <c r="AI117" s="319">
        <v>152977.97225806455</v>
      </c>
      <c r="AJ117" s="320">
        <v>7.3685232614691065E-2</v>
      </c>
    </row>
    <row r="118" spans="1:36" x14ac:dyDescent="0.3">
      <c r="A118" s="203"/>
      <c r="B118" s="203" t="s">
        <v>58</v>
      </c>
      <c r="C118" s="328"/>
      <c r="D118" s="158">
        <v>125816</v>
      </c>
      <c r="E118" s="158">
        <v>151249</v>
      </c>
      <c r="F118" s="158">
        <v>141145</v>
      </c>
      <c r="G118" s="158">
        <v>93520.08</v>
      </c>
      <c r="H118" s="158">
        <v>116368</v>
      </c>
      <c r="I118" s="158">
        <v>136980.30000000002</v>
      </c>
      <c r="J118" s="158">
        <v>143928</v>
      </c>
      <c r="K118" s="158">
        <v>128919</v>
      </c>
      <c r="L118" s="158">
        <v>170958</v>
      </c>
      <c r="M118" s="158">
        <v>197432</v>
      </c>
      <c r="N118" s="158">
        <v>112043.97</v>
      </c>
      <c r="O118" s="158">
        <v>127835.8</v>
      </c>
      <c r="P118" s="158">
        <v>134140.18</v>
      </c>
      <c r="Q118" s="158">
        <v>130958.37999999999</v>
      </c>
      <c r="R118" s="158">
        <v>147825</v>
      </c>
      <c r="S118" s="158">
        <v>189635</v>
      </c>
      <c r="T118" s="158">
        <v>188260</v>
      </c>
      <c r="U118" s="158">
        <v>98840</v>
      </c>
      <c r="V118" s="158">
        <v>121850.33</v>
      </c>
      <c r="W118" s="158">
        <v>134832.26</v>
      </c>
      <c r="X118" s="158">
        <v>133406</v>
      </c>
      <c r="Y118" s="158">
        <v>147170</v>
      </c>
      <c r="Z118" s="158">
        <v>185144</v>
      </c>
      <c r="AA118" s="158">
        <v>182561</v>
      </c>
      <c r="AB118" s="158">
        <v>103377</v>
      </c>
      <c r="AC118" s="158">
        <v>141346.15</v>
      </c>
      <c r="AD118" s="158">
        <v>129926</v>
      </c>
      <c r="AE118" s="158">
        <v>133654</v>
      </c>
      <c r="AF118" s="158">
        <v>140970</v>
      </c>
      <c r="AG118" s="158">
        <v>184290</v>
      </c>
      <c r="AH118" s="158"/>
      <c r="AI118" s="319">
        <v>142479.3483333333</v>
      </c>
      <c r="AJ118" s="320">
        <v>5.5268287586315301E-2</v>
      </c>
    </row>
    <row r="119" spans="1:36" x14ac:dyDescent="0.3">
      <c r="A119" s="203"/>
      <c r="B119" s="203" t="s">
        <v>59</v>
      </c>
      <c r="C119" s="328"/>
      <c r="D119" s="158">
        <v>114623.50999999998</v>
      </c>
      <c r="E119" s="158">
        <v>117829.61</v>
      </c>
      <c r="F119" s="158">
        <v>122917.56999999999</v>
      </c>
      <c r="G119" s="158">
        <v>130495.9</v>
      </c>
      <c r="H119" s="158">
        <v>137863.53999999998</v>
      </c>
      <c r="I119" s="158">
        <v>147506.49000000002</v>
      </c>
      <c r="J119" s="158">
        <v>112811.34</v>
      </c>
      <c r="K119" s="158">
        <v>116217.00000000001</v>
      </c>
      <c r="L119" s="158">
        <v>126765.45</v>
      </c>
      <c r="M119" s="158">
        <v>128354.98999999999</v>
      </c>
      <c r="N119" s="158">
        <v>132118</v>
      </c>
      <c r="O119" s="158">
        <v>158761.15</v>
      </c>
      <c r="P119" s="158">
        <v>166812.37000000002</v>
      </c>
      <c r="Q119" s="158">
        <v>119556.14</v>
      </c>
      <c r="R119" s="158">
        <v>129791.56999999998</v>
      </c>
      <c r="S119" s="158">
        <v>134517.78</v>
      </c>
      <c r="T119" s="158">
        <v>142856.24</v>
      </c>
      <c r="U119" s="158">
        <v>143916.46999999997</v>
      </c>
      <c r="V119" s="158">
        <v>174275.35</v>
      </c>
      <c r="W119" s="158">
        <v>178301.25</v>
      </c>
      <c r="X119" s="158">
        <v>113992.63</v>
      </c>
      <c r="Y119" s="158">
        <v>127051.5</v>
      </c>
      <c r="Z119" s="158">
        <v>138426.22</v>
      </c>
      <c r="AA119" s="158">
        <v>145337.99</v>
      </c>
      <c r="AB119" s="158">
        <v>141152</v>
      </c>
      <c r="AC119" s="158">
        <v>163152</v>
      </c>
      <c r="AD119" s="158">
        <v>184053</v>
      </c>
      <c r="AE119" s="158">
        <v>105809.09</v>
      </c>
      <c r="AF119" s="158">
        <v>116549.62000000001</v>
      </c>
      <c r="AG119" s="158">
        <v>126650</v>
      </c>
      <c r="AH119" s="158">
        <v>135017.18</v>
      </c>
      <c r="AI119" s="319">
        <v>135017.18</v>
      </c>
      <c r="AJ119" s="320">
        <v>0.34345155973884345</v>
      </c>
    </row>
    <row r="120" spans="1:36" x14ac:dyDescent="0.3">
      <c r="A120" s="203"/>
      <c r="B120" s="203" t="s">
        <v>60</v>
      </c>
      <c r="C120" s="328"/>
      <c r="D120" s="158">
        <v>73863.600000000006</v>
      </c>
      <c r="E120" s="158">
        <v>79060.419999999984</v>
      </c>
      <c r="F120" s="158">
        <v>81003.360000000001</v>
      </c>
      <c r="G120" s="158">
        <v>76954.900000000009</v>
      </c>
      <c r="H120" s="158">
        <v>91299.05799999999</v>
      </c>
      <c r="I120" s="158">
        <v>88235.790000000008</v>
      </c>
      <c r="J120" s="158">
        <v>58618.97</v>
      </c>
      <c r="K120" s="158">
        <v>71658.139999999985</v>
      </c>
      <c r="L120" s="158">
        <v>78494.25</v>
      </c>
      <c r="M120" s="158">
        <v>86823.1</v>
      </c>
      <c r="N120" s="158">
        <v>84585.727999999988</v>
      </c>
      <c r="O120" s="158">
        <v>79436.500000000015</v>
      </c>
      <c r="P120" s="158">
        <v>107050.59999999999</v>
      </c>
      <c r="Q120" s="158">
        <v>110143.86999999998</v>
      </c>
      <c r="R120" s="158">
        <v>122240.58</v>
      </c>
      <c r="S120" s="158">
        <v>121024.60999999999</v>
      </c>
      <c r="T120" s="158">
        <v>116009.29</v>
      </c>
      <c r="U120" s="158">
        <v>109786.48000000001</v>
      </c>
      <c r="V120" s="158">
        <v>112968.72</v>
      </c>
      <c r="W120" s="158">
        <v>112812.02</v>
      </c>
      <c r="X120" s="158">
        <v>88597.29</v>
      </c>
      <c r="Y120" s="158">
        <v>111025.8</v>
      </c>
      <c r="Z120" s="158">
        <v>132492.99</v>
      </c>
      <c r="AA120" s="158">
        <v>121294.78</v>
      </c>
      <c r="AB120" s="158">
        <v>144013.08000000002</v>
      </c>
      <c r="AC120" s="158">
        <v>131690.88999999998</v>
      </c>
      <c r="AD120" s="158">
        <v>122800.08999999998</v>
      </c>
      <c r="AE120" s="158">
        <v>100021.31000000001</v>
      </c>
      <c r="AF120" s="158"/>
      <c r="AG120" s="158"/>
      <c r="AH120" s="158"/>
      <c r="AI120" s="319">
        <v>100500.22199999998</v>
      </c>
      <c r="AJ120" s="320">
        <v>0.27548293357685361</v>
      </c>
    </row>
    <row r="121" spans="1:36" x14ac:dyDescent="0.3">
      <c r="B121" s="203" t="s">
        <v>61</v>
      </c>
      <c r="C121" s="328"/>
      <c r="D121" s="158">
        <v>82854.86</v>
      </c>
      <c r="E121" s="158">
        <v>80638.539999999994</v>
      </c>
      <c r="F121" s="158">
        <v>60554.259999999995</v>
      </c>
      <c r="G121" s="158">
        <v>64807.009999999995</v>
      </c>
      <c r="H121" s="158">
        <v>76514.759999999995</v>
      </c>
      <c r="I121" s="158">
        <v>83320.000000000015</v>
      </c>
      <c r="J121" s="158">
        <v>71398.990000000005</v>
      </c>
      <c r="K121" s="158">
        <v>79576.290000000008</v>
      </c>
      <c r="L121" s="158">
        <v>79602.19</v>
      </c>
      <c r="M121" s="158">
        <v>62180.97</v>
      </c>
      <c r="N121" s="158">
        <v>72936.51999999999</v>
      </c>
      <c r="O121" s="158">
        <v>77463.539999999994</v>
      </c>
      <c r="P121" s="158">
        <v>82155.279999999984</v>
      </c>
      <c r="Q121" s="158">
        <v>87161.51999999999</v>
      </c>
      <c r="R121" s="158">
        <v>100886.34999999999</v>
      </c>
      <c r="S121" s="158">
        <v>107066.53999999998</v>
      </c>
      <c r="T121" s="158">
        <v>74252.77</v>
      </c>
      <c r="U121" s="158">
        <v>74107.56</v>
      </c>
      <c r="V121" s="158">
        <v>83657.62</v>
      </c>
      <c r="W121" s="158">
        <v>75423.94</v>
      </c>
      <c r="X121" s="158">
        <v>70802.810000000012</v>
      </c>
      <c r="Y121" s="158">
        <v>77494.189999999988</v>
      </c>
      <c r="Z121" s="158">
        <v>84626.680000000008</v>
      </c>
      <c r="AA121" s="158">
        <v>65300.72</v>
      </c>
      <c r="AB121" s="158">
        <v>77262.150000000009</v>
      </c>
      <c r="AC121" s="158">
        <v>78740.91</v>
      </c>
      <c r="AD121" s="158">
        <v>81055.740000000005</v>
      </c>
      <c r="AE121" s="158">
        <v>80039.549999999988</v>
      </c>
      <c r="AF121" s="158">
        <v>84612.52</v>
      </c>
      <c r="AG121" s="158">
        <v>87320.98</v>
      </c>
      <c r="AH121" s="158">
        <v>65515.239999999991</v>
      </c>
      <c r="AI121" s="319">
        <v>78793.858666666652</v>
      </c>
      <c r="AJ121" s="320">
        <v>0.16481058729716236</v>
      </c>
    </row>
    <row r="122" spans="1:36" x14ac:dyDescent="0.3">
      <c r="B122" s="203" t="s">
        <v>51</v>
      </c>
      <c r="C122" s="328"/>
      <c r="D122" s="158">
        <v>67602.77</v>
      </c>
      <c r="E122" s="158">
        <v>66458.939999999988</v>
      </c>
      <c r="F122" s="158">
        <v>83823.130000000019</v>
      </c>
      <c r="G122" s="158">
        <v>97534.23000000001</v>
      </c>
      <c r="H122" s="158">
        <v>93973.470000000016</v>
      </c>
      <c r="I122" s="158">
        <v>60633.320000000007</v>
      </c>
      <c r="J122" s="158">
        <v>71392.59</v>
      </c>
      <c r="K122" s="158">
        <v>74964.61</v>
      </c>
      <c r="L122" s="158">
        <v>77754.549999999988</v>
      </c>
      <c r="M122" s="158">
        <v>72153.59</v>
      </c>
      <c r="N122" s="158">
        <v>97852.160000000003</v>
      </c>
      <c r="O122" s="158">
        <v>96924.62</v>
      </c>
      <c r="P122" s="158">
        <v>57639.839999999997</v>
      </c>
      <c r="Q122" s="158">
        <v>66461.450000000012</v>
      </c>
      <c r="R122" s="158">
        <v>63997.119999999995</v>
      </c>
      <c r="S122" s="158">
        <v>66648.78</v>
      </c>
      <c r="T122" s="158">
        <v>67478.63</v>
      </c>
      <c r="U122" s="158">
        <v>74443.569999999992</v>
      </c>
      <c r="V122" s="158">
        <v>78196.569999999992</v>
      </c>
      <c r="W122" s="158">
        <v>55414.229999999996</v>
      </c>
      <c r="X122" s="158">
        <v>55682.65</v>
      </c>
      <c r="Y122" s="158">
        <v>49132.170000000006</v>
      </c>
      <c r="Z122" s="158">
        <v>45279.17</v>
      </c>
      <c r="AA122" s="158">
        <v>43029.96</v>
      </c>
      <c r="AB122" s="158">
        <v>52906.930000000008</v>
      </c>
      <c r="AC122" s="158">
        <v>59619.35</v>
      </c>
      <c r="AD122" s="158">
        <v>49546.95</v>
      </c>
      <c r="AE122" s="158">
        <v>55525.320000000007</v>
      </c>
      <c r="AF122" s="158">
        <v>56721.73</v>
      </c>
      <c r="AG122" s="158">
        <v>60370.54</v>
      </c>
      <c r="AH122" s="158">
        <v>77838.62000000001</v>
      </c>
      <c r="AI122" s="319">
        <v>67645.211612903237</v>
      </c>
      <c r="AJ122" s="320">
        <v>-0.12070281664214377</v>
      </c>
    </row>
    <row r="123" spans="1:36" x14ac:dyDescent="0.3">
      <c r="B123" s="203" t="s">
        <v>52</v>
      </c>
      <c r="C123" s="328"/>
      <c r="D123" s="158">
        <v>70065</v>
      </c>
      <c r="E123" s="158">
        <v>66144.81</v>
      </c>
      <c r="F123" s="158">
        <v>75735.520000000019</v>
      </c>
      <c r="G123" s="158">
        <v>86485.090000000011</v>
      </c>
      <c r="H123" s="158">
        <v>83527.02</v>
      </c>
      <c r="I123" s="158">
        <v>96226.680000000008</v>
      </c>
      <c r="J123" s="158">
        <v>112884.18999999997</v>
      </c>
      <c r="K123" s="158">
        <v>66614.469999999987</v>
      </c>
      <c r="L123" s="158">
        <v>79859.41</v>
      </c>
      <c r="M123" s="158">
        <v>85053.95</v>
      </c>
      <c r="N123" s="158">
        <v>89977.71</v>
      </c>
      <c r="O123" s="158">
        <v>86370.739999999991</v>
      </c>
      <c r="P123" s="158">
        <v>109352.45999999999</v>
      </c>
      <c r="Q123" s="158">
        <v>106708.48999999999</v>
      </c>
      <c r="R123" s="158">
        <v>61864.179999999993</v>
      </c>
      <c r="S123" s="158">
        <v>72865.290000000008</v>
      </c>
      <c r="T123" s="158">
        <v>74909.69</v>
      </c>
      <c r="U123" s="158">
        <v>77430.179999999993</v>
      </c>
      <c r="V123" s="158">
        <v>78790.110000000015</v>
      </c>
      <c r="W123" s="158">
        <v>96551.599999999991</v>
      </c>
      <c r="X123" s="158">
        <v>90910.9</v>
      </c>
      <c r="Y123" s="158">
        <v>53908.470000000008</v>
      </c>
      <c r="Z123" s="158">
        <v>55233.39</v>
      </c>
      <c r="AA123" s="158">
        <v>56637.599999999999</v>
      </c>
      <c r="AB123" s="158">
        <v>54914.99</v>
      </c>
      <c r="AC123" s="158">
        <v>61969.72</v>
      </c>
      <c r="AD123" s="158">
        <v>74137.399999999994</v>
      </c>
      <c r="AE123" s="158">
        <v>72565.25</v>
      </c>
      <c r="AF123" s="158">
        <v>48777.47</v>
      </c>
      <c r="AG123" s="158">
        <v>61456.729999999996</v>
      </c>
      <c r="AH123" s="158"/>
      <c r="AI123" s="319">
        <v>76931</v>
      </c>
      <c r="AJ123" s="320">
        <v>-0.15140564912971455</v>
      </c>
    </row>
    <row r="124" spans="1:36" x14ac:dyDescent="0.3">
      <c r="B124" s="203" t="s">
        <v>62</v>
      </c>
      <c r="C124" s="328"/>
      <c r="D124" s="158">
        <v>90900.959999999977</v>
      </c>
      <c r="E124" s="158">
        <v>110402.01</v>
      </c>
      <c r="F124" s="158">
        <v>105326.36999999998</v>
      </c>
      <c r="G124" s="158">
        <v>66581.670000000013</v>
      </c>
      <c r="H124" s="158">
        <v>74482.51999999999</v>
      </c>
      <c r="I124" s="158">
        <v>77418.439999999988</v>
      </c>
      <c r="J124" s="158">
        <v>79867.890000000014</v>
      </c>
      <c r="K124" s="158">
        <v>93534.050000000017</v>
      </c>
      <c r="L124" s="158">
        <v>130042.68000000001</v>
      </c>
      <c r="M124" s="158">
        <v>140749.15999999997</v>
      </c>
      <c r="N124" s="158">
        <v>73838.139999999985</v>
      </c>
      <c r="O124" s="158">
        <v>74852.73</v>
      </c>
      <c r="P124" s="158">
        <v>77689.62999999999</v>
      </c>
      <c r="Q124" s="158">
        <v>82940.800000000003</v>
      </c>
      <c r="R124" s="158">
        <v>91217.34</v>
      </c>
      <c r="S124" s="158">
        <v>120190.80000000002</v>
      </c>
      <c r="T124" s="158">
        <v>120174.86</v>
      </c>
      <c r="U124" s="158">
        <v>68984.239999999991</v>
      </c>
      <c r="V124" s="158">
        <v>78411.680000000008</v>
      </c>
      <c r="W124" s="158">
        <v>83139.08</v>
      </c>
      <c r="X124" s="158">
        <v>81866.12000000001</v>
      </c>
      <c r="Y124" s="158">
        <v>85785.35</v>
      </c>
      <c r="Z124" s="158">
        <v>117856.4</v>
      </c>
      <c r="AA124" s="158">
        <v>127161.93999999999</v>
      </c>
      <c r="AB124" s="158">
        <v>68498.410000000018</v>
      </c>
      <c r="AC124" s="158">
        <v>76958.27</v>
      </c>
      <c r="AD124" s="158">
        <v>80332.850000000006</v>
      </c>
      <c r="AE124" s="158">
        <v>80516.19</v>
      </c>
      <c r="AF124" s="158">
        <v>70980.319999999992</v>
      </c>
      <c r="AG124" s="158">
        <v>83606.89</v>
      </c>
      <c r="AH124" s="158">
        <v>96058.549999999988</v>
      </c>
      <c r="AI124" s="319">
        <v>90656.978709677423</v>
      </c>
      <c r="AJ124" s="320">
        <v>4.1842966451314689E-2</v>
      </c>
    </row>
    <row r="125" spans="1:36" x14ac:dyDescent="0.3">
      <c r="B125" s="203" t="s">
        <v>54</v>
      </c>
      <c r="C125" s="328"/>
      <c r="D125" s="158">
        <v>84754.189999999988</v>
      </c>
      <c r="E125" s="158">
        <v>77509.83</v>
      </c>
      <c r="F125" s="158">
        <v>86097.87000000001</v>
      </c>
      <c r="G125" s="158">
        <v>114711.41999999998</v>
      </c>
      <c r="H125" s="158">
        <v>144350.47</v>
      </c>
      <c r="I125" s="158">
        <v>103110.33000000002</v>
      </c>
      <c r="J125" s="158">
        <v>63647.21</v>
      </c>
      <c r="K125" s="158">
        <v>76126.25</v>
      </c>
      <c r="L125" s="158">
        <v>82670.789999999979</v>
      </c>
      <c r="M125" s="158">
        <v>80723.710000000006</v>
      </c>
      <c r="N125" s="158">
        <v>91710.989999999991</v>
      </c>
      <c r="O125" s="158">
        <v>97999.8</v>
      </c>
      <c r="P125" s="158">
        <v>73673.760000000009</v>
      </c>
      <c r="Q125" s="158">
        <v>81090.11</v>
      </c>
      <c r="R125" s="158">
        <v>95424.680000000008</v>
      </c>
      <c r="S125" s="158">
        <v>88123.109999999986</v>
      </c>
      <c r="T125" s="158">
        <v>86107.98000000001</v>
      </c>
      <c r="U125" s="158">
        <v>94430.400000000009</v>
      </c>
      <c r="V125" s="158">
        <v>108674.07999999999</v>
      </c>
      <c r="W125" s="158">
        <v>63410.119999999995</v>
      </c>
      <c r="X125" s="158">
        <v>71808.240000000005</v>
      </c>
      <c r="Y125" s="158">
        <v>72142.2</v>
      </c>
      <c r="Z125" s="158">
        <v>82430.219999999987</v>
      </c>
      <c r="AA125" s="158">
        <v>78378.259999999995</v>
      </c>
      <c r="AB125" s="158">
        <v>98445.599999999977</v>
      </c>
      <c r="AC125" s="158">
        <v>111067.27900000001</v>
      </c>
      <c r="AD125" s="158">
        <v>65574.12000000001</v>
      </c>
      <c r="AE125" s="158">
        <v>68571.259999999995</v>
      </c>
      <c r="AF125" s="158">
        <v>77694.38</v>
      </c>
      <c r="AG125" s="158">
        <v>90020.51</v>
      </c>
      <c r="AH125" s="158"/>
      <c r="AI125" s="319">
        <v>87015.972299999994</v>
      </c>
      <c r="AJ125" s="320">
        <v>-5.286343324641285E-3</v>
      </c>
    </row>
    <row r="126" spans="1:36" x14ac:dyDescent="0.3">
      <c r="B126" s="203" t="s">
        <v>55</v>
      </c>
      <c r="C126" s="328"/>
      <c r="D126" s="158">
        <v>100183.41</v>
      </c>
      <c r="E126" s="158">
        <v>64601.049999999996</v>
      </c>
      <c r="F126" s="158">
        <v>68269.820000000007</v>
      </c>
      <c r="G126" s="158">
        <v>72258.659999999989</v>
      </c>
      <c r="H126" s="158">
        <v>72333.430000000008</v>
      </c>
      <c r="I126" s="158">
        <v>87807.180000000008</v>
      </c>
      <c r="J126" s="158">
        <v>108556.6</v>
      </c>
      <c r="K126" s="158">
        <v>115466.53999999998</v>
      </c>
      <c r="L126" s="158">
        <v>66024.539999999994</v>
      </c>
      <c r="M126" s="158">
        <v>67539.360000000001</v>
      </c>
      <c r="N126" s="158">
        <v>74683.11</v>
      </c>
      <c r="O126" s="158">
        <v>70834.399999999994</v>
      </c>
      <c r="P126" s="158">
        <v>77578</v>
      </c>
      <c r="Q126" s="158">
        <v>95943.329999999987</v>
      </c>
      <c r="R126" s="158">
        <v>104559.17000000001</v>
      </c>
      <c r="S126" s="158">
        <v>77145.600000000006</v>
      </c>
      <c r="T126" s="158">
        <v>83957.91</v>
      </c>
      <c r="U126" s="158">
        <v>88179.42</v>
      </c>
      <c r="V126" s="158">
        <v>90305.080000000016</v>
      </c>
      <c r="W126" s="158">
        <v>90852.430000000022</v>
      </c>
      <c r="X126" s="158">
        <v>94160.400000000009</v>
      </c>
      <c r="Y126" s="158">
        <v>100448.5</v>
      </c>
      <c r="Z126" s="158">
        <v>58556.94</v>
      </c>
      <c r="AA126" s="158">
        <v>74305.420000000013</v>
      </c>
      <c r="AB126" s="158">
        <v>110828.91999999998</v>
      </c>
      <c r="AC126" s="158">
        <v>131833.35</v>
      </c>
      <c r="AD126" s="158">
        <v>108369.62000000001</v>
      </c>
      <c r="AE126" s="158">
        <v>100972.90000000002</v>
      </c>
      <c r="AF126" s="158">
        <v>102375.05999999997</v>
      </c>
      <c r="AG126" s="158">
        <v>73325.179999999993</v>
      </c>
      <c r="AH126" s="158">
        <v>79575.48000000001</v>
      </c>
      <c r="AI126" s="319">
        <v>87478.413225806449</v>
      </c>
      <c r="AJ126" s="320">
        <v>0.15589313615477463</v>
      </c>
    </row>
    <row r="127" spans="1:36" x14ac:dyDescent="0.3">
      <c r="B127" s="203" t="s">
        <v>56</v>
      </c>
      <c r="C127" s="328"/>
      <c r="D127" s="158">
        <v>73444.495945945935</v>
      </c>
      <c r="E127" s="158">
        <v>70000.913513513515</v>
      </c>
      <c r="F127" s="158">
        <v>82405.333783783775</v>
      </c>
      <c r="G127" s="158">
        <v>81409.199189189181</v>
      </c>
      <c r="H127" s="158">
        <v>56865.548378378378</v>
      </c>
      <c r="I127" s="158">
        <v>62159.099054054052</v>
      </c>
      <c r="J127" s="158">
        <v>68168.310270270274</v>
      </c>
      <c r="K127" s="158">
        <v>72491.048378378386</v>
      </c>
      <c r="L127" s="158">
        <v>79462.536621621635</v>
      </c>
      <c r="M127" s="158">
        <v>82286.569999999992</v>
      </c>
      <c r="N127" s="158">
        <v>87756.881891891884</v>
      </c>
      <c r="O127" s="158">
        <v>60813.235405405416</v>
      </c>
      <c r="P127" s="158">
        <v>67185.838918918933</v>
      </c>
      <c r="Q127" s="158">
        <v>71968.58</v>
      </c>
      <c r="R127" s="158">
        <v>77449.497972972982</v>
      </c>
      <c r="S127" s="158">
        <v>77877.45608108108</v>
      </c>
      <c r="T127" s="158">
        <v>92299.417837837827</v>
      </c>
      <c r="U127" s="158">
        <v>95235.570540540561</v>
      </c>
      <c r="V127" s="158">
        <v>66435.505135135143</v>
      </c>
      <c r="W127" s="158">
        <v>71817.671216216215</v>
      </c>
      <c r="X127" s="158">
        <v>77909.038648648653</v>
      </c>
      <c r="Y127" s="158">
        <v>76039.610000000015</v>
      </c>
      <c r="Z127" s="158">
        <v>83017.246891891889</v>
      </c>
      <c r="AA127" s="158">
        <v>97788.939054054033</v>
      </c>
      <c r="AB127" s="158">
        <v>100716.69608108109</v>
      </c>
      <c r="AC127" s="158">
        <v>60620.706621621626</v>
      </c>
      <c r="AD127" s="158">
        <v>65791.327972972969</v>
      </c>
      <c r="AE127" s="158">
        <v>67384.328513513508</v>
      </c>
      <c r="AF127" s="158">
        <v>68441.759459459456</v>
      </c>
      <c r="AG127" s="158">
        <v>70813.988918918913</v>
      </c>
      <c r="AH127" s="158">
        <v>80034.929999999993</v>
      </c>
      <c r="AI127" s="319">
        <v>75680.363945074118</v>
      </c>
      <c r="AJ127" s="320">
        <v>0.17129975883137716</v>
      </c>
    </row>
    <row r="128" spans="1:36" x14ac:dyDescent="0.3">
      <c r="B128" s="203" t="s">
        <v>57</v>
      </c>
      <c r="C128" s="328"/>
      <c r="D128" s="158">
        <v>33656.116941360997</v>
      </c>
      <c r="E128" s="158">
        <v>59686.468693291514</v>
      </c>
      <c r="F128" s="158">
        <v>58711.559712837836</v>
      </c>
      <c r="G128" s="158">
        <v>58839.028445945951</v>
      </c>
      <c r="H128" s="158">
        <v>60982.806381515446</v>
      </c>
      <c r="I128" s="158">
        <v>61858.128717422784</v>
      </c>
      <c r="J128" s="158">
        <v>51575.66097852317</v>
      </c>
      <c r="K128" s="158">
        <v>56701.234278474905</v>
      </c>
      <c r="L128" s="158">
        <v>57605.917512065636</v>
      </c>
      <c r="M128" s="158">
        <v>61577.438005550182</v>
      </c>
      <c r="N128" s="158">
        <v>58640.260154440148</v>
      </c>
      <c r="O128" s="158">
        <v>68436.549682673736</v>
      </c>
      <c r="P128" s="158">
        <v>73227.321708494215</v>
      </c>
      <c r="Q128" s="158">
        <v>51023.233935810807</v>
      </c>
      <c r="R128" s="158">
        <v>64623.597294884159</v>
      </c>
      <c r="S128" s="158">
        <v>67981.496738658287</v>
      </c>
      <c r="T128" s="158">
        <v>67756.304453426652</v>
      </c>
      <c r="U128" s="158">
        <v>68129.117726833982</v>
      </c>
      <c r="V128" s="158">
        <v>82579.69435328187</v>
      </c>
      <c r="W128" s="158">
        <v>86104.767290057935</v>
      </c>
      <c r="X128" s="158">
        <v>54908.009784025096</v>
      </c>
      <c r="Y128" s="158">
        <v>64694.263143098447</v>
      </c>
      <c r="Z128" s="158">
        <v>68642.409522200775</v>
      </c>
      <c r="AA128" s="158">
        <v>76101.53125241313</v>
      </c>
      <c r="AB128" s="158">
        <v>72255.067227316613</v>
      </c>
      <c r="AC128" s="158">
        <v>87091.800108590745</v>
      </c>
      <c r="AD128" s="158">
        <v>88778.279335183397</v>
      </c>
      <c r="AE128" s="158">
        <v>58176.199035955593</v>
      </c>
      <c r="AF128" s="158">
        <v>63073.101497345568</v>
      </c>
      <c r="AG128" s="158">
        <v>54951.444955357139</v>
      </c>
      <c r="AH128" s="158"/>
      <c r="AI128" s="319">
        <v>64612.293628901214</v>
      </c>
      <c r="AJ128" s="320">
        <v>0.39263580344961979</v>
      </c>
    </row>
    <row r="129" spans="2:36" x14ac:dyDescent="0.3">
      <c r="B129" s="203" t="s">
        <v>49</v>
      </c>
      <c r="C129" s="328"/>
      <c r="D129" s="158">
        <v>38972.550000000003</v>
      </c>
      <c r="E129" s="158">
        <v>39174.61</v>
      </c>
      <c r="F129" s="158">
        <v>34707.620000000003</v>
      </c>
      <c r="G129" s="158">
        <v>40887.170000000006</v>
      </c>
      <c r="H129" s="158">
        <v>44251.140000000007</v>
      </c>
      <c r="I129" s="158">
        <v>46034.819999999992</v>
      </c>
      <c r="J129" s="158">
        <v>39862.78</v>
      </c>
      <c r="K129" s="158">
        <v>41413.649999999994</v>
      </c>
      <c r="L129" s="158">
        <v>42345.120000000003</v>
      </c>
      <c r="M129" s="158">
        <v>33456.019999999997</v>
      </c>
      <c r="N129" s="158">
        <v>43313.859999999993</v>
      </c>
      <c r="O129" s="158">
        <v>43531.740000000005</v>
      </c>
      <c r="P129" s="158">
        <v>51145.510000000009</v>
      </c>
      <c r="Q129" s="158">
        <v>50218.990000000005</v>
      </c>
      <c r="R129" s="158">
        <v>46705.89</v>
      </c>
      <c r="S129" s="158">
        <v>47389.38</v>
      </c>
      <c r="T129" s="158">
        <v>38041.599999999999</v>
      </c>
      <c r="U129" s="158">
        <v>45036.49</v>
      </c>
      <c r="V129" s="158">
        <v>57478.16</v>
      </c>
      <c r="W129" s="158">
        <v>49952.299999999996</v>
      </c>
      <c r="X129" s="158">
        <v>46827.219999999994</v>
      </c>
      <c r="Y129" s="158">
        <v>53260.289999999994</v>
      </c>
      <c r="Z129" s="158">
        <v>59358.32</v>
      </c>
      <c r="AA129" s="158">
        <v>48776.539999999994</v>
      </c>
      <c r="AB129" s="158">
        <v>36573.770000000004</v>
      </c>
      <c r="AC129" s="158">
        <v>44737.770000000004</v>
      </c>
      <c r="AD129" s="158">
        <v>47850.439999999995</v>
      </c>
      <c r="AE129" s="158">
        <v>53364.35</v>
      </c>
      <c r="AF129" s="158">
        <v>57628.400000000009</v>
      </c>
      <c r="AG129" s="158">
        <v>63124.35</v>
      </c>
      <c r="AH129" s="158">
        <v>52845.420000000006</v>
      </c>
      <c r="AI129" s="319">
        <v>46395.686129032256</v>
      </c>
      <c r="AJ129" s="321"/>
    </row>
    <row r="131" spans="2:36" x14ac:dyDescent="0.3">
      <c r="D131" s="255"/>
    </row>
  </sheetData>
  <autoFilter ref="B3:AL131"/>
  <phoneticPr fontId="8" type="noConversion"/>
  <conditionalFormatting sqref="D12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AH129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:AH129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AH117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:AH11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AH117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7:AH127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7:AH12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:AH123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:AH123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:AH123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3:AH12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8:AH12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8:AH128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AH12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0:AH12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0:AH12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:AH126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6:AH12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AH129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9:AH12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4:AH124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4:AH12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AH118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8:AH11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AH118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8:AH129 D118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:AH8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7:AH8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N8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:N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AH8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N92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:N9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AH92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2:AH102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2:AH10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N102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N102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AH10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2:AH82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2:AH82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N82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2:N8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AH82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Q72 S72:AH7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Q72 S72:AH7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N72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2:N7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Q72 S72:AH72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AH67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AH6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H67 M67:N6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H67 M67:N6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H67 M67:AH67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AH62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AH6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 D62 F62:I62 N62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 D62 F62:I62 N6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 D62 F62:I62 N62:AH62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7:AH57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7:AH5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N57 D57 F57:H5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7:N57 D57 F57:H5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AH57 D57 F57:H5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AH3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AH3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N3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N3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AH3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AH34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AH3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4 G34:N3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E34 G34:N3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4 G34:AH3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9:AH2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9:AH2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 D29 F29:I2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9:N29 D29 F29:I2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AH29 D29 F29:I29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AH2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AH2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4 H24:N24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E24 H24:N2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4 H24:AH2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AH19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AH1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N1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AH1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C14 AE14:AH14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C14 AE14:AH1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N14 D14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N14 D1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AC14 D14 AE14:AH14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7:AH129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:AH9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7:AH9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L97 N9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L97 N9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L97 N97:AH9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AG11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AG11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AG11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AG11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AG11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AG11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AH129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:AH7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:AH7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N7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:N7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AH7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J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J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J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AH5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AH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N5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:N5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AH5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H12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H115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H11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AH115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H11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AH115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H11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:AH11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1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1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AH1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AH114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1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1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4:AH12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H12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:AG11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:AG11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3:AG1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2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AH1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AH1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2:AH1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H12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AG111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AG11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1:AG11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2:AH7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0:AH1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7:AH10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0:AH129 D107:AH10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U10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H10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:L2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:L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L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7:L5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7:L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L5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L67 I6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L67 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:L6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AH10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5:AH10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G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G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'Aug-2022'!D111:AG111</xm:f>
              <xm:sqref>C111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'Aug-2022'!D112:AG112</xm:f>
              <xm:sqref>C112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'Aug-2022'!D115:AG115</xm:f>
              <xm:sqref>C115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'Aug-2022'!D118:AG118</xm:f>
              <xm:sqref>C118</xm:sqref>
            </x14:sparkline>
            <x14:sparkline>
              <xm:f>'Aug-2022'!D117:AG117</xm:f>
              <xm:sqref>C117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'Aug-2022'!D122:AG122</xm:f>
              <xm:sqref>C122</xm:sqref>
            </x14:sparkline>
            <x14:sparkline>
              <xm:f>'Aug-2022'!D121:AG121</xm:f>
              <xm:sqref>C121</xm:sqref>
            </x14:sparkline>
            <x14:sparkline>
              <xm:f>'Aug-2022'!D120:AG120</xm:f>
              <xm:sqref>C120</xm:sqref>
            </x14:sparkline>
            <x14:sparkline>
              <xm:f>'Aug-2022'!D119:AG119</xm:f>
              <xm:sqref>C119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'Aug-2022'!D77:AG77</xm:f>
              <xm:sqref>B77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'Aug-2022'!D52:AG52</xm:f>
              <xm:sqref>B52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'Aug-2022'!D57:AG57</xm:f>
              <xm:sqref>B57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'Aug-2022'!D109:AG109</xm:f>
              <xm:sqref>C109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'Aug-2022'!D67:AG67</xm:f>
              <xm:sqref>B67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'Aug-2022'!D72:AG72</xm:f>
              <xm:sqref>B72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'Aug-2022'!D107:AG107</xm:f>
              <xm:sqref>C107</xm:sqref>
            </x14:sparkline>
            <x14:sparkline>
              <xm:f>'Aug-2022'!D108:AG108</xm:f>
              <xm:sqref>C108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'Aug-2022'!D123:AG123</xm:f>
              <xm:sqref>C123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'Aug-2022'!D126:AG126</xm:f>
              <xm:sqref>C126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'Aug-2022'!D127:AG127</xm:f>
              <xm:sqref>C127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'Aug-2022'!D128:AG128</xm:f>
              <xm:sqref>C128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'Aug-2022'!D129:AG129</xm:f>
              <xm:sqref>C129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'Aug-2022'!D125:AG125</xm:f>
              <xm:sqref>C125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'Aug-2022'!D124:AG124</xm:f>
              <xm:sqref>C124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'Aug-2022'!D102:AG102</xm:f>
              <xm:sqref>B102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'Aug-2022'!D92:AG92</xm:f>
              <xm:sqref>B92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'Aug-2022'!D87:AG87</xm:f>
              <xm:sqref>B87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'Aug-2022'!D39:AG39</xm:f>
              <xm:sqref>B39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'Aug-2022'!D34:AG34</xm:f>
              <xm:sqref>B34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'Aug-2022'!D29:AG29</xm:f>
              <xm:sqref>B29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'Aug-2022'!D24:AG24</xm:f>
              <xm:sqref>B24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'Aug-2022'!D14:AG14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'Aug-2022'!D82:AG82</xm:f>
              <xm:sqref>B82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'Aug-2022'!D97:AG97</xm:f>
              <xm:sqref>B97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'Aug-2022'!D116:AG116</xm:f>
              <xm:sqref>C116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'Aug-2022'!D114:AG114</xm:f>
              <xm:sqref>C114</xm:sqref>
            </x14:sparkline>
            <x14:sparkline>
              <xm:f>'Aug-2022'!D113:AG113</xm:f>
              <xm:sqref>C113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'Aug-2022'!D110:AG110</xm:f>
              <xm:sqref>C110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'Aug-2022'!D19:AG19</xm:f>
              <xm:sqref>B19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'Aug-2022'!D105:AG105</xm:f>
              <xm:sqref>C105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'Aug-2022'!D106:AG106</xm:f>
              <xm:sqref>C106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45"/>
  <sheetViews>
    <sheetView zoomScaleNormal="100" workbookViewId="0">
      <pane xSplit="3" ySplit="9" topLeftCell="D72" activePane="bottomRight" state="frozen"/>
      <selection pane="topRight" activeCell="D1" sqref="D1"/>
      <selection pane="bottomLeft" activeCell="A10" sqref="A10"/>
      <selection pane="bottomRight" activeCell="E83" sqref="E83"/>
    </sheetView>
  </sheetViews>
  <sheetFormatPr defaultColWidth="8.88671875" defaultRowHeight="14.4" x14ac:dyDescent="0.3"/>
  <cols>
    <col min="1" max="1" width="8.88671875" style="239"/>
    <col min="2" max="2" width="30.44140625" style="239" bestFit="1" customWidth="1"/>
    <col min="3" max="3" width="16.33203125" style="239" bestFit="1" customWidth="1"/>
    <col min="4" max="33" width="11.6640625" style="239" customWidth="1"/>
    <col min="34" max="34" width="11.33203125" style="239" customWidth="1"/>
    <col min="35" max="35" width="16.44140625" style="322" bestFit="1" customWidth="1"/>
    <col min="36" max="36" width="19.33203125" style="322" bestFit="1" customWidth="1"/>
    <col min="37" max="38" width="12.6640625" style="239" bestFit="1" customWidth="1"/>
    <col min="39" max="16384" width="8.88671875" style="239"/>
  </cols>
  <sheetData>
    <row r="1" spans="1:38" x14ac:dyDescent="0.3">
      <c r="A1" s="1">
        <v>1</v>
      </c>
      <c r="B1" s="203" t="s">
        <v>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76">
        <f>+AI14+AI22+AI30+AI35+AI40+AI45+AI57+AI64+AI69+AI74+AI82+AI87+AI92+AI97+AI102+AI107+AI117+AI112</f>
        <v>93057.920000000013</v>
      </c>
      <c r="AJ1" s="277">
        <f>+AI1/$A$1</f>
        <v>93057.920000000013</v>
      </c>
      <c r="AK1" s="324">
        <v>31</v>
      </c>
    </row>
    <row r="2" spans="1:38" x14ac:dyDescent="0.3">
      <c r="A2" s="203" t="s">
        <v>1</v>
      </c>
      <c r="B2" s="203"/>
      <c r="C2" s="240"/>
      <c r="D2" s="236" t="s">
        <v>7</v>
      </c>
      <c r="E2" s="236" t="s">
        <v>8</v>
      </c>
      <c r="F2" s="236" t="s">
        <v>2</v>
      </c>
      <c r="G2" s="236" t="s">
        <v>3</v>
      </c>
      <c r="H2" s="236" t="s">
        <v>4</v>
      </c>
      <c r="I2" s="236" t="s">
        <v>5</v>
      </c>
      <c r="J2" s="236" t="s">
        <v>6</v>
      </c>
      <c r="K2" s="236" t="s">
        <v>7</v>
      </c>
      <c r="L2" s="236" t="s">
        <v>8</v>
      </c>
      <c r="M2" s="236" t="s">
        <v>2</v>
      </c>
      <c r="N2" s="236" t="s">
        <v>3</v>
      </c>
      <c r="O2" s="236" t="s">
        <v>4</v>
      </c>
      <c r="P2" s="236" t="s">
        <v>5</v>
      </c>
      <c r="Q2" s="236" t="s">
        <v>6</v>
      </c>
      <c r="R2" s="236" t="s">
        <v>7</v>
      </c>
      <c r="S2" s="236" t="s">
        <v>8</v>
      </c>
      <c r="T2" s="236" t="s">
        <v>2</v>
      </c>
      <c r="U2" s="236" t="s">
        <v>3</v>
      </c>
      <c r="V2" s="236" t="s">
        <v>4</v>
      </c>
      <c r="W2" s="236" t="s">
        <v>5</v>
      </c>
      <c r="X2" s="236" t="s">
        <v>6</v>
      </c>
      <c r="Y2" s="236" t="s">
        <v>7</v>
      </c>
      <c r="Z2" s="236" t="s">
        <v>8</v>
      </c>
      <c r="AA2" s="236" t="s">
        <v>2</v>
      </c>
      <c r="AB2" s="236" t="s">
        <v>3</v>
      </c>
      <c r="AC2" s="236" t="s">
        <v>4</v>
      </c>
      <c r="AD2" s="236" t="s">
        <v>5</v>
      </c>
      <c r="AE2" s="236" t="s">
        <v>6</v>
      </c>
      <c r="AF2" s="236" t="s">
        <v>7</v>
      </c>
      <c r="AG2" s="236" t="s">
        <v>8</v>
      </c>
      <c r="AH2" s="236" t="s">
        <v>2</v>
      </c>
      <c r="AI2" s="278" t="s">
        <v>9</v>
      </c>
      <c r="AJ2" s="279">
        <f>+AJ1*AK1</f>
        <v>2884795.5200000005</v>
      </c>
      <c r="AK2" s="251"/>
      <c r="AL2" s="251"/>
    </row>
    <row r="3" spans="1:38" ht="15" thickBot="1" x14ac:dyDescent="0.35">
      <c r="A3" s="203"/>
      <c r="B3" s="203" t="s">
        <v>10</v>
      </c>
      <c r="C3" s="240" t="s">
        <v>11</v>
      </c>
      <c r="D3" s="242">
        <v>1</v>
      </c>
      <c r="E3" s="242">
        <f>+D3+1</f>
        <v>2</v>
      </c>
      <c r="F3" s="242">
        <f t="shared" ref="F3:AG3" si="0">+E3+1</f>
        <v>3</v>
      </c>
      <c r="G3" s="242">
        <f t="shared" si="0"/>
        <v>4</v>
      </c>
      <c r="H3" s="242">
        <f t="shared" si="0"/>
        <v>5</v>
      </c>
      <c r="I3" s="242">
        <f t="shared" si="0"/>
        <v>6</v>
      </c>
      <c r="J3" s="242">
        <f t="shared" si="0"/>
        <v>7</v>
      </c>
      <c r="K3" s="242">
        <f t="shared" si="0"/>
        <v>8</v>
      </c>
      <c r="L3" s="242">
        <f t="shared" si="0"/>
        <v>9</v>
      </c>
      <c r="M3" s="242">
        <f t="shared" si="0"/>
        <v>10</v>
      </c>
      <c r="N3" s="242">
        <f t="shared" si="0"/>
        <v>11</v>
      </c>
      <c r="O3" s="242">
        <f t="shared" si="0"/>
        <v>12</v>
      </c>
      <c r="P3" s="242">
        <f t="shared" si="0"/>
        <v>13</v>
      </c>
      <c r="Q3" s="242">
        <f t="shared" si="0"/>
        <v>14</v>
      </c>
      <c r="R3" s="242">
        <f t="shared" si="0"/>
        <v>15</v>
      </c>
      <c r="S3" s="242">
        <f t="shared" si="0"/>
        <v>16</v>
      </c>
      <c r="T3" s="242">
        <f t="shared" si="0"/>
        <v>17</v>
      </c>
      <c r="U3" s="242">
        <f t="shared" si="0"/>
        <v>18</v>
      </c>
      <c r="V3" s="242">
        <f t="shared" si="0"/>
        <v>19</v>
      </c>
      <c r="W3" s="242">
        <f t="shared" si="0"/>
        <v>20</v>
      </c>
      <c r="X3" s="242">
        <f t="shared" si="0"/>
        <v>21</v>
      </c>
      <c r="Y3" s="242">
        <f t="shared" si="0"/>
        <v>22</v>
      </c>
      <c r="Z3" s="242">
        <f t="shared" si="0"/>
        <v>23</v>
      </c>
      <c r="AA3" s="242">
        <f t="shared" si="0"/>
        <v>24</v>
      </c>
      <c r="AB3" s="242">
        <f t="shared" si="0"/>
        <v>25</v>
      </c>
      <c r="AC3" s="242">
        <f t="shared" si="0"/>
        <v>26</v>
      </c>
      <c r="AD3" s="242">
        <f t="shared" si="0"/>
        <v>27</v>
      </c>
      <c r="AE3" s="242">
        <f t="shared" si="0"/>
        <v>28</v>
      </c>
      <c r="AF3" s="242">
        <f t="shared" si="0"/>
        <v>29</v>
      </c>
      <c r="AG3" s="242">
        <f t="shared" si="0"/>
        <v>30</v>
      </c>
      <c r="AH3" s="242">
        <v>31</v>
      </c>
      <c r="AI3" s="278" t="s">
        <v>12</v>
      </c>
      <c r="AJ3" s="279" t="s">
        <v>13</v>
      </c>
      <c r="AK3" s="252"/>
      <c r="AL3" s="252"/>
    </row>
    <row r="4" spans="1:38" ht="15" thickTop="1" x14ac:dyDescent="0.3">
      <c r="A4" s="203">
        <f>+A10+A18+A26+A31+A36+A41+A57+A60+A65+A70+A78+A83+A88+A93+A98+A103+A113+A108</f>
        <v>1979</v>
      </c>
      <c r="B4" s="28" t="s">
        <v>14</v>
      </c>
      <c r="C4" s="29" t="s">
        <v>15</v>
      </c>
      <c r="D4" s="30">
        <f t="shared" ref="D4:AF4" si="1">+D10+D18+D26+D31+D36+D41+D51+D46+D60+D65+D70+D78+D83+D88+D93+D103+D108+D113+D98</f>
        <v>828</v>
      </c>
      <c r="E4" s="30">
        <f t="shared" si="1"/>
        <v>0</v>
      </c>
      <c r="F4" s="30">
        <f t="shared" si="1"/>
        <v>0</v>
      </c>
      <c r="G4" s="30">
        <f t="shared" si="1"/>
        <v>0</v>
      </c>
      <c r="H4" s="30">
        <f t="shared" si="1"/>
        <v>0</v>
      </c>
      <c r="I4" s="30">
        <f t="shared" si="1"/>
        <v>0</v>
      </c>
      <c r="J4" s="30">
        <f t="shared" si="1"/>
        <v>0</v>
      </c>
      <c r="K4" s="30">
        <f t="shared" si="1"/>
        <v>0</v>
      </c>
      <c r="L4" s="30">
        <f t="shared" si="1"/>
        <v>0</v>
      </c>
      <c r="M4" s="30">
        <f>+M10+M18+M26+M31+M36+M41+M51+M46+M60+M65+M70+M78+M83+M88+M93+M103+M108+M113+M98</f>
        <v>0</v>
      </c>
      <c r="N4" s="30">
        <f>+N10+N18+N26+N31+N36+N41+N51+N46+N60+N65+N70+N78+N83+N88+N93+N103+N108+N113+N98</f>
        <v>0</v>
      </c>
      <c r="O4" s="30">
        <f>+O10+O18+O26+O31+O36+O41+O51+O46+O60+O65+O70+O78+O83+O88+O93+O103+O108+O113+O98</f>
        <v>0</v>
      </c>
      <c r="P4" s="30">
        <f t="shared" si="1"/>
        <v>0</v>
      </c>
      <c r="Q4" s="30">
        <f>+Q10+Q18+Q26+Q31+Q36+Q41+Q51+Q46+Q60+Q65+Q70+Q78+Q83+Q88+Q93+Q103+Q108+Q113+Q98</f>
        <v>0</v>
      </c>
      <c r="R4" s="30">
        <f t="shared" si="1"/>
        <v>0</v>
      </c>
      <c r="S4" s="30">
        <f t="shared" si="1"/>
        <v>0</v>
      </c>
      <c r="T4" s="30">
        <f t="shared" si="1"/>
        <v>0</v>
      </c>
      <c r="U4" s="30">
        <f t="shared" si="1"/>
        <v>0</v>
      </c>
      <c r="V4" s="30">
        <f t="shared" si="1"/>
        <v>0</v>
      </c>
      <c r="W4" s="30">
        <f t="shared" si="1"/>
        <v>0</v>
      </c>
      <c r="X4" s="30">
        <f>+X10+X18+X26+X31+X36+X41+X51+X46+X60+X65+X70+X78+X83+X88+X93+X103+X108+X113+X98</f>
        <v>0</v>
      </c>
      <c r="Y4" s="30">
        <f t="shared" si="1"/>
        <v>0</v>
      </c>
      <c r="Z4" s="30">
        <f t="shared" si="1"/>
        <v>0</v>
      </c>
      <c r="AA4" s="30">
        <f t="shared" si="1"/>
        <v>0</v>
      </c>
      <c r="AB4" s="30">
        <f t="shared" si="1"/>
        <v>0</v>
      </c>
      <c r="AC4" s="30">
        <f t="shared" si="1"/>
        <v>0</v>
      </c>
      <c r="AD4" s="30">
        <f t="shared" si="1"/>
        <v>0</v>
      </c>
      <c r="AE4" s="30">
        <f t="shared" si="1"/>
        <v>0</v>
      </c>
      <c r="AF4" s="30">
        <f t="shared" si="1"/>
        <v>0</v>
      </c>
      <c r="AG4" s="30">
        <f>+AG10+AG18+AG26+AG31+AG36+AG41+AG51+AG46+AG60+AG65+AG70+AG78+AG83+AG88+AG93+AG103+AG108+AG113+AG98</f>
        <v>0</v>
      </c>
      <c r="AH4" s="30"/>
      <c r="AI4" s="276">
        <f>SUM(D4:AG4)</f>
        <v>828</v>
      </c>
      <c r="AJ4" s="280">
        <f>+AI4/$A$1*$AK$1</f>
        <v>25668</v>
      </c>
      <c r="AK4" s="252"/>
      <c r="AL4" s="252"/>
    </row>
    <row r="5" spans="1:38" x14ac:dyDescent="0.3">
      <c r="A5" s="203"/>
      <c r="B5" s="33"/>
      <c r="C5" s="34" t="s">
        <v>16</v>
      </c>
      <c r="D5" s="35">
        <f t="shared" ref="D5:AH5" si="2">+D4/$A$4</f>
        <v>0.41839312784234461</v>
      </c>
      <c r="E5" s="35">
        <f t="shared" si="2"/>
        <v>0</v>
      </c>
      <c r="F5" s="35">
        <f t="shared" si="2"/>
        <v>0</v>
      </c>
      <c r="G5" s="35">
        <f t="shared" si="2"/>
        <v>0</v>
      </c>
      <c r="H5" s="35">
        <f t="shared" si="2"/>
        <v>0</v>
      </c>
      <c r="I5" s="35">
        <f t="shared" si="2"/>
        <v>0</v>
      </c>
      <c r="J5" s="35">
        <f t="shared" si="2"/>
        <v>0</v>
      </c>
      <c r="K5" s="35">
        <f t="shared" si="2"/>
        <v>0</v>
      </c>
      <c r="L5" s="35">
        <f t="shared" si="2"/>
        <v>0</v>
      </c>
      <c r="M5" s="35">
        <f t="shared" si="2"/>
        <v>0</v>
      </c>
      <c r="N5" s="35">
        <f t="shared" si="2"/>
        <v>0</v>
      </c>
      <c r="O5" s="35">
        <f t="shared" si="2"/>
        <v>0</v>
      </c>
      <c r="P5" s="35">
        <f t="shared" si="2"/>
        <v>0</v>
      </c>
      <c r="Q5" s="35">
        <f t="shared" si="2"/>
        <v>0</v>
      </c>
      <c r="R5" s="35">
        <f t="shared" si="2"/>
        <v>0</v>
      </c>
      <c r="S5" s="35">
        <f t="shared" si="2"/>
        <v>0</v>
      </c>
      <c r="T5" s="35">
        <f t="shared" si="2"/>
        <v>0</v>
      </c>
      <c r="U5" s="35">
        <f t="shared" si="2"/>
        <v>0</v>
      </c>
      <c r="V5" s="35">
        <f t="shared" si="2"/>
        <v>0</v>
      </c>
      <c r="W5" s="35">
        <f t="shared" si="2"/>
        <v>0</v>
      </c>
      <c r="X5" s="35">
        <f t="shared" si="2"/>
        <v>0</v>
      </c>
      <c r="Y5" s="35">
        <f t="shared" si="2"/>
        <v>0</v>
      </c>
      <c r="Z5" s="35">
        <f t="shared" si="2"/>
        <v>0</v>
      </c>
      <c r="AA5" s="35">
        <f t="shared" si="2"/>
        <v>0</v>
      </c>
      <c r="AB5" s="35">
        <f t="shared" si="2"/>
        <v>0</v>
      </c>
      <c r="AC5" s="35">
        <f t="shared" si="2"/>
        <v>0</v>
      </c>
      <c r="AD5" s="35">
        <f t="shared" si="2"/>
        <v>0</v>
      </c>
      <c r="AE5" s="35">
        <f t="shared" si="2"/>
        <v>0</v>
      </c>
      <c r="AF5" s="35">
        <f t="shared" si="2"/>
        <v>0</v>
      </c>
      <c r="AG5" s="35">
        <f t="shared" si="2"/>
        <v>0</v>
      </c>
      <c r="AH5" s="35">
        <f t="shared" si="2"/>
        <v>0</v>
      </c>
      <c r="AI5" s="281">
        <f>AI4/(A4*A$1)</f>
        <v>0.41839312784234461</v>
      </c>
      <c r="AJ5" s="282">
        <f>+AJ4/(A4*AK1)</f>
        <v>0.41839312784234461</v>
      </c>
      <c r="AK5" s="252"/>
    </row>
    <row r="6" spans="1:38" x14ac:dyDescent="0.3">
      <c r="A6" s="203"/>
      <c r="B6" s="33"/>
      <c r="C6" s="34" t="s">
        <v>17</v>
      </c>
      <c r="D6" s="37">
        <f t="shared" ref="D6:AH6" si="3">+IFERROR(D8/D4,0)</f>
        <v>112.38879227053141</v>
      </c>
      <c r="E6" s="37">
        <f t="shared" si="3"/>
        <v>0</v>
      </c>
      <c r="F6" s="37">
        <f t="shared" si="3"/>
        <v>0</v>
      </c>
      <c r="G6" s="37">
        <f t="shared" si="3"/>
        <v>0</v>
      </c>
      <c r="H6" s="37">
        <f t="shared" si="3"/>
        <v>0</v>
      </c>
      <c r="I6" s="37">
        <f t="shared" si="3"/>
        <v>0</v>
      </c>
      <c r="J6" s="37">
        <f t="shared" si="3"/>
        <v>0</v>
      </c>
      <c r="K6" s="37">
        <f t="shared" si="3"/>
        <v>0</v>
      </c>
      <c r="L6" s="37">
        <f t="shared" si="3"/>
        <v>0</v>
      </c>
      <c r="M6" s="37">
        <f t="shared" si="3"/>
        <v>0</v>
      </c>
      <c r="N6" s="37">
        <f t="shared" si="3"/>
        <v>0</v>
      </c>
      <c r="O6" s="37">
        <f t="shared" si="3"/>
        <v>0</v>
      </c>
      <c r="P6" s="37">
        <f t="shared" si="3"/>
        <v>0</v>
      </c>
      <c r="Q6" s="37">
        <f t="shared" si="3"/>
        <v>0</v>
      </c>
      <c r="R6" s="37">
        <f t="shared" si="3"/>
        <v>0</v>
      </c>
      <c r="S6" s="37">
        <f t="shared" si="3"/>
        <v>0</v>
      </c>
      <c r="T6" s="37">
        <f t="shared" si="3"/>
        <v>0</v>
      </c>
      <c r="U6" s="37">
        <f>+IFERROR(U8/U4,0)</f>
        <v>0</v>
      </c>
      <c r="V6" s="37">
        <f t="shared" si="3"/>
        <v>0</v>
      </c>
      <c r="W6" s="37">
        <f t="shared" si="3"/>
        <v>0</v>
      </c>
      <c r="X6" s="37">
        <f t="shared" si="3"/>
        <v>0</v>
      </c>
      <c r="Y6" s="37">
        <f t="shared" si="3"/>
        <v>0</v>
      </c>
      <c r="Z6" s="37">
        <f t="shared" si="3"/>
        <v>0</v>
      </c>
      <c r="AA6" s="37">
        <f t="shared" si="3"/>
        <v>0</v>
      </c>
      <c r="AB6" s="37">
        <f t="shared" si="3"/>
        <v>0</v>
      </c>
      <c r="AC6" s="37">
        <f t="shared" si="3"/>
        <v>0</v>
      </c>
      <c r="AD6" s="37">
        <f t="shared" si="3"/>
        <v>0</v>
      </c>
      <c r="AE6" s="37">
        <f t="shared" si="3"/>
        <v>0</v>
      </c>
      <c r="AF6" s="37">
        <f t="shared" si="3"/>
        <v>0</v>
      </c>
      <c r="AG6" s="37">
        <f t="shared" si="3"/>
        <v>0</v>
      </c>
      <c r="AH6" s="37">
        <f t="shared" si="3"/>
        <v>0</v>
      </c>
      <c r="AI6" s="283">
        <f>AI8/AI4</f>
        <v>112.38879227053141</v>
      </c>
      <c r="AJ6" s="279">
        <f>+AJ8/AJ4</f>
        <v>112.38879227053143</v>
      </c>
    </row>
    <row r="7" spans="1:38" x14ac:dyDescent="0.3">
      <c r="A7" s="203"/>
      <c r="B7" s="33"/>
      <c r="C7" s="34" t="s">
        <v>18</v>
      </c>
      <c r="D7" s="37">
        <f t="shared" ref="D7:AH7" si="4">+IFERROR(D6*D5,0)</f>
        <v>47.02269833249116</v>
      </c>
      <c r="E7" s="37">
        <f t="shared" si="4"/>
        <v>0</v>
      </c>
      <c r="F7" s="37">
        <f t="shared" si="4"/>
        <v>0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7">
        <f t="shared" si="4"/>
        <v>0</v>
      </c>
      <c r="N7" s="37">
        <f t="shared" si="4"/>
        <v>0</v>
      </c>
      <c r="O7" s="37">
        <f t="shared" si="4"/>
        <v>0</v>
      </c>
      <c r="P7" s="37">
        <f t="shared" si="4"/>
        <v>0</v>
      </c>
      <c r="Q7" s="37">
        <f t="shared" si="4"/>
        <v>0</v>
      </c>
      <c r="R7" s="37">
        <f t="shared" si="4"/>
        <v>0</v>
      </c>
      <c r="S7" s="37">
        <f t="shared" si="4"/>
        <v>0</v>
      </c>
      <c r="T7" s="37">
        <f t="shared" si="4"/>
        <v>0</v>
      </c>
      <c r="U7" s="37">
        <f t="shared" si="4"/>
        <v>0</v>
      </c>
      <c r="V7" s="37">
        <f t="shared" si="4"/>
        <v>0</v>
      </c>
      <c r="W7" s="37">
        <f t="shared" si="4"/>
        <v>0</v>
      </c>
      <c r="X7" s="37">
        <f t="shared" si="4"/>
        <v>0</v>
      </c>
      <c r="Y7" s="37">
        <f t="shared" si="4"/>
        <v>0</v>
      </c>
      <c r="Z7" s="37">
        <f t="shared" si="4"/>
        <v>0</v>
      </c>
      <c r="AA7" s="37">
        <f t="shared" si="4"/>
        <v>0</v>
      </c>
      <c r="AB7" s="37">
        <f t="shared" si="4"/>
        <v>0</v>
      </c>
      <c r="AC7" s="37">
        <f t="shared" si="4"/>
        <v>0</v>
      </c>
      <c r="AD7" s="37">
        <f t="shared" si="4"/>
        <v>0</v>
      </c>
      <c r="AE7" s="37">
        <f t="shared" si="4"/>
        <v>0</v>
      </c>
      <c r="AF7" s="37">
        <f t="shared" si="4"/>
        <v>0</v>
      </c>
      <c r="AG7" s="37">
        <f t="shared" si="4"/>
        <v>0</v>
      </c>
      <c r="AH7" s="37">
        <f t="shared" si="4"/>
        <v>0</v>
      </c>
      <c r="AI7" s="283">
        <f>AI6*AI5</f>
        <v>47.02269833249116</v>
      </c>
      <c r="AJ7" s="279">
        <f>+AJ5*AJ6</f>
        <v>47.022698332491167</v>
      </c>
    </row>
    <row r="8" spans="1:38" ht="15" thickBot="1" x14ac:dyDescent="0.35">
      <c r="A8" s="203"/>
      <c r="B8" s="33"/>
      <c r="C8" s="34" t="s">
        <v>19</v>
      </c>
      <c r="D8" s="158">
        <f>+D22+D35+D40+D45+D30+D59+D64+D69+D74+D82+D87+D92+D97+D102+D107+D112+D117+D14</f>
        <v>93057.920000000013</v>
      </c>
      <c r="E8" s="158">
        <f t="shared" ref="E8:AF8" si="5">+E22+E35+E40+E45+E30+E59+E64+E69+E74+E82+E87+E92+E97+E102+E107+E112+E117+E14</f>
        <v>0</v>
      </c>
      <c r="F8" s="158">
        <f t="shared" si="5"/>
        <v>0</v>
      </c>
      <c r="G8" s="158">
        <f t="shared" si="5"/>
        <v>0</v>
      </c>
      <c r="H8" s="158">
        <f t="shared" si="5"/>
        <v>0</v>
      </c>
      <c r="I8" s="158">
        <f t="shared" si="5"/>
        <v>0</v>
      </c>
      <c r="J8" s="158">
        <f t="shared" si="5"/>
        <v>0</v>
      </c>
      <c r="K8" s="158">
        <f t="shared" si="5"/>
        <v>0</v>
      </c>
      <c r="L8" s="158">
        <f t="shared" si="5"/>
        <v>0</v>
      </c>
      <c r="M8" s="158">
        <f>+M22+M35+M40+M45+M30+M59+M64+M69+M74+M82+M87+M92+M97+M102+M107+M112+M117+M14</f>
        <v>0</v>
      </c>
      <c r="N8" s="158">
        <f>+N22+N35+N40+N45+N30+N59+N64+N69+N74+N82+N87+N92+N97+N102+N107+N112+N117+N14</f>
        <v>0</v>
      </c>
      <c r="O8" s="158">
        <f>+O22+O35+O40+O45+O30+O59+O64+O69+O74+O82+O87+O92+O97+O102+O107+O112+O117+O14</f>
        <v>0</v>
      </c>
      <c r="P8" s="158">
        <f t="shared" si="5"/>
        <v>0</v>
      </c>
      <c r="Q8" s="158">
        <f t="shared" si="5"/>
        <v>0</v>
      </c>
      <c r="R8" s="158">
        <f t="shared" si="5"/>
        <v>0</v>
      </c>
      <c r="S8" s="158">
        <f t="shared" si="5"/>
        <v>0</v>
      </c>
      <c r="T8" s="158">
        <f t="shared" si="5"/>
        <v>0</v>
      </c>
      <c r="U8" s="158">
        <f t="shared" si="5"/>
        <v>0</v>
      </c>
      <c r="V8" s="158">
        <f t="shared" si="5"/>
        <v>0</v>
      </c>
      <c r="W8" s="158">
        <f t="shared" si="5"/>
        <v>0</v>
      </c>
      <c r="X8" s="158">
        <f t="shared" si="5"/>
        <v>0</v>
      </c>
      <c r="Y8" s="158">
        <f t="shared" si="5"/>
        <v>0</v>
      </c>
      <c r="Z8" s="158">
        <f t="shared" si="5"/>
        <v>0</v>
      </c>
      <c r="AA8" s="158">
        <f t="shared" si="5"/>
        <v>0</v>
      </c>
      <c r="AB8" s="158">
        <f t="shared" si="5"/>
        <v>0</v>
      </c>
      <c r="AC8" s="158">
        <f t="shared" si="5"/>
        <v>0</v>
      </c>
      <c r="AD8" s="158">
        <f t="shared" si="5"/>
        <v>0</v>
      </c>
      <c r="AE8" s="158">
        <f t="shared" si="5"/>
        <v>0</v>
      </c>
      <c r="AF8" s="158">
        <f t="shared" si="5"/>
        <v>0</v>
      </c>
      <c r="AG8" s="158">
        <f>+AG22+AG35+AG40+AG45+AG30+AG59+AG64+AG69+AG74+AG82+AG87+AG92+AG97+AG102+AG107+AG112+AG117+AG14</f>
        <v>0</v>
      </c>
      <c r="AH8" s="158"/>
      <c r="AI8" s="284">
        <f>SUM(D8:AG8)</f>
        <v>93057.920000000013</v>
      </c>
      <c r="AJ8" s="285">
        <f>+AI8/A1*AK1</f>
        <v>2884795.5200000005</v>
      </c>
      <c r="AK8" s="251">
        <f>ROUND(AI1-AI8+AI58,0)</f>
        <v>0</v>
      </c>
    </row>
    <row r="9" spans="1:38" ht="15" hidden="1" thickBot="1" x14ac:dyDescent="0.35">
      <c r="A9" s="237"/>
      <c r="B9" s="48"/>
      <c r="C9" s="41" t="s">
        <v>20</v>
      </c>
      <c r="D9" s="49">
        <f>IFERROR(AVERAGE(#REF!,#REF!,#REF!,#REF!,#REF!,#REF!,#REF!,#REF!,#REF!,#REF!,#REF!,#REF!,#REF!,#REF!,#REF!,#REF!,#REF!),0)</f>
        <v>0</v>
      </c>
      <c r="E9" s="49">
        <f>IFERROR(AVERAGE(#REF!,#REF!,#REF!,#REF!,#REF!,#REF!,#REF!,#REF!,#REF!,#REF!,#REF!,#REF!,#REF!,#REF!,#REF!,#REF!,#REF!),0)</f>
        <v>0</v>
      </c>
      <c r="F9" s="49">
        <f>IFERROR(AVERAGE(#REF!,#REF!,#REF!,#REF!,#REF!,#REF!,#REF!,#REF!,#REF!,#REF!,#REF!,#REF!,#REF!,#REF!,#REF!,#REF!,#REF!),0)</f>
        <v>0</v>
      </c>
      <c r="G9" s="49">
        <f>IFERROR(AVERAGE(#REF!,#REF!,#REF!,#REF!,#REF!,#REF!,#REF!,#REF!,#REF!,#REF!,#REF!,#REF!,#REF!,#REF!,#REF!,#REF!,#REF!),0)</f>
        <v>0</v>
      </c>
      <c r="H9" s="49">
        <f>IFERROR(AVERAGE(#REF!,#REF!,#REF!,#REF!,#REF!,#REF!,#REF!,#REF!,#REF!,#REF!,#REF!,#REF!,#REF!,#REF!,#REF!,#REF!,#REF!),0)</f>
        <v>0</v>
      </c>
      <c r="I9" s="49">
        <f>IFERROR(AVERAGE(#REF!,#REF!,#REF!,#REF!,#REF!,#REF!,#REF!,#REF!,#REF!,#REF!,#REF!,#REF!,#REF!,#REF!,#REF!,#REF!,#REF!),0)</f>
        <v>0</v>
      </c>
      <c r="J9" s="49">
        <f>IFERROR(AVERAGE(#REF!,#REF!,#REF!,#REF!,#REF!,#REF!,#REF!,#REF!,#REF!,#REF!,#REF!,#REF!,#REF!,#REF!,#REF!,#REF!,#REF!),0)</f>
        <v>0</v>
      </c>
      <c r="K9" s="49">
        <f>IFERROR(AVERAGE(#REF!,#REF!,#REF!,#REF!,#REF!,#REF!,#REF!,#REF!,#REF!,#REF!,#REF!,#REF!,#REF!,#REF!,#REF!,#REF!,#REF!),0)</f>
        <v>0</v>
      </c>
      <c r="L9" s="49">
        <f>IFERROR(AVERAGE(#REF!,#REF!,#REF!,#REF!,#REF!,#REF!,#REF!,#REF!,#REF!,#REF!,#REF!,#REF!,#REF!,#REF!,#REF!,#REF!,#REF!),0)</f>
        <v>0</v>
      </c>
      <c r="M9" s="49">
        <f>IFERROR(AVERAGE(#REF!,#REF!,#REF!,#REF!,#REF!,#REF!,#REF!,#REF!,#REF!,#REF!,#REF!,#REF!,#REF!,#REF!,#REF!,#REF!,#REF!),0)</f>
        <v>0</v>
      </c>
      <c r="N9" s="49">
        <f>IFERROR(AVERAGE(#REF!,#REF!,#REF!,#REF!,#REF!,#REF!,#REF!,#REF!,#REF!,#REF!,#REF!,#REF!,#REF!,#REF!,#REF!,#REF!,#REF!),0)</f>
        <v>0</v>
      </c>
      <c r="O9" s="49">
        <f>IFERROR(AVERAGE(#REF!,#REF!,#REF!,#REF!,#REF!,#REF!,#REF!,#REF!,#REF!,#REF!,#REF!,#REF!,#REF!,#REF!,#REF!,#REF!,#REF!),0)</f>
        <v>0</v>
      </c>
      <c r="P9" s="49">
        <f>IFERROR(AVERAGE(#REF!,#REF!,#REF!,#REF!,#REF!,#REF!,#REF!,#REF!,#REF!,#REF!,#REF!,#REF!,#REF!,#REF!,#REF!,#REF!,#REF!),0)</f>
        <v>0</v>
      </c>
      <c r="Q9" s="49">
        <f>IFERROR(AVERAGE(#REF!,#REF!,#REF!,#REF!,#REF!,#REF!,#REF!,#REF!,#REF!,#REF!,#REF!,#REF!,#REF!,#REF!,#REF!,#REF!,#REF!),0)</f>
        <v>0</v>
      </c>
      <c r="R9" s="49">
        <f>IFERROR(AVERAGE(#REF!,#REF!,#REF!,#REF!,#REF!,#REF!,#REF!,#REF!,#REF!,#REF!,#REF!,#REF!,#REF!,#REF!,#REF!,#REF!,#REF!),0)</f>
        <v>0</v>
      </c>
      <c r="S9" s="49">
        <f>IFERROR(AVERAGE(#REF!,#REF!,#REF!,#REF!,#REF!,#REF!,#REF!,#REF!,#REF!,#REF!,#REF!,#REF!,#REF!,#REF!,#REF!,#REF!,#REF!),0)</f>
        <v>0</v>
      </c>
      <c r="T9" s="49">
        <f>IFERROR(AVERAGE(#REF!,#REF!,#REF!,#REF!,#REF!,#REF!,#REF!,#REF!,#REF!,#REF!,#REF!,#REF!,#REF!,#REF!,#REF!,#REF!,#REF!),0)</f>
        <v>0</v>
      </c>
      <c r="U9" s="49">
        <f>IFERROR(AVERAGE(#REF!,#REF!,#REF!,#REF!,#REF!,#REF!,#REF!,#REF!,#REF!,#REF!,#REF!,#REF!,#REF!,#REF!,#REF!,#REF!,#REF!),0)</f>
        <v>0</v>
      </c>
      <c r="V9" s="49">
        <f>IFERROR(AVERAGE(#REF!,#REF!,#REF!,#REF!,#REF!,#REF!,#REF!,#REF!,#REF!,#REF!,#REF!,#REF!,#REF!,#REF!,#REF!,#REF!,#REF!),0)</f>
        <v>0</v>
      </c>
      <c r="W9" s="49">
        <f>IFERROR(AVERAGE(#REF!,#REF!,#REF!,#REF!,#REF!,#REF!,#REF!,#REF!,#REF!,#REF!,#REF!,#REF!,#REF!,#REF!,#REF!,#REF!,#REF!),0)</f>
        <v>0</v>
      </c>
      <c r="X9" s="49">
        <f>IFERROR(AVERAGE(#REF!,#REF!,#REF!,#REF!,#REF!,#REF!,#REF!,#REF!,#REF!,#REF!,#REF!,#REF!,#REF!,#REF!,#REF!,#REF!,#REF!),0)</f>
        <v>0</v>
      </c>
      <c r="Y9" s="49">
        <f>IFERROR(AVERAGE(#REF!,#REF!,#REF!,#REF!,#REF!,#REF!,#REF!,#REF!,#REF!,#REF!,#REF!,#REF!,#REF!,#REF!,#REF!,#REF!,#REF!),0)</f>
        <v>0</v>
      </c>
      <c r="Z9" s="49">
        <f>IFERROR(AVERAGE(#REF!,#REF!,#REF!,#REF!,#REF!,#REF!,#REF!,#REF!,#REF!,#REF!,#REF!,#REF!,#REF!,#REF!,#REF!,#REF!,#REF!),0)</f>
        <v>0</v>
      </c>
      <c r="AA9" s="49">
        <f>IFERROR(AVERAGE(#REF!,#REF!,#REF!,#REF!,#REF!,#REF!,#REF!,#REF!,#REF!,#REF!,#REF!,#REF!,#REF!,#REF!,#REF!,#REF!,#REF!),0)</f>
        <v>0</v>
      </c>
      <c r="AB9" s="49">
        <f>IFERROR(AVERAGE(#REF!,#REF!,#REF!,#REF!,#REF!,#REF!,#REF!,#REF!,#REF!,#REF!,#REF!,#REF!,#REF!,#REF!,#REF!,#REF!,#REF!),0)</f>
        <v>0</v>
      </c>
      <c r="AC9" s="49">
        <f>IFERROR(AVERAGE(#REF!,#REF!,#REF!,#REF!,#REF!,#REF!,#REF!,#REF!,#REF!,#REF!,#REF!,#REF!,#REF!,#REF!,#REF!,#REF!,#REF!),0)</f>
        <v>0</v>
      </c>
      <c r="AD9" s="49"/>
      <c r="AE9" s="49"/>
      <c r="AF9" s="49"/>
      <c r="AG9" s="49"/>
      <c r="AH9" s="49"/>
      <c r="AI9" s="286">
        <f>AVERAGE(D9:AE9)</f>
        <v>0</v>
      </c>
      <c r="AJ9" s="287"/>
    </row>
    <row r="10" spans="1:38" x14ac:dyDescent="0.3">
      <c r="A10" s="203">
        <v>103</v>
      </c>
      <c r="B10" s="159" t="s">
        <v>21</v>
      </c>
      <c r="C10" s="160" t="s">
        <v>15</v>
      </c>
      <c r="D10">
        <v>77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288">
        <f>SUM(D10:AH10)</f>
        <v>77</v>
      </c>
      <c r="AJ10" s="289">
        <f>+$AI10/$A$1*$AK$1</f>
        <v>2387</v>
      </c>
    </row>
    <row r="11" spans="1:38" x14ac:dyDescent="0.3">
      <c r="A11" s="203"/>
      <c r="B11" s="162"/>
      <c r="C11" s="163" t="s">
        <v>16</v>
      </c>
      <c r="D11" s="164">
        <f>+D10/$A10</f>
        <v>0.74757281553398058</v>
      </c>
      <c r="E11" s="164">
        <f t="shared" ref="E11:AH11" si="6">+E10/$A10</f>
        <v>0</v>
      </c>
      <c r="F11" s="164">
        <f t="shared" si="6"/>
        <v>0</v>
      </c>
      <c r="G11" s="164">
        <f t="shared" si="6"/>
        <v>0</v>
      </c>
      <c r="H11" s="164">
        <f t="shared" si="6"/>
        <v>0</v>
      </c>
      <c r="I11" s="164">
        <f t="shared" si="6"/>
        <v>0</v>
      </c>
      <c r="J11" s="164">
        <f t="shared" si="6"/>
        <v>0</v>
      </c>
      <c r="K11" s="164">
        <f t="shared" si="6"/>
        <v>0</v>
      </c>
      <c r="L11" s="164">
        <f t="shared" si="6"/>
        <v>0</v>
      </c>
      <c r="M11" s="164">
        <f t="shared" si="6"/>
        <v>0</v>
      </c>
      <c r="N11" s="164">
        <f t="shared" si="6"/>
        <v>0</v>
      </c>
      <c r="O11" s="164">
        <f t="shared" si="6"/>
        <v>0</v>
      </c>
      <c r="P11" s="164">
        <f t="shared" si="6"/>
        <v>0</v>
      </c>
      <c r="Q11" s="164">
        <f t="shared" si="6"/>
        <v>0</v>
      </c>
      <c r="R11" s="164">
        <f t="shared" si="6"/>
        <v>0</v>
      </c>
      <c r="S11" s="164">
        <f t="shared" si="6"/>
        <v>0</v>
      </c>
      <c r="T11" s="164">
        <f t="shared" si="6"/>
        <v>0</v>
      </c>
      <c r="U11" s="164">
        <f t="shared" si="6"/>
        <v>0</v>
      </c>
      <c r="V11" s="164">
        <f t="shared" si="6"/>
        <v>0</v>
      </c>
      <c r="W11" s="164">
        <f t="shared" si="6"/>
        <v>0</v>
      </c>
      <c r="X11" s="164">
        <f t="shared" si="6"/>
        <v>0</v>
      </c>
      <c r="Y11" s="164">
        <f t="shared" si="6"/>
        <v>0</v>
      </c>
      <c r="Z11" s="164">
        <f t="shared" si="6"/>
        <v>0</v>
      </c>
      <c r="AA11" s="164">
        <f t="shared" si="6"/>
        <v>0</v>
      </c>
      <c r="AB11" s="164">
        <f t="shared" si="6"/>
        <v>0</v>
      </c>
      <c r="AC11" s="164">
        <f t="shared" si="6"/>
        <v>0</v>
      </c>
      <c r="AD11" s="164">
        <f t="shared" si="6"/>
        <v>0</v>
      </c>
      <c r="AE11" s="164">
        <f t="shared" si="6"/>
        <v>0</v>
      </c>
      <c r="AF11" s="164">
        <f t="shared" si="6"/>
        <v>0</v>
      </c>
      <c r="AG11" s="164">
        <f t="shared" si="6"/>
        <v>0</v>
      </c>
      <c r="AH11" s="164">
        <f t="shared" si="6"/>
        <v>0</v>
      </c>
      <c r="AI11" s="290">
        <f>+AI10/(A10*A$1)</f>
        <v>0.74757281553398058</v>
      </c>
      <c r="AJ11" s="291">
        <f>AJ10/($A10*AK1)</f>
        <v>0.74757281553398058</v>
      </c>
    </row>
    <row r="12" spans="1:38" x14ac:dyDescent="0.3">
      <c r="A12" s="203"/>
      <c r="B12" s="162"/>
      <c r="C12" s="163" t="s">
        <v>17</v>
      </c>
      <c r="D12" s="165">
        <f t="shared" ref="D12:AH12" si="7">+IFERROR(D14/D10,0)</f>
        <v>126.54740259740259</v>
      </c>
      <c r="E12" s="165">
        <f t="shared" si="7"/>
        <v>0</v>
      </c>
      <c r="F12" s="165">
        <f t="shared" si="7"/>
        <v>0</v>
      </c>
      <c r="G12" s="165">
        <f t="shared" si="7"/>
        <v>0</v>
      </c>
      <c r="H12" s="165">
        <f t="shared" si="7"/>
        <v>0</v>
      </c>
      <c r="I12" s="165">
        <f t="shared" si="7"/>
        <v>0</v>
      </c>
      <c r="J12" s="165">
        <f t="shared" si="7"/>
        <v>0</v>
      </c>
      <c r="K12" s="165">
        <f t="shared" si="7"/>
        <v>0</v>
      </c>
      <c r="L12" s="165">
        <f t="shared" si="7"/>
        <v>0</v>
      </c>
      <c r="M12" s="165">
        <f t="shared" si="7"/>
        <v>0</v>
      </c>
      <c r="N12" s="165">
        <f t="shared" si="7"/>
        <v>0</v>
      </c>
      <c r="O12" s="165">
        <f t="shared" si="7"/>
        <v>0</v>
      </c>
      <c r="P12" s="165">
        <f t="shared" si="7"/>
        <v>0</v>
      </c>
      <c r="Q12" s="165">
        <f t="shared" si="7"/>
        <v>0</v>
      </c>
      <c r="R12" s="165">
        <f t="shared" si="7"/>
        <v>0</v>
      </c>
      <c r="S12" s="165">
        <f t="shared" si="7"/>
        <v>0</v>
      </c>
      <c r="T12" s="165">
        <f t="shared" si="7"/>
        <v>0</v>
      </c>
      <c r="U12" s="165">
        <f t="shared" si="7"/>
        <v>0</v>
      </c>
      <c r="V12" s="165">
        <f t="shared" si="7"/>
        <v>0</v>
      </c>
      <c r="W12" s="165">
        <f t="shared" si="7"/>
        <v>0</v>
      </c>
      <c r="X12" s="165">
        <f t="shared" si="7"/>
        <v>0</v>
      </c>
      <c r="Y12" s="165">
        <f t="shared" si="7"/>
        <v>0</v>
      </c>
      <c r="Z12" s="165">
        <f t="shared" si="7"/>
        <v>0</v>
      </c>
      <c r="AA12" s="165">
        <f t="shared" si="7"/>
        <v>0</v>
      </c>
      <c r="AB12" s="165">
        <f t="shared" si="7"/>
        <v>0</v>
      </c>
      <c r="AC12" s="165">
        <f t="shared" si="7"/>
        <v>0</v>
      </c>
      <c r="AD12" s="165">
        <f t="shared" si="7"/>
        <v>0</v>
      </c>
      <c r="AE12" s="165">
        <f t="shared" si="7"/>
        <v>0</v>
      </c>
      <c r="AF12" s="165">
        <f t="shared" si="7"/>
        <v>0</v>
      </c>
      <c r="AG12" s="165">
        <f t="shared" si="7"/>
        <v>0</v>
      </c>
      <c r="AH12" s="165">
        <f t="shared" si="7"/>
        <v>0</v>
      </c>
      <c r="AI12" s="292">
        <f>+IFERROR(AI14/AI10,0)</f>
        <v>126.54740259740259</v>
      </c>
      <c r="AJ12" s="293">
        <f>+AJ14/AJ10</f>
        <v>126.54740259740258</v>
      </c>
    </row>
    <row r="13" spans="1:38" x14ac:dyDescent="0.3">
      <c r="A13" s="203"/>
      <c r="B13" s="162"/>
      <c r="C13" s="163" t="s">
        <v>18</v>
      </c>
      <c r="D13" s="165">
        <f>+D11*D12</f>
        <v>94.603398058252424</v>
      </c>
      <c r="E13" s="165">
        <f t="shared" ref="E13:AH13" si="8">+E11*E12</f>
        <v>0</v>
      </c>
      <c r="F13" s="165">
        <f t="shared" si="8"/>
        <v>0</v>
      </c>
      <c r="G13" s="165">
        <f t="shared" si="8"/>
        <v>0</v>
      </c>
      <c r="H13" s="165">
        <f t="shared" si="8"/>
        <v>0</v>
      </c>
      <c r="I13" s="165">
        <f t="shared" si="8"/>
        <v>0</v>
      </c>
      <c r="J13" s="165">
        <f t="shared" si="8"/>
        <v>0</v>
      </c>
      <c r="K13" s="165">
        <f t="shared" si="8"/>
        <v>0</v>
      </c>
      <c r="L13" s="165">
        <f t="shared" si="8"/>
        <v>0</v>
      </c>
      <c r="M13" s="165">
        <f t="shared" si="8"/>
        <v>0</v>
      </c>
      <c r="N13" s="165">
        <f t="shared" si="8"/>
        <v>0</v>
      </c>
      <c r="O13" s="165">
        <f t="shared" si="8"/>
        <v>0</v>
      </c>
      <c r="P13" s="165">
        <f t="shared" si="8"/>
        <v>0</v>
      </c>
      <c r="Q13" s="165">
        <f t="shared" si="8"/>
        <v>0</v>
      </c>
      <c r="R13" s="165">
        <f t="shared" si="8"/>
        <v>0</v>
      </c>
      <c r="S13" s="165">
        <f t="shared" si="8"/>
        <v>0</v>
      </c>
      <c r="T13" s="165">
        <f t="shared" si="8"/>
        <v>0</v>
      </c>
      <c r="U13" s="165">
        <f t="shared" si="8"/>
        <v>0</v>
      </c>
      <c r="V13" s="165">
        <f t="shared" si="8"/>
        <v>0</v>
      </c>
      <c r="W13" s="165">
        <f t="shared" si="8"/>
        <v>0</v>
      </c>
      <c r="X13" s="165">
        <f t="shared" si="8"/>
        <v>0</v>
      </c>
      <c r="Y13" s="165">
        <f t="shared" si="8"/>
        <v>0</v>
      </c>
      <c r="Z13" s="165">
        <f t="shared" si="8"/>
        <v>0</v>
      </c>
      <c r="AA13" s="165">
        <f t="shared" si="8"/>
        <v>0</v>
      </c>
      <c r="AB13" s="165">
        <f t="shared" si="8"/>
        <v>0</v>
      </c>
      <c r="AC13" s="165">
        <f t="shared" si="8"/>
        <v>0</v>
      </c>
      <c r="AD13" s="165">
        <f t="shared" si="8"/>
        <v>0</v>
      </c>
      <c r="AE13" s="165">
        <f t="shared" si="8"/>
        <v>0</v>
      </c>
      <c r="AF13" s="165">
        <f t="shared" si="8"/>
        <v>0</v>
      </c>
      <c r="AG13" s="165">
        <f t="shared" si="8"/>
        <v>0</v>
      </c>
      <c r="AH13" s="165">
        <f t="shared" si="8"/>
        <v>0</v>
      </c>
      <c r="AI13" s="292">
        <f>+AI12*AI11</f>
        <v>94.603398058252424</v>
      </c>
      <c r="AJ13" s="293">
        <f>+AJ11*AJ12</f>
        <v>94.603398058252409</v>
      </c>
    </row>
    <row r="14" spans="1:38" ht="15" thickBot="1" x14ac:dyDescent="0.35">
      <c r="A14" s="203"/>
      <c r="B14" s="162"/>
      <c r="C14" s="163" t="s">
        <v>19</v>
      </c>
      <c r="D14">
        <v>9744.15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 s="294">
        <f>SUM(D14:AH14)</f>
        <v>9744.15</v>
      </c>
      <c r="AJ14" s="295">
        <f>+AI14/A1*AK1</f>
        <v>302068.64999999997</v>
      </c>
    </row>
    <row r="15" spans="1:38" ht="15" hidden="1" thickBot="1" x14ac:dyDescent="0.35">
      <c r="A15" s="237"/>
      <c r="B15" s="167"/>
      <c r="C15" s="163" t="s">
        <v>22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296"/>
      <c r="AJ15" s="293"/>
    </row>
    <row r="16" spans="1:38" ht="15" hidden="1" thickBot="1" x14ac:dyDescent="0.35">
      <c r="A16" s="237"/>
      <c r="B16" s="167"/>
      <c r="C16" s="163" t="s">
        <v>23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296"/>
      <c r="AJ16" s="293"/>
    </row>
    <row r="17" spans="1:36" ht="15" hidden="1" thickBot="1" x14ac:dyDescent="0.35">
      <c r="A17" s="237"/>
      <c r="B17" s="167"/>
      <c r="C17" s="163" t="s">
        <v>24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297"/>
      <c r="AJ17" s="298"/>
    </row>
    <row r="18" spans="1:36" ht="15" thickTop="1" x14ac:dyDescent="0.3">
      <c r="A18" s="203">
        <v>118</v>
      </c>
      <c r="B18" s="28" t="s">
        <v>25</v>
      </c>
      <c r="C18" s="29" t="s">
        <v>15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 s="299">
        <f>SUM(D18:AH18)</f>
        <v>0</v>
      </c>
      <c r="AJ18" s="285">
        <f>+$AI18/$A$1*$AK$1</f>
        <v>0</v>
      </c>
    </row>
    <row r="19" spans="1:36" x14ac:dyDescent="0.3">
      <c r="A19" s="203"/>
      <c r="B19" s="33"/>
      <c r="C19" s="34" t="s">
        <v>16</v>
      </c>
      <c r="D19" s="35">
        <f>+D18/$A18</f>
        <v>0</v>
      </c>
      <c r="E19" s="35">
        <f t="shared" ref="E19:AF19" si="9">+E18/$A18</f>
        <v>0</v>
      </c>
      <c r="F19" s="35">
        <f t="shared" si="9"/>
        <v>0</v>
      </c>
      <c r="G19" s="35">
        <f t="shared" si="9"/>
        <v>0</v>
      </c>
      <c r="H19" s="35">
        <f t="shared" si="9"/>
        <v>0</v>
      </c>
      <c r="I19" s="35">
        <f t="shared" si="9"/>
        <v>0</v>
      </c>
      <c r="J19" s="35">
        <f t="shared" si="9"/>
        <v>0</v>
      </c>
      <c r="K19" s="35">
        <f t="shared" si="9"/>
        <v>0</v>
      </c>
      <c r="L19" s="35">
        <f t="shared" si="9"/>
        <v>0</v>
      </c>
      <c r="M19" s="35">
        <f t="shared" si="9"/>
        <v>0</v>
      </c>
      <c r="N19" s="35">
        <f t="shared" si="9"/>
        <v>0</v>
      </c>
      <c r="O19" s="35">
        <f t="shared" si="9"/>
        <v>0</v>
      </c>
      <c r="P19" s="35">
        <f t="shared" si="9"/>
        <v>0</v>
      </c>
      <c r="Q19" s="35">
        <f t="shared" si="9"/>
        <v>0</v>
      </c>
      <c r="R19" s="35">
        <f t="shared" si="9"/>
        <v>0</v>
      </c>
      <c r="S19" s="35">
        <f t="shared" si="9"/>
        <v>0</v>
      </c>
      <c r="T19" s="35">
        <f t="shared" si="9"/>
        <v>0</v>
      </c>
      <c r="U19" s="35">
        <f t="shared" si="9"/>
        <v>0</v>
      </c>
      <c r="V19" s="35">
        <f t="shared" si="9"/>
        <v>0</v>
      </c>
      <c r="W19" s="35">
        <f t="shared" si="9"/>
        <v>0</v>
      </c>
      <c r="X19" s="35">
        <f t="shared" si="9"/>
        <v>0</v>
      </c>
      <c r="Y19" s="35">
        <f t="shared" si="9"/>
        <v>0</v>
      </c>
      <c r="Z19" s="35">
        <f t="shared" si="9"/>
        <v>0</v>
      </c>
      <c r="AA19" s="35">
        <f t="shared" si="9"/>
        <v>0</v>
      </c>
      <c r="AB19" s="35">
        <f t="shared" si="9"/>
        <v>0</v>
      </c>
      <c r="AC19" s="35">
        <f t="shared" si="9"/>
        <v>0</v>
      </c>
      <c r="AD19" s="35">
        <f t="shared" si="9"/>
        <v>0</v>
      </c>
      <c r="AE19" s="35">
        <f t="shared" si="9"/>
        <v>0</v>
      </c>
      <c r="AF19" s="35">
        <f t="shared" si="9"/>
        <v>0</v>
      </c>
      <c r="AG19" s="35">
        <f>+AG18/$A18</f>
        <v>0</v>
      </c>
      <c r="AH19" s="35">
        <f>+AH18/$A18</f>
        <v>0</v>
      </c>
      <c r="AI19" s="281">
        <f>+AI18/(A18*A$1)</f>
        <v>0</v>
      </c>
      <c r="AJ19" s="282">
        <f>AJ18/($A18*AK1)</f>
        <v>0</v>
      </c>
    </row>
    <row r="20" spans="1:36" x14ac:dyDescent="0.3">
      <c r="A20" s="203"/>
      <c r="B20" s="33"/>
      <c r="C20" s="34" t="s">
        <v>17</v>
      </c>
      <c r="D20" s="37">
        <f t="shared" ref="D20:AF20" si="10">+IFERROR(D22/D18,0)</f>
        <v>0</v>
      </c>
      <c r="E20" s="37">
        <f t="shared" si="10"/>
        <v>0</v>
      </c>
      <c r="F20" s="37">
        <f t="shared" si="10"/>
        <v>0</v>
      </c>
      <c r="G20" s="37">
        <f t="shared" si="10"/>
        <v>0</v>
      </c>
      <c r="H20" s="37">
        <f t="shared" si="10"/>
        <v>0</v>
      </c>
      <c r="I20" s="37">
        <f t="shared" si="10"/>
        <v>0</v>
      </c>
      <c r="J20" s="37">
        <f t="shared" si="10"/>
        <v>0</v>
      </c>
      <c r="K20" s="37">
        <f t="shared" si="10"/>
        <v>0</v>
      </c>
      <c r="L20" s="37">
        <f t="shared" si="10"/>
        <v>0</v>
      </c>
      <c r="M20" s="37">
        <f t="shared" si="10"/>
        <v>0</v>
      </c>
      <c r="N20" s="37">
        <f t="shared" si="10"/>
        <v>0</v>
      </c>
      <c r="O20" s="37">
        <f t="shared" si="10"/>
        <v>0</v>
      </c>
      <c r="P20" s="37">
        <f t="shared" si="10"/>
        <v>0</v>
      </c>
      <c r="Q20" s="37">
        <f t="shared" si="10"/>
        <v>0</v>
      </c>
      <c r="R20" s="37">
        <f t="shared" si="10"/>
        <v>0</v>
      </c>
      <c r="S20" s="37">
        <f t="shared" si="10"/>
        <v>0</v>
      </c>
      <c r="T20" s="37">
        <f t="shared" si="10"/>
        <v>0</v>
      </c>
      <c r="U20" s="37">
        <f t="shared" si="10"/>
        <v>0</v>
      </c>
      <c r="V20" s="37">
        <f t="shared" si="10"/>
        <v>0</v>
      </c>
      <c r="W20" s="37">
        <f t="shared" si="10"/>
        <v>0</v>
      </c>
      <c r="X20" s="37">
        <f t="shared" si="10"/>
        <v>0</v>
      </c>
      <c r="Y20" s="37">
        <f t="shared" si="10"/>
        <v>0</v>
      </c>
      <c r="Z20" s="37">
        <f t="shared" si="10"/>
        <v>0</v>
      </c>
      <c r="AA20" s="37">
        <f t="shared" si="10"/>
        <v>0</v>
      </c>
      <c r="AB20" s="37">
        <f t="shared" si="10"/>
        <v>0</v>
      </c>
      <c r="AC20" s="37">
        <f t="shared" si="10"/>
        <v>0</v>
      </c>
      <c r="AD20" s="37">
        <f t="shared" si="10"/>
        <v>0</v>
      </c>
      <c r="AE20" s="37">
        <f t="shared" si="10"/>
        <v>0</v>
      </c>
      <c r="AF20" s="37">
        <f t="shared" si="10"/>
        <v>0</v>
      </c>
      <c r="AG20" s="37">
        <f>+IFERROR(AG22/AG18,0)</f>
        <v>0</v>
      </c>
      <c r="AH20" s="37">
        <f>+IFERROR(AH22/AH18,0)</f>
        <v>0</v>
      </c>
      <c r="AI20" s="283">
        <f>+IFERROR(AI22/AI18,0)</f>
        <v>0</v>
      </c>
      <c r="AJ20" s="279" t="e">
        <f>+AJ22/AJ18</f>
        <v>#DIV/0!</v>
      </c>
    </row>
    <row r="21" spans="1:36" x14ac:dyDescent="0.3">
      <c r="A21" s="203"/>
      <c r="B21" s="33"/>
      <c r="C21" s="34" t="s">
        <v>18</v>
      </c>
      <c r="D21" s="37">
        <f>+D19*D20</f>
        <v>0</v>
      </c>
      <c r="E21" s="37">
        <f t="shared" ref="E21:AH21" si="11">+E19*E20</f>
        <v>0</v>
      </c>
      <c r="F21" s="37">
        <f t="shared" si="11"/>
        <v>0</v>
      </c>
      <c r="G21" s="37">
        <f t="shared" si="11"/>
        <v>0</v>
      </c>
      <c r="H21" s="37">
        <f t="shared" si="11"/>
        <v>0</v>
      </c>
      <c r="I21" s="37">
        <f t="shared" si="11"/>
        <v>0</v>
      </c>
      <c r="J21" s="37">
        <f t="shared" si="11"/>
        <v>0</v>
      </c>
      <c r="K21" s="37">
        <f t="shared" si="11"/>
        <v>0</v>
      </c>
      <c r="L21" s="37">
        <f t="shared" si="11"/>
        <v>0</v>
      </c>
      <c r="M21" s="37">
        <f t="shared" si="11"/>
        <v>0</v>
      </c>
      <c r="N21" s="37">
        <f t="shared" si="11"/>
        <v>0</v>
      </c>
      <c r="O21" s="37">
        <f t="shared" si="11"/>
        <v>0</v>
      </c>
      <c r="P21" s="37">
        <f t="shared" si="11"/>
        <v>0</v>
      </c>
      <c r="Q21" s="37">
        <f t="shared" si="11"/>
        <v>0</v>
      </c>
      <c r="R21" s="37">
        <f t="shared" si="11"/>
        <v>0</v>
      </c>
      <c r="S21" s="37">
        <f t="shared" si="11"/>
        <v>0</v>
      </c>
      <c r="T21" s="37">
        <f t="shared" si="11"/>
        <v>0</v>
      </c>
      <c r="U21" s="37">
        <f t="shared" si="11"/>
        <v>0</v>
      </c>
      <c r="V21" s="37">
        <f t="shared" si="11"/>
        <v>0</v>
      </c>
      <c r="W21" s="37">
        <f t="shared" si="11"/>
        <v>0</v>
      </c>
      <c r="X21" s="37">
        <f t="shared" si="11"/>
        <v>0</v>
      </c>
      <c r="Y21" s="37">
        <f t="shared" si="11"/>
        <v>0</v>
      </c>
      <c r="Z21" s="37">
        <f t="shared" si="11"/>
        <v>0</v>
      </c>
      <c r="AA21" s="37">
        <f t="shared" si="11"/>
        <v>0</v>
      </c>
      <c r="AB21" s="37">
        <f t="shared" si="11"/>
        <v>0</v>
      </c>
      <c r="AC21" s="37">
        <f t="shared" si="11"/>
        <v>0</v>
      </c>
      <c r="AD21" s="37">
        <f t="shared" si="11"/>
        <v>0</v>
      </c>
      <c r="AE21" s="37">
        <f t="shared" si="11"/>
        <v>0</v>
      </c>
      <c r="AF21" s="37">
        <f t="shared" si="11"/>
        <v>0</v>
      </c>
      <c r="AG21" s="37">
        <f t="shared" si="11"/>
        <v>0</v>
      </c>
      <c r="AH21" s="37">
        <f t="shared" si="11"/>
        <v>0</v>
      </c>
      <c r="AI21" s="283">
        <f>+AI20*AI19</f>
        <v>0</v>
      </c>
      <c r="AJ21" s="279" t="e">
        <f>+AJ19*AJ20</f>
        <v>#DIV/0!</v>
      </c>
    </row>
    <row r="22" spans="1:36" ht="15" thickBot="1" x14ac:dyDescent="0.35">
      <c r="A22" s="203"/>
      <c r="B22" s="33"/>
      <c r="C22" s="34" t="s">
        <v>19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84">
        <f>SUM(D22:AH22)</f>
        <v>0</v>
      </c>
      <c r="AJ22" s="285">
        <f>+AI22/$A$1*$AK$1</f>
        <v>0</v>
      </c>
    </row>
    <row r="23" spans="1:36" ht="16.350000000000001" hidden="1" customHeight="1" x14ac:dyDescent="0.3">
      <c r="A23" s="237"/>
      <c r="B23" s="40"/>
      <c r="C23" s="34" t="s">
        <v>22</v>
      </c>
      <c r="D23" s="194"/>
      <c r="E23" s="194"/>
      <c r="F23" s="194"/>
      <c r="G23" s="194"/>
      <c r="H23" s="194"/>
      <c r="I23" s="194"/>
      <c r="J23" s="194"/>
      <c r="K23" s="194"/>
      <c r="L23" s="195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284"/>
      <c r="AJ23" s="279"/>
    </row>
    <row r="24" spans="1:36" ht="16.350000000000001" hidden="1" customHeight="1" x14ac:dyDescent="0.3">
      <c r="A24" s="237"/>
      <c r="B24" s="40"/>
      <c r="C24" s="34" t="s">
        <v>23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284"/>
      <c r="AJ24" s="279"/>
    </row>
    <row r="25" spans="1:36" ht="16.350000000000001" hidden="1" customHeight="1" thickBot="1" x14ac:dyDescent="0.35">
      <c r="A25" s="237"/>
      <c r="B25" s="40"/>
      <c r="C25" s="34" t="s">
        <v>24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284"/>
      <c r="AJ25" s="279"/>
    </row>
    <row r="26" spans="1:36" ht="15" thickTop="1" x14ac:dyDescent="0.3">
      <c r="A26" s="203">
        <v>99</v>
      </c>
      <c r="B26" s="170" t="s">
        <v>26</v>
      </c>
      <c r="C26" s="171" t="s">
        <v>15</v>
      </c>
      <c r="D26">
        <v>74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s="300">
        <f>SUM(D26:AH26)</f>
        <v>74</v>
      </c>
      <c r="AJ26" s="289">
        <f>+$AI26/$A$1*$AK$1</f>
        <v>2294</v>
      </c>
    </row>
    <row r="27" spans="1:36" x14ac:dyDescent="0.3">
      <c r="A27" s="203"/>
      <c r="B27" s="162"/>
      <c r="C27" s="163" t="s">
        <v>16</v>
      </c>
      <c r="D27" s="164">
        <f t="shared" ref="D27:AH27" si="12">+D26/$A26</f>
        <v>0.74747474747474751</v>
      </c>
      <c r="E27" s="164">
        <f t="shared" si="12"/>
        <v>0</v>
      </c>
      <c r="F27" s="164">
        <f t="shared" si="12"/>
        <v>0</v>
      </c>
      <c r="G27" s="164">
        <f t="shared" si="12"/>
        <v>0</v>
      </c>
      <c r="H27" s="164">
        <f t="shared" si="12"/>
        <v>0</v>
      </c>
      <c r="I27" s="164">
        <f t="shared" si="12"/>
        <v>0</v>
      </c>
      <c r="J27" s="164">
        <f t="shared" si="12"/>
        <v>0</v>
      </c>
      <c r="K27" s="164">
        <f t="shared" si="12"/>
        <v>0</v>
      </c>
      <c r="L27" s="164">
        <f t="shared" si="12"/>
        <v>0</v>
      </c>
      <c r="M27" s="164">
        <f t="shared" si="12"/>
        <v>0</v>
      </c>
      <c r="N27" s="164">
        <f t="shared" si="12"/>
        <v>0</v>
      </c>
      <c r="O27" s="164">
        <f t="shared" si="12"/>
        <v>0</v>
      </c>
      <c r="P27" s="164">
        <f t="shared" si="12"/>
        <v>0</v>
      </c>
      <c r="Q27" s="164">
        <f t="shared" si="12"/>
        <v>0</v>
      </c>
      <c r="R27" s="164">
        <f t="shared" si="12"/>
        <v>0</v>
      </c>
      <c r="S27" s="164">
        <f t="shared" si="12"/>
        <v>0</v>
      </c>
      <c r="T27" s="164">
        <f t="shared" si="12"/>
        <v>0</v>
      </c>
      <c r="U27" s="164">
        <f t="shared" si="12"/>
        <v>0</v>
      </c>
      <c r="V27" s="164">
        <f t="shared" si="12"/>
        <v>0</v>
      </c>
      <c r="W27" s="164">
        <f t="shared" si="12"/>
        <v>0</v>
      </c>
      <c r="X27" s="164">
        <f t="shared" si="12"/>
        <v>0</v>
      </c>
      <c r="Y27" s="164">
        <f t="shared" si="12"/>
        <v>0</v>
      </c>
      <c r="Z27" s="164">
        <f t="shared" si="12"/>
        <v>0</v>
      </c>
      <c r="AA27" s="164">
        <f t="shared" si="12"/>
        <v>0</v>
      </c>
      <c r="AB27" s="164">
        <f t="shared" si="12"/>
        <v>0</v>
      </c>
      <c r="AC27" s="164">
        <f t="shared" si="12"/>
        <v>0</v>
      </c>
      <c r="AD27" s="164">
        <f t="shared" si="12"/>
        <v>0</v>
      </c>
      <c r="AE27" s="164">
        <f t="shared" si="12"/>
        <v>0</v>
      </c>
      <c r="AF27" s="164">
        <f t="shared" si="12"/>
        <v>0</v>
      </c>
      <c r="AG27" s="164">
        <f t="shared" si="12"/>
        <v>0</v>
      </c>
      <c r="AH27" s="164">
        <f t="shared" si="12"/>
        <v>0</v>
      </c>
      <c r="AI27" s="290">
        <f>+AI26/(A26*A$1)</f>
        <v>0.74747474747474751</v>
      </c>
      <c r="AJ27" s="291">
        <f>AJ26/($A26*30)</f>
        <v>0.77239057239057241</v>
      </c>
    </row>
    <row r="28" spans="1:36" x14ac:dyDescent="0.3">
      <c r="A28" s="203"/>
      <c r="B28" s="162"/>
      <c r="C28" s="163" t="s">
        <v>17</v>
      </c>
      <c r="D28" s="165">
        <f t="shared" ref="D28:AH28" si="13">+IFERROR(D30/D26,0)</f>
        <v>109.76351351351352</v>
      </c>
      <c r="E28" s="165">
        <f t="shared" si="13"/>
        <v>0</v>
      </c>
      <c r="F28" s="165">
        <f t="shared" si="13"/>
        <v>0</v>
      </c>
      <c r="G28" s="165">
        <f t="shared" si="13"/>
        <v>0</v>
      </c>
      <c r="H28" s="165">
        <f t="shared" si="13"/>
        <v>0</v>
      </c>
      <c r="I28" s="165">
        <f t="shared" si="13"/>
        <v>0</v>
      </c>
      <c r="J28" s="165">
        <f t="shared" si="13"/>
        <v>0</v>
      </c>
      <c r="K28" s="165">
        <f t="shared" si="13"/>
        <v>0</v>
      </c>
      <c r="L28" s="165">
        <f t="shared" si="13"/>
        <v>0</v>
      </c>
      <c r="M28" s="165">
        <f t="shared" si="13"/>
        <v>0</v>
      </c>
      <c r="N28" s="165">
        <f t="shared" si="13"/>
        <v>0</v>
      </c>
      <c r="O28" s="165">
        <f t="shared" si="13"/>
        <v>0</v>
      </c>
      <c r="P28" s="165">
        <f t="shared" si="13"/>
        <v>0</v>
      </c>
      <c r="Q28" s="165">
        <f t="shared" si="13"/>
        <v>0</v>
      </c>
      <c r="R28" s="165">
        <f t="shared" si="13"/>
        <v>0</v>
      </c>
      <c r="S28" s="165">
        <f t="shared" si="13"/>
        <v>0</v>
      </c>
      <c r="T28" s="165">
        <f t="shared" si="13"/>
        <v>0</v>
      </c>
      <c r="U28" s="165">
        <f t="shared" si="13"/>
        <v>0</v>
      </c>
      <c r="V28" s="165">
        <f t="shared" si="13"/>
        <v>0</v>
      </c>
      <c r="W28" s="165">
        <f>+IFERROR(W30/W26,0)</f>
        <v>0</v>
      </c>
      <c r="X28" s="165">
        <f t="shared" si="13"/>
        <v>0</v>
      </c>
      <c r="Y28" s="165">
        <f t="shared" si="13"/>
        <v>0</v>
      </c>
      <c r="Z28" s="165">
        <f t="shared" si="13"/>
        <v>0</v>
      </c>
      <c r="AA28" s="165">
        <f t="shared" si="13"/>
        <v>0</v>
      </c>
      <c r="AB28" s="165">
        <f t="shared" si="13"/>
        <v>0</v>
      </c>
      <c r="AC28" s="165">
        <f t="shared" si="13"/>
        <v>0</v>
      </c>
      <c r="AD28" s="165">
        <f t="shared" si="13"/>
        <v>0</v>
      </c>
      <c r="AE28" s="165">
        <f t="shared" si="13"/>
        <v>0</v>
      </c>
      <c r="AF28" s="165">
        <f t="shared" si="13"/>
        <v>0</v>
      </c>
      <c r="AG28" s="165">
        <f t="shared" si="13"/>
        <v>0</v>
      </c>
      <c r="AH28" s="165">
        <f t="shared" si="13"/>
        <v>0</v>
      </c>
      <c r="AI28" s="292">
        <f>+AI30/AI26</f>
        <v>109.76351351351352</v>
      </c>
      <c r="AJ28" s="293">
        <f>+AJ30/AJ26</f>
        <v>109.76351351351352</v>
      </c>
    </row>
    <row r="29" spans="1:36" x14ac:dyDescent="0.3">
      <c r="A29" s="203"/>
      <c r="B29" s="162"/>
      <c r="C29" s="163" t="s">
        <v>18</v>
      </c>
      <c r="D29" s="165">
        <f t="shared" ref="D29:AH29" si="14">+D27*D28</f>
        <v>82.045454545454547</v>
      </c>
      <c r="E29" s="165">
        <f t="shared" si="14"/>
        <v>0</v>
      </c>
      <c r="F29" s="165">
        <f t="shared" si="14"/>
        <v>0</v>
      </c>
      <c r="G29" s="165">
        <f t="shared" si="14"/>
        <v>0</v>
      </c>
      <c r="H29" s="165">
        <f t="shared" si="14"/>
        <v>0</v>
      </c>
      <c r="I29" s="165">
        <f>+I27*I28</f>
        <v>0</v>
      </c>
      <c r="J29" s="165">
        <f t="shared" si="14"/>
        <v>0</v>
      </c>
      <c r="K29" s="165">
        <f t="shared" si="14"/>
        <v>0</v>
      </c>
      <c r="L29" s="165">
        <f t="shared" si="14"/>
        <v>0</v>
      </c>
      <c r="M29" s="165">
        <f t="shared" si="14"/>
        <v>0</v>
      </c>
      <c r="N29" s="165">
        <f t="shared" si="14"/>
        <v>0</v>
      </c>
      <c r="O29" s="165">
        <f t="shared" si="14"/>
        <v>0</v>
      </c>
      <c r="P29" s="165">
        <f t="shared" si="14"/>
        <v>0</v>
      </c>
      <c r="Q29" s="165">
        <f t="shared" si="14"/>
        <v>0</v>
      </c>
      <c r="R29" s="165">
        <f t="shared" si="14"/>
        <v>0</v>
      </c>
      <c r="S29" s="165">
        <f t="shared" si="14"/>
        <v>0</v>
      </c>
      <c r="T29" s="165">
        <f t="shared" si="14"/>
        <v>0</v>
      </c>
      <c r="U29" s="165">
        <f t="shared" si="14"/>
        <v>0</v>
      </c>
      <c r="V29" s="165">
        <f t="shared" si="14"/>
        <v>0</v>
      </c>
      <c r="W29" s="165">
        <f>+W27*W28</f>
        <v>0</v>
      </c>
      <c r="X29" s="165">
        <f t="shared" si="14"/>
        <v>0</v>
      </c>
      <c r="Y29" s="165">
        <f t="shared" si="14"/>
        <v>0</v>
      </c>
      <c r="Z29" s="165">
        <f t="shared" si="14"/>
        <v>0</v>
      </c>
      <c r="AA29" s="165">
        <f t="shared" si="14"/>
        <v>0</v>
      </c>
      <c r="AB29" s="165">
        <f t="shared" si="14"/>
        <v>0</v>
      </c>
      <c r="AC29" s="165">
        <f t="shared" si="14"/>
        <v>0</v>
      </c>
      <c r="AD29" s="165">
        <f t="shared" si="14"/>
        <v>0</v>
      </c>
      <c r="AE29" s="165">
        <f t="shared" si="14"/>
        <v>0</v>
      </c>
      <c r="AF29" s="165">
        <f t="shared" si="14"/>
        <v>0</v>
      </c>
      <c r="AG29" s="165">
        <f t="shared" si="14"/>
        <v>0</v>
      </c>
      <c r="AH29" s="165">
        <f t="shared" si="14"/>
        <v>0</v>
      </c>
      <c r="AI29" s="292">
        <f>+AI28*AI27</f>
        <v>82.045454545454547</v>
      </c>
      <c r="AJ29" s="293">
        <f>+AJ27*AJ28</f>
        <v>84.780303030303031</v>
      </c>
    </row>
    <row r="30" spans="1:36" ht="15" thickBot="1" x14ac:dyDescent="0.35">
      <c r="A30" s="203"/>
      <c r="B30" s="162"/>
      <c r="C30" s="163" t="s">
        <v>19</v>
      </c>
      <c r="D30">
        <v>8122.5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 s="294">
        <f>SUM(D30:AH30)</f>
        <v>8122.5</v>
      </c>
      <c r="AJ30" s="295">
        <f>+AI30/$A$1*$AK$1</f>
        <v>251797.5</v>
      </c>
    </row>
    <row r="31" spans="1:36" ht="15" thickTop="1" x14ac:dyDescent="0.3">
      <c r="A31" s="203">
        <v>151</v>
      </c>
      <c r="B31" s="28" t="s">
        <v>27</v>
      </c>
      <c r="C31" s="29" t="s">
        <v>15</v>
      </c>
      <c r="D31">
        <v>98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s="301">
        <f>SUM(D31:AH31)</f>
        <v>98</v>
      </c>
      <c r="AJ31" s="280">
        <f>+$AI31/$A$1*$AK$1</f>
        <v>3038</v>
      </c>
    </row>
    <row r="32" spans="1:36" x14ac:dyDescent="0.3">
      <c r="A32" s="203"/>
      <c r="B32" s="33"/>
      <c r="C32" s="34" t="s">
        <v>16</v>
      </c>
      <c r="D32" s="35">
        <f t="shared" ref="D32:AH32" si="15">+D31/$A31</f>
        <v>0.64900662251655628</v>
      </c>
      <c r="E32" s="35">
        <f t="shared" si="15"/>
        <v>0</v>
      </c>
      <c r="F32" s="35">
        <f t="shared" si="15"/>
        <v>0</v>
      </c>
      <c r="G32" s="35">
        <f t="shared" si="15"/>
        <v>0</v>
      </c>
      <c r="H32" s="35">
        <f t="shared" si="15"/>
        <v>0</v>
      </c>
      <c r="I32" s="35">
        <f t="shared" si="15"/>
        <v>0</v>
      </c>
      <c r="J32" s="35">
        <f t="shared" si="15"/>
        <v>0</v>
      </c>
      <c r="K32" s="35">
        <f t="shared" si="15"/>
        <v>0</v>
      </c>
      <c r="L32" s="35">
        <f t="shared" si="15"/>
        <v>0</v>
      </c>
      <c r="M32" s="35">
        <f t="shared" si="15"/>
        <v>0</v>
      </c>
      <c r="N32" s="35">
        <f t="shared" si="15"/>
        <v>0</v>
      </c>
      <c r="O32" s="35">
        <f t="shared" si="15"/>
        <v>0</v>
      </c>
      <c r="P32" s="35">
        <f t="shared" si="15"/>
        <v>0</v>
      </c>
      <c r="Q32" s="35">
        <f t="shared" si="15"/>
        <v>0</v>
      </c>
      <c r="R32" s="35">
        <f t="shared" si="15"/>
        <v>0</v>
      </c>
      <c r="S32" s="35">
        <f t="shared" si="15"/>
        <v>0</v>
      </c>
      <c r="T32" s="35">
        <f t="shared" si="15"/>
        <v>0</v>
      </c>
      <c r="U32" s="35">
        <f t="shared" si="15"/>
        <v>0</v>
      </c>
      <c r="V32" s="35">
        <f t="shared" si="15"/>
        <v>0</v>
      </c>
      <c r="W32" s="35">
        <f t="shared" si="15"/>
        <v>0</v>
      </c>
      <c r="X32" s="35">
        <f t="shared" si="15"/>
        <v>0</v>
      </c>
      <c r="Y32" s="35">
        <f t="shared" si="15"/>
        <v>0</v>
      </c>
      <c r="Z32" s="35">
        <f t="shared" si="15"/>
        <v>0</v>
      </c>
      <c r="AA32" s="35">
        <f t="shared" si="15"/>
        <v>0</v>
      </c>
      <c r="AB32" s="35">
        <f t="shared" si="15"/>
        <v>0</v>
      </c>
      <c r="AC32" s="35">
        <f t="shared" si="15"/>
        <v>0</v>
      </c>
      <c r="AD32" s="35">
        <f t="shared" si="15"/>
        <v>0</v>
      </c>
      <c r="AE32" s="35">
        <f t="shared" si="15"/>
        <v>0</v>
      </c>
      <c r="AF32" s="35">
        <f t="shared" si="15"/>
        <v>0</v>
      </c>
      <c r="AG32" s="35">
        <f t="shared" si="15"/>
        <v>0</v>
      </c>
      <c r="AH32" s="35">
        <f t="shared" si="15"/>
        <v>0</v>
      </c>
      <c r="AI32" s="281">
        <f>+AI31/(A31*A$1)</f>
        <v>0.64900662251655628</v>
      </c>
      <c r="AJ32" s="282">
        <f>AJ31/($A31*AK1)</f>
        <v>0.64900662251655628</v>
      </c>
    </row>
    <row r="33" spans="1:36" x14ac:dyDescent="0.3">
      <c r="A33" s="203"/>
      <c r="B33" s="33"/>
      <c r="C33" s="34" t="s">
        <v>17</v>
      </c>
      <c r="D33" s="37">
        <f>+IFERROR(D35/D31,0)</f>
        <v>128.00153061224489</v>
      </c>
      <c r="E33" s="37">
        <f t="shared" ref="E33:AH33" si="16">+IFERROR(E35/E31,0)</f>
        <v>0</v>
      </c>
      <c r="F33" s="37">
        <f t="shared" si="16"/>
        <v>0</v>
      </c>
      <c r="G33" s="37">
        <f t="shared" si="16"/>
        <v>0</v>
      </c>
      <c r="H33" s="37">
        <f t="shared" si="16"/>
        <v>0</v>
      </c>
      <c r="I33" s="37">
        <f t="shared" si="16"/>
        <v>0</v>
      </c>
      <c r="J33" s="37">
        <f t="shared" si="16"/>
        <v>0</v>
      </c>
      <c r="K33" s="37">
        <f t="shared" si="16"/>
        <v>0</v>
      </c>
      <c r="L33" s="37">
        <f t="shared" si="16"/>
        <v>0</v>
      </c>
      <c r="M33" s="37">
        <f t="shared" si="16"/>
        <v>0</v>
      </c>
      <c r="N33" s="37">
        <f t="shared" si="16"/>
        <v>0</v>
      </c>
      <c r="O33" s="37">
        <f t="shared" si="16"/>
        <v>0</v>
      </c>
      <c r="P33" s="37">
        <f t="shared" si="16"/>
        <v>0</v>
      </c>
      <c r="Q33" s="37">
        <f t="shared" si="16"/>
        <v>0</v>
      </c>
      <c r="R33" s="37">
        <f t="shared" si="16"/>
        <v>0</v>
      </c>
      <c r="S33" s="37">
        <f t="shared" si="16"/>
        <v>0</v>
      </c>
      <c r="T33" s="37">
        <f t="shared" si="16"/>
        <v>0</v>
      </c>
      <c r="U33" s="37">
        <f t="shared" si="16"/>
        <v>0</v>
      </c>
      <c r="V33" s="37">
        <f t="shared" si="16"/>
        <v>0</v>
      </c>
      <c r="W33" s="37">
        <f t="shared" si="16"/>
        <v>0</v>
      </c>
      <c r="X33" s="37">
        <f t="shared" si="16"/>
        <v>0</v>
      </c>
      <c r="Y33" s="37">
        <f t="shared" si="16"/>
        <v>0</v>
      </c>
      <c r="Z33" s="37">
        <f t="shared" si="16"/>
        <v>0</v>
      </c>
      <c r="AA33" s="37">
        <f t="shared" si="16"/>
        <v>0</v>
      </c>
      <c r="AB33" s="37">
        <f t="shared" si="16"/>
        <v>0</v>
      </c>
      <c r="AC33" s="37">
        <f t="shared" si="16"/>
        <v>0</v>
      </c>
      <c r="AD33" s="37">
        <f t="shared" si="16"/>
        <v>0</v>
      </c>
      <c r="AE33" s="37">
        <f t="shared" si="16"/>
        <v>0</v>
      </c>
      <c r="AF33" s="37">
        <f t="shared" si="16"/>
        <v>0</v>
      </c>
      <c r="AG33" s="37">
        <f t="shared" si="16"/>
        <v>0</v>
      </c>
      <c r="AH33" s="37">
        <f t="shared" si="16"/>
        <v>0</v>
      </c>
      <c r="AI33" s="283">
        <f>+AI35/AI31</f>
        <v>128.00153061224489</v>
      </c>
      <c r="AJ33" s="279">
        <f>+AJ35/AJ31</f>
        <v>128.00153061224489</v>
      </c>
    </row>
    <row r="34" spans="1:36" x14ac:dyDescent="0.3">
      <c r="A34" s="203"/>
      <c r="B34" s="33"/>
      <c r="C34" s="34" t="s">
        <v>18</v>
      </c>
      <c r="D34" s="37">
        <f>+D32*D33</f>
        <v>83.073841059602643</v>
      </c>
      <c r="E34" s="37">
        <f t="shared" ref="E34:AH34" si="17">+E32*E33</f>
        <v>0</v>
      </c>
      <c r="F34" s="37">
        <f t="shared" si="17"/>
        <v>0</v>
      </c>
      <c r="G34" s="37">
        <f t="shared" si="17"/>
        <v>0</v>
      </c>
      <c r="H34" s="37">
        <f t="shared" si="17"/>
        <v>0</v>
      </c>
      <c r="I34" s="37">
        <f t="shared" si="17"/>
        <v>0</v>
      </c>
      <c r="J34" s="37">
        <f t="shared" si="17"/>
        <v>0</v>
      </c>
      <c r="K34" s="37">
        <f t="shared" si="17"/>
        <v>0</v>
      </c>
      <c r="L34" s="37">
        <f t="shared" si="17"/>
        <v>0</v>
      </c>
      <c r="M34" s="37">
        <f t="shared" si="17"/>
        <v>0</v>
      </c>
      <c r="N34" s="37">
        <f t="shared" si="17"/>
        <v>0</v>
      </c>
      <c r="O34" s="37">
        <f t="shared" si="17"/>
        <v>0</v>
      </c>
      <c r="P34" s="37">
        <f t="shared" si="17"/>
        <v>0</v>
      </c>
      <c r="Q34" s="37">
        <f t="shared" si="17"/>
        <v>0</v>
      </c>
      <c r="R34" s="37">
        <f t="shared" si="17"/>
        <v>0</v>
      </c>
      <c r="S34" s="37">
        <f t="shared" si="17"/>
        <v>0</v>
      </c>
      <c r="T34" s="37">
        <f t="shared" si="17"/>
        <v>0</v>
      </c>
      <c r="U34" s="37">
        <f t="shared" si="17"/>
        <v>0</v>
      </c>
      <c r="V34" s="37">
        <f t="shared" si="17"/>
        <v>0</v>
      </c>
      <c r="W34" s="37">
        <f t="shared" si="17"/>
        <v>0</v>
      </c>
      <c r="X34" s="37">
        <f t="shared" si="17"/>
        <v>0</v>
      </c>
      <c r="Y34" s="37">
        <f t="shared" si="17"/>
        <v>0</v>
      </c>
      <c r="Z34" s="37">
        <f t="shared" si="17"/>
        <v>0</v>
      </c>
      <c r="AA34" s="37">
        <f t="shared" si="17"/>
        <v>0</v>
      </c>
      <c r="AB34" s="37">
        <f t="shared" si="17"/>
        <v>0</v>
      </c>
      <c r="AC34" s="37">
        <f t="shared" si="17"/>
        <v>0</v>
      </c>
      <c r="AD34" s="37">
        <f t="shared" si="17"/>
        <v>0</v>
      </c>
      <c r="AE34" s="37">
        <f t="shared" si="17"/>
        <v>0</v>
      </c>
      <c r="AF34" s="37">
        <f t="shared" si="17"/>
        <v>0</v>
      </c>
      <c r="AG34" s="37">
        <f t="shared" si="17"/>
        <v>0</v>
      </c>
      <c r="AH34" s="37">
        <f t="shared" si="17"/>
        <v>0</v>
      </c>
      <c r="AI34" s="283">
        <f>+AI33*AI32</f>
        <v>83.073841059602643</v>
      </c>
      <c r="AJ34" s="279">
        <f>+AJ32*AJ33</f>
        <v>83.073841059602643</v>
      </c>
    </row>
    <row r="35" spans="1:36" ht="15" thickBot="1" x14ac:dyDescent="0.35">
      <c r="A35" s="203"/>
      <c r="B35" s="33"/>
      <c r="C35" s="34" t="s">
        <v>19</v>
      </c>
      <c r="D35">
        <v>12544.15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 s="284">
        <f>SUM(D35:AH35)</f>
        <v>12544.15</v>
      </c>
      <c r="AJ35" s="285">
        <f>+AI35/$A$1*$AK$1</f>
        <v>388868.64999999997</v>
      </c>
    </row>
    <row r="36" spans="1:36" ht="15" thickTop="1" x14ac:dyDescent="0.3">
      <c r="A36" s="203">
        <v>96</v>
      </c>
      <c r="B36" s="170" t="s">
        <v>28</v>
      </c>
      <c r="C36" s="171" t="s">
        <v>15</v>
      </c>
      <c r="D36">
        <v>48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 s="300">
        <f>SUM(D36:AH36)</f>
        <v>48</v>
      </c>
      <c r="AJ36" s="289">
        <f>+$AI36/$A$1*$AK$1</f>
        <v>1488</v>
      </c>
    </row>
    <row r="37" spans="1:36" x14ac:dyDescent="0.3">
      <c r="A37" s="203"/>
      <c r="B37" s="162"/>
      <c r="C37" s="163" t="s">
        <v>16</v>
      </c>
      <c r="D37" s="164">
        <f t="shared" ref="D37:AH37" si="18">+D36/$A36</f>
        <v>0.5</v>
      </c>
      <c r="E37" s="164">
        <f t="shared" si="18"/>
        <v>0</v>
      </c>
      <c r="F37" s="164">
        <f t="shared" si="18"/>
        <v>0</v>
      </c>
      <c r="G37" s="164">
        <f t="shared" si="18"/>
        <v>0</v>
      </c>
      <c r="H37" s="164">
        <f t="shared" si="18"/>
        <v>0</v>
      </c>
      <c r="I37" s="164">
        <f t="shared" si="18"/>
        <v>0</v>
      </c>
      <c r="J37" s="164">
        <f t="shared" si="18"/>
        <v>0</v>
      </c>
      <c r="K37" s="164">
        <f t="shared" si="18"/>
        <v>0</v>
      </c>
      <c r="L37" s="164">
        <f t="shared" si="18"/>
        <v>0</v>
      </c>
      <c r="M37" s="164">
        <f t="shared" si="18"/>
        <v>0</v>
      </c>
      <c r="N37" s="164">
        <f t="shared" si="18"/>
        <v>0</v>
      </c>
      <c r="O37" s="164">
        <f t="shared" si="18"/>
        <v>0</v>
      </c>
      <c r="P37" s="164">
        <f t="shared" si="18"/>
        <v>0</v>
      </c>
      <c r="Q37" s="164">
        <f t="shared" si="18"/>
        <v>0</v>
      </c>
      <c r="R37" s="164">
        <f t="shared" si="18"/>
        <v>0</v>
      </c>
      <c r="S37" s="164">
        <f t="shared" si="18"/>
        <v>0</v>
      </c>
      <c r="T37" s="164">
        <f t="shared" si="18"/>
        <v>0</v>
      </c>
      <c r="U37" s="164">
        <f t="shared" si="18"/>
        <v>0</v>
      </c>
      <c r="V37" s="164">
        <f t="shared" si="18"/>
        <v>0</v>
      </c>
      <c r="W37" s="164">
        <f t="shared" si="18"/>
        <v>0</v>
      </c>
      <c r="X37" s="164">
        <f t="shared" si="18"/>
        <v>0</v>
      </c>
      <c r="Y37" s="164">
        <f t="shared" si="18"/>
        <v>0</v>
      </c>
      <c r="Z37" s="164">
        <f t="shared" si="18"/>
        <v>0</v>
      </c>
      <c r="AA37" s="164">
        <f t="shared" si="18"/>
        <v>0</v>
      </c>
      <c r="AB37" s="164">
        <f t="shared" si="18"/>
        <v>0</v>
      </c>
      <c r="AC37" s="164">
        <f t="shared" si="18"/>
        <v>0</v>
      </c>
      <c r="AD37" s="164">
        <f t="shared" si="18"/>
        <v>0</v>
      </c>
      <c r="AE37" s="164">
        <f t="shared" si="18"/>
        <v>0</v>
      </c>
      <c r="AF37" s="164">
        <f t="shared" si="18"/>
        <v>0</v>
      </c>
      <c r="AG37" s="164">
        <f t="shared" si="18"/>
        <v>0</v>
      </c>
      <c r="AH37" s="164">
        <f t="shared" si="18"/>
        <v>0</v>
      </c>
      <c r="AI37" s="290">
        <f>+AI36/(A36*A$1)</f>
        <v>0.5</v>
      </c>
      <c r="AJ37" s="291">
        <f>AJ36/($A36*AK1)</f>
        <v>0.5</v>
      </c>
    </row>
    <row r="38" spans="1:36" x14ac:dyDescent="0.3">
      <c r="A38" s="203"/>
      <c r="B38" s="162"/>
      <c r="C38" s="163" t="s">
        <v>17</v>
      </c>
      <c r="D38" s="165">
        <f t="shared" ref="D38:AH38" si="19">+IFERROR(D40/D36,0)</f>
        <v>98.592083333333335</v>
      </c>
      <c r="E38" s="165">
        <f t="shared" si="19"/>
        <v>0</v>
      </c>
      <c r="F38" s="165">
        <f t="shared" si="19"/>
        <v>0</v>
      </c>
      <c r="G38" s="165">
        <f t="shared" si="19"/>
        <v>0</v>
      </c>
      <c r="H38" s="165">
        <f t="shared" si="19"/>
        <v>0</v>
      </c>
      <c r="I38" s="165">
        <f t="shared" si="19"/>
        <v>0</v>
      </c>
      <c r="J38" s="165">
        <f t="shared" si="19"/>
        <v>0</v>
      </c>
      <c r="K38" s="165">
        <f t="shared" si="19"/>
        <v>0</v>
      </c>
      <c r="L38" s="165">
        <f t="shared" si="19"/>
        <v>0</v>
      </c>
      <c r="M38" s="165">
        <f t="shared" si="19"/>
        <v>0</v>
      </c>
      <c r="N38" s="165">
        <f t="shared" si="19"/>
        <v>0</v>
      </c>
      <c r="O38" s="165">
        <f t="shared" si="19"/>
        <v>0</v>
      </c>
      <c r="P38" s="165">
        <f t="shared" si="19"/>
        <v>0</v>
      </c>
      <c r="Q38" s="165">
        <f t="shared" si="19"/>
        <v>0</v>
      </c>
      <c r="R38" s="165">
        <f t="shared" si="19"/>
        <v>0</v>
      </c>
      <c r="S38" s="165">
        <f t="shared" si="19"/>
        <v>0</v>
      </c>
      <c r="T38" s="165">
        <f t="shared" si="19"/>
        <v>0</v>
      </c>
      <c r="U38" s="165">
        <f t="shared" si="19"/>
        <v>0</v>
      </c>
      <c r="V38" s="165">
        <f t="shared" si="19"/>
        <v>0</v>
      </c>
      <c r="W38" s="165">
        <f t="shared" si="19"/>
        <v>0</v>
      </c>
      <c r="X38" s="165">
        <f t="shared" si="19"/>
        <v>0</v>
      </c>
      <c r="Y38" s="165">
        <f t="shared" si="19"/>
        <v>0</v>
      </c>
      <c r="Z38" s="165">
        <f t="shared" si="19"/>
        <v>0</v>
      </c>
      <c r="AA38" s="165">
        <f t="shared" si="19"/>
        <v>0</v>
      </c>
      <c r="AB38" s="165">
        <f t="shared" si="19"/>
        <v>0</v>
      </c>
      <c r="AC38" s="165">
        <f t="shared" si="19"/>
        <v>0</v>
      </c>
      <c r="AD38" s="165">
        <f t="shared" si="19"/>
        <v>0</v>
      </c>
      <c r="AE38" s="165">
        <f t="shared" si="19"/>
        <v>0</v>
      </c>
      <c r="AF38" s="165">
        <f t="shared" si="19"/>
        <v>0</v>
      </c>
      <c r="AG38" s="165">
        <f t="shared" si="19"/>
        <v>0</v>
      </c>
      <c r="AH38" s="165">
        <f t="shared" si="19"/>
        <v>0</v>
      </c>
      <c r="AI38" s="292">
        <f>+AI40/AI36</f>
        <v>98.592083333333335</v>
      </c>
      <c r="AJ38" s="293">
        <f>+AJ40/AJ36</f>
        <v>98.592083333333321</v>
      </c>
    </row>
    <row r="39" spans="1:36" x14ac:dyDescent="0.3">
      <c r="A39" s="203"/>
      <c r="B39" s="162"/>
      <c r="C39" s="163" t="s">
        <v>18</v>
      </c>
      <c r="D39" s="165">
        <f t="shared" ref="D39:AH39" si="20">+D37*D38</f>
        <v>49.296041666666667</v>
      </c>
      <c r="E39" s="165">
        <f t="shared" si="20"/>
        <v>0</v>
      </c>
      <c r="F39" s="165">
        <f t="shared" si="20"/>
        <v>0</v>
      </c>
      <c r="G39" s="165">
        <f t="shared" si="20"/>
        <v>0</v>
      </c>
      <c r="H39" s="165">
        <f t="shared" si="20"/>
        <v>0</v>
      </c>
      <c r="I39" s="165">
        <f t="shared" si="20"/>
        <v>0</v>
      </c>
      <c r="J39" s="165">
        <f t="shared" si="20"/>
        <v>0</v>
      </c>
      <c r="K39" s="165">
        <f t="shared" si="20"/>
        <v>0</v>
      </c>
      <c r="L39" s="165">
        <f t="shared" si="20"/>
        <v>0</v>
      </c>
      <c r="M39" s="165">
        <f t="shared" si="20"/>
        <v>0</v>
      </c>
      <c r="N39" s="165">
        <f t="shared" si="20"/>
        <v>0</v>
      </c>
      <c r="O39" s="165">
        <f t="shared" si="20"/>
        <v>0</v>
      </c>
      <c r="P39" s="165">
        <f t="shared" si="20"/>
        <v>0</v>
      </c>
      <c r="Q39" s="165">
        <f t="shared" si="20"/>
        <v>0</v>
      </c>
      <c r="R39" s="165">
        <f t="shared" si="20"/>
        <v>0</v>
      </c>
      <c r="S39" s="165">
        <f t="shared" si="20"/>
        <v>0</v>
      </c>
      <c r="T39" s="165">
        <f t="shared" si="20"/>
        <v>0</v>
      </c>
      <c r="U39" s="165">
        <f t="shared" si="20"/>
        <v>0</v>
      </c>
      <c r="V39" s="165">
        <f t="shared" si="20"/>
        <v>0</v>
      </c>
      <c r="W39" s="165">
        <f t="shared" si="20"/>
        <v>0</v>
      </c>
      <c r="X39" s="165">
        <f t="shared" si="20"/>
        <v>0</v>
      </c>
      <c r="Y39" s="165">
        <f t="shared" si="20"/>
        <v>0</v>
      </c>
      <c r="Z39" s="165">
        <f t="shared" si="20"/>
        <v>0</v>
      </c>
      <c r="AA39" s="165">
        <f t="shared" si="20"/>
        <v>0</v>
      </c>
      <c r="AB39" s="165">
        <f t="shared" si="20"/>
        <v>0</v>
      </c>
      <c r="AC39" s="165">
        <f t="shared" si="20"/>
        <v>0</v>
      </c>
      <c r="AD39" s="165">
        <f t="shared" si="20"/>
        <v>0</v>
      </c>
      <c r="AE39" s="165">
        <f t="shared" si="20"/>
        <v>0</v>
      </c>
      <c r="AF39" s="165">
        <f t="shared" si="20"/>
        <v>0</v>
      </c>
      <c r="AG39" s="165">
        <f t="shared" si="20"/>
        <v>0</v>
      </c>
      <c r="AH39" s="165">
        <f t="shared" si="20"/>
        <v>0</v>
      </c>
      <c r="AI39" s="292">
        <f>+AI38*AI37</f>
        <v>49.296041666666667</v>
      </c>
      <c r="AJ39" s="293">
        <f>+AJ37*AJ38</f>
        <v>49.29604166666666</v>
      </c>
    </row>
    <row r="40" spans="1:36" ht="15" thickBot="1" x14ac:dyDescent="0.35">
      <c r="A40" s="203"/>
      <c r="B40" s="162"/>
      <c r="C40" s="163" t="s">
        <v>19</v>
      </c>
      <c r="D40">
        <v>4732.42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294">
        <f>SUM(D40:AH40)</f>
        <v>4732.42</v>
      </c>
      <c r="AJ40" s="295">
        <f>+AI40/$A$1*$AK$1</f>
        <v>146705.01999999999</v>
      </c>
    </row>
    <row r="41" spans="1:36" ht="15" thickTop="1" x14ac:dyDescent="0.3">
      <c r="A41" s="2">
        <v>94</v>
      </c>
      <c r="B41" s="28" t="s">
        <v>29</v>
      </c>
      <c r="C41" s="29" t="s">
        <v>15</v>
      </c>
      <c r="D41">
        <v>66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 s="301">
        <f>SUM(D41:AH41)</f>
        <v>66</v>
      </c>
      <c r="AJ41" s="280">
        <f>+$AI41/$A$1*$AK$1</f>
        <v>2046</v>
      </c>
    </row>
    <row r="42" spans="1:36" x14ac:dyDescent="0.3">
      <c r="A42" s="203"/>
      <c r="B42" s="33"/>
      <c r="C42" s="34" t="s">
        <v>16</v>
      </c>
      <c r="D42" s="35">
        <f>D41/$A41</f>
        <v>0.7021276595744681</v>
      </c>
      <c r="E42" s="35">
        <f t="shared" ref="E42:AH42" si="21">+E41/$A41</f>
        <v>0</v>
      </c>
      <c r="F42" s="35">
        <f t="shared" si="21"/>
        <v>0</v>
      </c>
      <c r="G42" s="35">
        <f t="shared" si="21"/>
        <v>0</v>
      </c>
      <c r="H42" s="35">
        <f t="shared" si="21"/>
        <v>0</v>
      </c>
      <c r="I42" s="35">
        <f t="shared" si="21"/>
        <v>0</v>
      </c>
      <c r="J42" s="35">
        <f t="shared" si="21"/>
        <v>0</v>
      </c>
      <c r="K42" s="35">
        <f t="shared" si="21"/>
        <v>0</v>
      </c>
      <c r="L42" s="35">
        <f t="shared" si="21"/>
        <v>0</v>
      </c>
      <c r="M42" s="35">
        <f t="shared" si="21"/>
        <v>0</v>
      </c>
      <c r="N42" s="35">
        <f t="shared" si="21"/>
        <v>0</v>
      </c>
      <c r="O42" s="35">
        <f t="shared" si="21"/>
        <v>0</v>
      </c>
      <c r="P42" s="35">
        <f t="shared" si="21"/>
        <v>0</v>
      </c>
      <c r="Q42" s="35">
        <f t="shared" si="21"/>
        <v>0</v>
      </c>
      <c r="R42" s="35">
        <f t="shared" si="21"/>
        <v>0</v>
      </c>
      <c r="S42" s="35">
        <f t="shared" si="21"/>
        <v>0</v>
      </c>
      <c r="T42" s="35">
        <f t="shared" si="21"/>
        <v>0</v>
      </c>
      <c r="U42" s="35">
        <f t="shared" si="21"/>
        <v>0</v>
      </c>
      <c r="V42" s="35">
        <f t="shared" si="21"/>
        <v>0</v>
      </c>
      <c r="W42" s="35">
        <f t="shared" si="21"/>
        <v>0</v>
      </c>
      <c r="X42" s="35">
        <f t="shared" si="21"/>
        <v>0</v>
      </c>
      <c r="Y42" s="35">
        <f t="shared" si="21"/>
        <v>0</v>
      </c>
      <c r="Z42" s="35">
        <f t="shared" si="21"/>
        <v>0</v>
      </c>
      <c r="AA42" s="35">
        <f t="shared" si="21"/>
        <v>0</v>
      </c>
      <c r="AB42" s="35">
        <f t="shared" si="21"/>
        <v>0</v>
      </c>
      <c r="AC42" s="35">
        <f t="shared" si="21"/>
        <v>0</v>
      </c>
      <c r="AD42" s="35">
        <f t="shared" si="21"/>
        <v>0</v>
      </c>
      <c r="AE42" s="35">
        <f t="shared" si="21"/>
        <v>0</v>
      </c>
      <c r="AF42" s="35">
        <f t="shared" si="21"/>
        <v>0</v>
      </c>
      <c r="AG42" s="35">
        <f t="shared" si="21"/>
        <v>0</v>
      </c>
      <c r="AH42" s="35">
        <f t="shared" si="21"/>
        <v>0</v>
      </c>
      <c r="AI42" s="281">
        <f>+AI41/(A41*A$1)</f>
        <v>0.7021276595744681</v>
      </c>
      <c r="AJ42" s="282">
        <f>AJ41/($A41*30)</f>
        <v>0.72553191489361701</v>
      </c>
    </row>
    <row r="43" spans="1:36" x14ac:dyDescent="0.3">
      <c r="A43" s="203"/>
      <c r="B43" s="33"/>
      <c r="C43" s="34" t="s">
        <v>17</v>
      </c>
      <c r="D43" s="37">
        <f>+IFERROR(D45/D41,0)</f>
        <v>121.69954545454546</v>
      </c>
      <c r="E43" s="37">
        <f t="shared" ref="E43:AH43" si="22">+IFERROR(E45/E41,0)</f>
        <v>0</v>
      </c>
      <c r="F43" s="37">
        <f t="shared" si="22"/>
        <v>0</v>
      </c>
      <c r="G43" s="37">
        <f t="shared" si="22"/>
        <v>0</v>
      </c>
      <c r="H43" s="37">
        <f t="shared" si="22"/>
        <v>0</v>
      </c>
      <c r="I43" s="37">
        <f t="shared" si="22"/>
        <v>0</v>
      </c>
      <c r="J43" s="37">
        <f t="shared" si="22"/>
        <v>0</v>
      </c>
      <c r="K43" s="37">
        <f t="shared" si="22"/>
        <v>0</v>
      </c>
      <c r="L43" s="37">
        <f t="shared" si="22"/>
        <v>0</v>
      </c>
      <c r="M43" s="37">
        <f t="shared" si="22"/>
        <v>0</v>
      </c>
      <c r="N43" s="37">
        <f t="shared" si="22"/>
        <v>0</v>
      </c>
      <c r="O43" s="37">
        <f t="shared" si="22"/>
        <v>0</v>
      </c>
      <c r="P43" s="37">
        <f t="shared" si="22"/>
        <v>0</v>
      </c>
      <c r="Q43" s="37">
        <f>+IFERROR(Q45/Q41,0)</f>
        <v>0</v>
      </c>
      <c r="R43" s="37">
        <f t="shared" si="22"/>
        <v>0</v>
      </c>
      <c r="S43" s="37">
        <f t="shared" si="22"/>
        <v>0</v>
      </c>
      <c r="T43" s="37">
        <f t="shared" si="22"/>
        <v>0</v>
      </c>
      <c r="U43" s="37">
        <f t="shared" si="22"/>
        <v>0</v>
      </c>
      <c r="V43" s="37">
        <f t="shared" si="22"/>
        <v>0</v>
      </c>
      <c r="W43" s="37">
        <f t="shared" si="22"/>
        <v>0</v>
      </c>
      <c r="X43" s="37">
        <f t="shared" si="22"/>
        <v>0</v>
      </c>
      <c r="Y43" s="37">
        <f t="shared" si="22"/>
        <v>0</v>
      </c>
      <c r="Z43" s="37">
        <f t="shared" si="22"/>
        <v>0</v>
      </c>
      <c r="AA43" s="37">
        <f t="shared" si="22"/>
        <v>0</v>
      </c>
      <c r="AB43" s="37">
        <f t="shared" si="22"/>
        <v>0</v>
      </c>
      <c r="AC43" s="37">
        <f t="shared" si="22"/>
        <v>0</v>
      </c>
      <c r="AD43" s="37">
        <f t="shared" si="22"/>
        <v>0</v>
      </c>
      <c r="AE43" s="37">
        <f t="shared" si="22"/>
        <v>0</v>
      </c>
      <c r="AF43" s="37">
        <f t="shared" si="22"/>
        <v>0</v>
      </c>
      <c r="AG43" s="37">
        <f t="shared" si="22"/>
        <v>0</v>
      </c>
      <c r="AH43" s="37">
        <f t="shared" si="22"/>
        <v>0</v>
      </c>
      <c r="AI43" s="283">
        <f>+AI45/AI41</f>
        <v>121.69954545454546</v>
      </c>
      <c r="AJ43" s="279">
        <f>+AJ45/AJ41</f>
        <v>121.69954545454544</v>
      </c>
    </row>
    <row r="44" spans="1:36" x14ac:dyDescent="0.3">
      <c r="A44" s="203"/>
      <c r="B44" s="33"/>
      <c r="C44" s="34" t="s">
        <v>18</v>
      </c>
      <c r="D44" s="37">
        <f>+D42*D43</f>
        <v>85.448617021276604</v>
      </c>
      <c r="E44" s="37">
        <f t="shared" ref="E44:AH44" si="23">+E42*E43</f>
        <v>0</v>
      </c>
      <c r="F44" s="37">
        <f t="shared" si="23"/>
        <v>0</v>
      </c>
      <c r="G44" s="37">
        <f t="shared" si="23"/>
        <v>0</v>
      </c>
      <c r="H44" s="37">
        <f t="shared" si="23"/>
        <v>0</v>
      </c>
      <c r="I44" s="37">
        <f t="shared" si="23"/>
        <v>0</v>
      </c>
      <c r="J44" s="37">
        <f t="shared" si="23"/>
        <v>0</v>
      </c>
      <c r="K44" s="37">
        <f t="shared" si="23"/>
        <v>0</v>
      </c>
      <c r="L44" s="37">
        <f t="shared" si="23"/>
        <v>0</v>
      </c>
      <c r="M44" s="37">
        <f t="shared" si="23"/>
        <v>0</v>
      </c>
      <c r="N44" s="37">
        <f t="shared" si="23"/>
        <v>0</v>
      </c>
      <c r="O44" s="37">
        <f t="shared" si="23"/>
        <v>0</v>
      </c>
      <c r="P44" s="37">
        <f t="shared" si="23"/>
        <v>0</v>
      </c>
      <c r="Q44" s="37">
        <f t="shared" si="23"/>
        <v>0</v>
      </c>
      <c r="R44" s="37">
        <f t="shared" si="23"/>
        <v>0</v>
      </c>
      <c r="S44" s="37">
        <f t="shared" si="23"/>
        <v>0</v>
      </c>
      <c r="T44" s="37">
        <f t="shared" si="23"/>
        <v>0</v>
      </c>
      <c r="U44" s="37">
        <f t="shared" si="23"/>
        <v>0</v>
      </c>
      <c r="V44" s="37">
        <f t="shared" si="23"/>
        <v>0</v>
      </c>
      <c r="W44" s="37">
        <f t="shared" si="23"/>
        <v>0</v>
      </c>
      <c r="X44" s="37">
        <f t="shared" si="23"/>
        <v>0</v>
      </c>
      <c r="Y44" s="37">
        <f t="shared" si="23"/>
        <v>0</v>
      </c>
      <c r="Z44" s="37">
        <f t="shared" si="23"/>
        <v>0</v>
      </c>
      <c r="AA44" s="37">
        <f t="shared" si="23"/>
        <v>0</v>
      </c>
      <c r="AB44" s="37">
        <f t="shared" si="23"/>
        <v>0</v>
      </c>
      <c r="AC44" s="37">
        <f t="shared" si="23"/>
        <v>0</v>
      </c>
      <c r="AD44" s="37">
        <f t="shared" si="23"/>
        <v>0</v>
      </c>
      <c r="AE44" s="37">
        <f t="shared" si="23"/>
        <v>0</v>
      </c>
      <c r="AF44" s="37">
        <f t="shared" si="23"/>
        <v>0</v>
      </c>
      <c r="AG44" s="37">
        <f t="shared" si="23"/>
        <v>0</v>
      </c>
      <c r="AH44" s="37">
        <f t="shared" si="23"/>
        <v>0</v>
      </c>
      <c r="AI44" s="283">
        <f>+AI43*AI42</f>
        <v>85.448617021276604</v>
      </c>
      <c r="AJ44" s="279">
        <f>+AJ42*AJ43</f>
        <v>88.296904255319134</v>
      </c>
    </row>
    <row r="45" spans="1:36" ht="15" thickBot="1" x14ac:dyDescent="0.35">
      <c r="A45" s="203"/>
      <c r="B45" s="33"/>
      <c r="C45" s="34" t="s">
        <v>19</v>
      </c>
      <c r="D45">
        <v>8032.17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 s="284">
        <f>SUM(D45:AH45)</f>
        <v>8032.17</v>
      </c>
      <c r="AJ45" s="285">
        <f>+AI45/$A$1*$AK$1</f>
        <v>248997.27</v>
      </c>
    </row>
    <row r="46" spans="1:36" x14ac:dyDescent="0.3">
      <c r="A46" s="203">
        <v>133</v>
      </c>
      <c r="B46" s="159" t="s">
        <v>30</v>
      </c>
      <c r="C46" s="160" t="s">
        <v>15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 s="302">
        <f>SUM(D46:AH46)</f>
        <v>0</v>
      </c>
      <c r="AJ46" s="303">
        <f>+$AI46/$A$1*$AK$1</f>
        <v>0</v>
      </c>
    </row>
    <row r="47" spans="1:36" x14ac:dyDescent="0.3">
      <c r="A47" s="203"/>
      <c r="B47" s="162"/>
      <c r="C47" s="163" t="s">
        <v>16</v>
      </c>
      <c r="D47" s="164">
        <f>D46/$A$46</f>
        <v>0</v>
      </c>
      <c r="E47" s="164">
        <f t="shared" ref="E47:W47" si="24">E46/$A$46</f>
        <v>0</v>
      </c>
      <c r="F47" s="164">
        <f t="shared" si="24"/>
        <v>0</v>
      </c>
      <c r="G47" s="164">
        <f t="shared" si="24"/>
        <v>0</v>
      </c>
      <c r="H47" s="164">
        <f t="shared" si="24"/>
        <v>0</v>
      </c>
      <c r="I47" s="164">
        <f t="shared" si="24"/>
        <v>0</v>
      </c>
      <c r="J47" s="164">
        <f t="shared" si="24"/>
        <v>0</v>
      </c>
      <c r="K47" s="164">
        <f t="shared" si="24"/>
        <v>0</v>
      </c>
      <c r="L47" s="164">
        <f t="shared" si="24"/>
        <v>0</v>
      </c>
      <c r="M47" s="164">
        <f t="shared" si="24"/>
        <v>0</v>
      </c>
      <c r="N47" s="164">
        <f t="shared" si="24"/>
        <v>0</v>
      </c>
      <c r="O47" s="164">
        <f t="shared" si="24"/>
        <v>0</v>
      </c>
      <c r="P47" s="164">
        <f t="shared" si="24"/>
        <v>0</v>
      </c>
      <c r="Q47" s="164">
        <f>Q46/$A$46</f>
        <v>0</v>
      </c>
      <c r="R47" s="164">
        <f t="shared" si="24"/>
        <v>0</v>
      </c>
      <c r="S47" s="164">
        <f t="shared" si="24"/>
        <v>0</v>
      </c>
      <c r="T47" s="164">
        <f t="shared" si="24"/>
        <v>0</v>
      </c>
      <c r="U47" s="164">
        <f t="shared" si="24"/>
        <v>0</v>
      </c>
      <c r="V47" s="164">
        <f t="shared" si="24"/>
        <v>0</v>
      </c>
      <c r="W47" s="164">
        <f t="shared" si="24"/>
        <v>0</v>
      </c>
      <c r="X47" s="164">
        <f>X46/$A$46</f>
        <v>0</v>
      </c>
      <c r="Y47" s="164">
        <f t="shared" ref="Y47:AH47" si="25">Y46/$A$46</f>
        <v>0</v>
      </c>
      <c r="Z47" s="164">
        <f t="shared" si="25"/>
        <v>0</v>
      </c>
      <c r="AA47" s="164">
        <f t="shared" si="25"/>
        <v>0</v>
      </c>
      <c r="AB47" s="164">
        <f t="shared" si="25"/>
        <v>0</v>
      </c>
      <c r="AC47" s="164">
        <f t="shared" si="25"/>
        <v>0</v>
      </c>
      <c r="AD47" s="164">
        <f t="shared" si="25"/>
        <v>0</v>
      </c>
      <c r="AE47" s="164">
        <f t="shared" si="25"/>
        <v>0</v>
      </c>
      <c r="AF47" s="164">
        <f t="shared" si="25"/>
        <v>0</v>
      </c>
      <c r="AG47" s="164">
        <f>AG46/$A$46</f>
        <v>0</v>
      </c>
      <c r="AH47" s="164">
        <f t="shared" si="25"/>
        <v>0</v>
      </c>
      <c r="AI47" s="290">
        <f>+AI46/(A46*A$1)</f>
        <v>0</v>
      </c>
      <c r="AJ47" s="304">
        <f>AJ46/($A46*AK1)</f>
        <v>0</v>
      </c>
    </row>
    <row r="48" spans="1:36" x14ac:dyDescent="0.3">
      <c r="A48" s="203"/>
      <c r="B48" s="162"/>
      <c r="C48" s="163" t="s">
        <v>17</v>
      </c>
      <c r="D48" s="165">
        <f>+IFERROR(D50/D46,0)</f>
        <v>0</v>
      </c>
      <c r="E48" s="165">
        <f t="shared" ref="E48:AH48" si="26">+IFERROR(E50/E46,0)</f>
        <v>0</v>
      </c>
      <c r="F48" s="165">
        <f t="shared" si="26"/>
        <v>0</v>
      </c>
      <c r="G48" s="165">
        <f t="shared" si="26"/>
        <v>0</v>
      </c>
      <c r="H48" s="165">
        <f t="shared" si="26"/>
        <v>0</v>
      </c>
      <c r="I48" s="165">
        <f t="shared" si="26"/>
        <v>0</v>
      </c>
      <c r="J48" s="165">
        <f t="shared" si="26"/>
        <v>0</v>
      </c>
      <c r="K48" s="165">
        <f t="shared" si="26"/>
        <v>0</v>
      </c>
      <c r="L48" s="165">
        <f t="shared" si="26"/>
        <v>0</v>
      </c>
      <c r="M48" s="165">
        <f t="shared" si="26"/>
        <v>0</v>
      </c>
      <c r="N48" s="165">
        <f t="shared" si="26"/>
        <v>0</v>
      </c>
      <c r="O48" s="165">
        <f t="shared" si="26"/>
        <v>0</v>
      </c>
      <c r="P48" s="165">
        <f t="shared" si="26"/>
        <v>0</v>
      </c>
      <c r="Q48" s="165">
        <f>+IFERROR(Q50/Q46,0)</f>
        <v>0</v>
      </c>
      <c r="R48" s="165">
        <f t="shared" si="26"/>
        <v>0</v>
      </c>
      <c r="S48" s="165">
        <f t="shared" si="26"/>
        <v>0</v>
      </c>
      <c r="T48" s="165">
        <f t="shared" si="26"/>
        <v>0</v>
      </c>
      <c r="U48" s="165">
        <f t="shared" si="26"/>
        <v>0</v>
      </c>
      <c r="V48" s="165">
        <f t="shared" si="26"/>
        <v>0</v>
      </c>
      <c r="W48" s="165">
        <f t="shared" si="26"/>
        <v>0</v>
      </c>
      <c r="X48" s="165">
        <f t="shared" si="26"/>
        <v>0</v>
      </c>
      <c r="Y48" s="165">
        <f t="shared" si="26"/>
        <v>0</v>
      </c>
      <c r="Z48" s="165">
        <f t="shared" si="26"/>
        <v>0</v>
      </c>
      <c r="AA48" s="165">
        <f t="shared" si="26"/>
        <v>0</v>
      </c>
      <c r="AB48" s="165">
        <f t="shared" si="26"/>
        <v>0</v>
      </c>
      <c r="AC48" s="165">
        <f t="shared" si="26"/>
        <v>0</v>
      </c>
      <c r="AD48" s="165">
        <f t="shared" si="26"/>
        <v>0</v>
      </c>
      <c r="AE48" s="165">
        <f t="shared" si="26"/>
        <v>0</v>
      </c>
      <c r="AF48" s="165">
        <f t="shared" si="26"/>
        <v>0</v>
      </c>
      <c r="AG48" s="165">
        <f>+IFERROR(AG50/AG46,0)</f>
        <v>0</v>
      </c>
      <c r="AH48" s="165">
        <f t="shared" si="26"/>
        <v>0</v>
      </c>
      <c r="AI48" s="292" t="e">
        <f>+AI50/AI46</f>
        <v>#DIV/0!</v>
      </c>
      <c r="AJ48" s="305" t="e">
        <f>+AJ50/AJ46</f>
        <v>#DIV/0!</v>
      </c>
    </row>
    <row r="49" spans="1:36" x14ac:dyDescent="0.3">
      <c r="A49" s="203"/>
      <c r="B49" s="162"/>
      <c r="C49" s="163" t="s">
        <v>18</v>
      </c>
      <c r="D49" s="165">
        <f>+D47*D48</f>
        <v>0</v>
      </c>
      <c r="E49" s="165">
        <f t="shared" ref="E49:AH49" si="27">+E47*E48</f>
        <v>0</v>
      </c>
      <c r="F49" s="165">
        <f t="shared" si="27"/>
        <v>0</v>
      </c>
      <c r="G49" s="165">
        <f t="shared" si="27"/>
        <v>0</v>
      </c>
      <c r="H49" s="165">
        <f t="shared" si="27"/>
        <v>0</v>
      </c>
      <c r="I49" s="165">
        <f t="shared" si="27"/>
        <v>0</v>
      </c>
      <c r="J49" s="165">
        <f t="shared" si="27"/>
        <v>0</v>
      </c>
      <c r="K49" s="165">
        <f t="shared" si="27"/>
        <v>0</v>
      </c>
      <c r="L49" s="165">
        <f t="shared" si="27"/>
        <v>0</v>
      </c>
      <c r="M49" s="165">
        <f t="shared" si="27"/>
        <v>0</v>
      </c>
      <c r="N49" s="165">
        <f t="shared" si="27"/>
        <v>0</v>
      </c>
      <c r="O49" s="165">
        <f t="shared" si="27"/>
        <v>0</v>
      </c>
      <c r="P49" s="165">
        <f t="shared" si="27"/>
        <v>0</v>
      </c>
      <c r="Q49" s="165">
        <f t="shared" si="27"/>
        <v>0</v>
      </c>
      <c r="R49" s="165">
        <f t="shared" si="27"/>
        <v>0</v>
      </c>
      <c r="S49" s="165">
        <f t="shared" si="27"/>
        <v>0</v>
      </c>
      <c r="T49" s="165">
        <f t="shared" si="27"/>
        <v>0</v>
      </c>
      <c r="U49" s="165">
        <f t="shared" si="27"/>
        <v>0</v>
      </c>
      <c r="V49" s="165">
        <f t="shared" si="27"/>
        <v>0</v>
      </c>
      <c r="W49" s="165">
        <f t="shared" si="27"/>
        <v>0</v>
      </c>
      <c r="X49" s="165">
        <f t="shared" si="27"/>
        <v>0</v>
      </c>
      <c r="Y49" s="165">
        <f t="shared" si="27"/>
        <v>0</v>
      </c>
      <c r="Z49" s="165">
        <f t="shared" si="27"/>
        <v>0</v>
      </c>
      <c r="AA49" s="165">
        <f t="shared" si="27"/>
        <v>0</v>
      </c>
      <c r="AB49" s="165">
        <f t="shared" si="27"/>
        <v>0</v>
      </c>
      <c r="AC49" s="165">
        <f t="shared" si="27"/>
        <v>0</v>
      </c>
      <c r="AD49" s="165">
        <f t="shared" si="27"/>
        <v>0</v>
      </c>
      <c r="AE49" s="165">
        <f t="shared" si="27"/>
        <v>0</v>
      </c>
      <c r="AF49" s="165">
        <f t="shared" si="27"/>
        <v>0</v>
      </c>
      <c r="AG49" s="165">
        <f t="shared" si="27"/>
        <v>0</v>
      </c>
      <c r="AH49" s="165">
        <f t="shared" si="27"/>
        <v>0</v>
      </c>
      <c r="AI49" s="292" t="e">
        <f>+AI47*AI48</f>
        <v>#DIV/0!</v>
      </c>
      <c r="AJ49" s="305" t="e">
        <f>+AJ47*AJ48</f>
        <v>#DIV/0!</v>
      </c>
    </row>
    <row r="50" spans="1:36" s="248" customFormat="1" ht="15" thickBot="1" x14ac:dyDescent="0.35">
      <c r="A50" s="238"/>
      <c r="B50" s="212"/>
      <c r="C50" s="213" t="s">
        <v>31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 s="215">
        <f>SUM(D50:AH50)</f>
        <v>0</v>
      </c>
      <c r="AJ50" s="306">
        <f>+AI50/$A$1*$AK$1</f>
        <v>0</v>
      </c>
    </row>
    <row r="51" spans="1:36" x14ac:dyDescent="0.3">
      <c r="A51" s="203">
        <v>91</v>
      </c>
      <c r="B51" s="159" t="s">
        <v>32</v>
      </c>
      <c r="C51" s="160" t="s">
        <v>15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 s="302">
        <f>SUM(D51:AH51)</f>
        <v>0</v>
      </c>
      <c r="AJ51" s="289">
        <f>+$AI51/$A$1*$AK$1</f>
        <v>0</v>
      </c>
    </row>
    <row r="52" spans="1:36" x14ac:dyDescent="0.3">
      <c r="A52" s="203"/>
      <c r="B52" s="162"/>
      <c r="C52" s="163" t="s">
        <v>16</v>
      </c>
      <c r="D52" s="164">
        <f t="shared" ref="D52:G52" si="28">D51/$A$51</f>
        <v>0</v>
      </c>
      <c r="E52" s="164">
        <f t="shared" si="28"/>
        <v>0</v>
      </c>
      <c r="F52" s="164">
        <f t="shared" si="28"/>
        <v>0</v>
      </c>
      <c r="G52" s="164">
        <f t="shared" si="28"/>
        <v>0</v>
      </c>
      <c r="H52" s="164">
        <f>H51/$A$51</f>
        <v>0</v>
      </c>
      <c r="I52" s="164">
        <f t="shared" ref="I52:AH52" si="29">I51/$A$51</f>
        <v>0</v>
      </c>
      <c r="J52" s="164">
        <f t="shared" si="29"/>
        <v>0</v>
      </c>
      <c r="K52" s="164">
        <f t="shared" si="29"/>
        <v>0</v>
      </c>
      <c r="L52" s="164">
        <f t="shared" si="29"/>
        <v>0</v>
      </c>
      <c r="M52" s="164">
        <f t="shared" si="29"/>
        <v>0</v>
      </c>
      <c r="N52" s="164">
        <f t="shared" si="29"/>
        <v>0</v>
      </c>
      <c r="O52" s="164">
        <f t="shared" si="29"/>
        <v>0</v>
      </c>
      <c r="P52" s="164">
        <f t="shared" si="29"/>
        <v>0</v>
      </c>
      <c r="Q52" s="164">
        <f>Q51/$A$51</f>
        <v>0</v>
      </c>
      <c r="R52" s="164">
        <f t="shared" si="29"/>
        <v>0</v>
      </c>
      <c r="S52" s="164">
        <f t="shared" si="29"/>
        <v>0</v>
      </c>
      <c r="T52" s="164">
        <f t="shared" si="29"/>
        <v>0</v>
      </c>
      <c r="U52" s="164">
        <f t="shared" si="29"/>
        <v>0</v>
      </c>
      <c r="V52" s="164">
        <f t="shared" si="29"/>
        <v>0</v>
      </c>
      <c r="W52" s="164">
        <f t="shared" si="29"/>
        <v>0</v>
      </c>
      <c r="X52" s="164">
        <f t="shared" si="29"/>
        <v>0</v>
      </c>
      <c r="Y52" s="164">
        <f t="shared" si="29"/>
        <v>0</v>
      </c>
      <c r="Z52" s="164">
        <f t="shared" si="29"/>
        <v>0</v>
      </c>
      <c r="AA52" s="164">
        <f t="shared" si="29"/>
        <v>0</v>
      </c>
      <c r="AB52" s="164">
        <f t="shared" si="29"/>
        <v>0</v>
      </c>
      <c r="AC52" s="164">
        <f t="shared" si="29"/>
        <v>0</v>
      </c>
      <c r="AD52" s="164">
        <f t="shared" si="29"/>
        <v>0</v>
      </c>
      <c r="AE52" s="164">
        <f t="shared" si="29"/>
        <v>0</v>
      </c>
      <c r="AF52" s="164">
        <f t="shared" si="29"/>
        <v>0</v>
      </c>
      <c r="AG52" s="164">
        <f t="shared" si="29"/>
        <v>0</v>
      </c>
      <c r="AH52" s="164">
        <f t="shared" si="29"/>
        <v>0</v>
      </c>
      <c r="AI52" s="290">
        <f>+AI51/(A51*A$1)</f>
        <v>0</v>
      </c>
      <c r="AJ52" s="291">
        <f>AJ51/($A51*AK1)</f>
        <v>0</v>
      </c>
    </row>
    <row r="53" spans="1:36" x14ac:dyDescent="0.3">
      <c r="A53" s="203"/>
      <c r="B53" s="162"/>
      <c r="C53" s="163" t="s">
        <v>17</v>
      </c>
      <c r="D53" s="165">
        <f>+IFERROR(D55/D51,0)</f>
        <v>0</v>
      </c>
      <c r="E53" s="165">
        <f t="shared" ref="E53:AH53" si="30">+IFERROR(E55/E51,0)</f>
        <v>0</v>
      </c>
      <c r="F53" s="165">
        <f t="shared" si="30"/>
        <v>0</v>
      </c>
      <c r="G53" s="165">
        <f t="shared" si="30"/>
        <v>0</v>
      </c>
      <c r="H53" s="165">
        <f t="shared" si="30"/>
        <v>0</v>
      </c>
      <c r="I53" s="165">
        <f t="shared" si="30"/>
        <v>0</v>
      </c>
      <c r="J53" s="165">
        <f t="shared" si="30"/>
        <v>0</v>
      </c>
      <c r="K53" s="165">
        <f t="shared" si="30"/>
        <v>0</v>
      </c>
      <c r="L53" s="165">
        <f t="shared" si="30"/>
        <v>0</v>
      </c>
      <c r="M53" s="165">
        <f t="shared" si="30"/>
        <v>0</v>
      </c>
      <c r="N53" s="165">
        <f t="shared" si="30"/>
        <v>0</v>
      </c>
      <c r="O53" s="165">
        <f t="shared" si="30"/>
        <v>0</v>
      </c>
      <c r="P53" s="165">
        <f t="shared" si="30"/>
        <v>0</v>
      </c>
      <c r="Q53" s="165">
        <f>+IFERROR(Q55/Q51,0)</f>
        <v>0</v>
      </c>
      <c r="R53" s="165">
        <f t="shared" si="30"/>
        <v>0</v>
      </c>
      <c r="S53" s="165">
        <f t="shared" si="30"/>
        <v>0</v>
      </c>
      <c r="T53" s="165">
        <f t="shared" si="30"/>
        <v>0</v>
      </c>
      <c r="U53" s="165">
        <f t="shared" si="30"/>
        <v>0</v>
      </c>
      <c r="V53" s="165">
        <f t="shared" si="30"/>
        <v>0</v>
      </c>
      <c r="W53" s="165">
        <f t="shared" si="30"/>
        <v>0</v>
      </c>
      <c r="X53" s="165">
        <f t="shared" si="30"/>
        <v>0</v>
      </c>
      <c r="Y53" s="165">
        <f t="shared" si="30"/>
        <v>0</v>
      </c>
      <c r="Z53" s="165">
        <f t="shared" si="30"/>
        <v>0</v>
      </c>
      <c r="AA53" s="165">
        <f t="shared" si="30"/>
        <v>0</v>
      </c>
      <c r="AB53" s="165">
        <f t="shared" si="30"/>
        <v>0</v>
      </c>
      <c r="AC53" s="165">
        <f t="shared" si="30"/>
        <v>0</v>
      </c>
      <c r="AD53" s="165">
        <f t="shared" si="30"/>
        <v>0</v>
      </c>
      <c r="AE53" s="165">
        <f t="shared" si="30"/>
        <v>0</v>
      </c>
      <c r="AF53" s="165">
        <f t="shared" si="30"/>
        <v>0</v>
      </c>
      <c r="AG53" s="165">
        <f t="shared" si="30"/>
        <v>0</v>
      </c>
      <c r="AH53" s="165">
        <f t="shared" si="30"/>
        <v>0</v>
      </c>
      <c r="AI53" s="292" t="e">
        <f>+AI55/AI51</f>
        <v>#DIV/0!</v>
      </c>
      <c r="AJ53" s="293" t="e">
        <f>+AJ55/AJ51</f>
        <v>#DIV/0!</v>
      </c>
    </row>
    <row r="54" spans="1:36" x14ac:dyDescent="0.3">
      <c r="A54" s="203"/>
      <c r="B54" s="162"/>
      <c r="C54" s="163" t="s">
        <v>18</v>
      </c>
      <c r="D54" s="165">
        <f>+D52*D53</f>
        <v>0</v>
      </c>
      <c r="E54" s="165">
        <f t="shared" ref="E54:AH54" si="31">+E52*E53</f>
        <v>0</v>
      </c>
      <c r="F54" s="165">
        <f t="shared" si="31"/>
        <v>0</v>
      </c>
      <c r="G54" s="165">
        <f t="shared" si="31"/>
        <v>0</v>
      </c>
      <c r="H54" s="165">
        <f t="shared" si="31"/>
        <v>0</v>
      </c>
      <c r="I54" s="165">
        <f t="shared" si="31"/>
        <v>0</v>
      </c>
      <c r="J54" s="165">
        <f t="shared" si="31"/>
        <v>0</v>
      </c>
      <c r="K54" s="165">
        <f t="shared" si="31"/>
        <v>0</v>
      </c>
      <c r="L54" s="165">
        <f t="shared" si="31"/>
        <v>0</v>
      </c>
      <c r="M54" s="165">
        <f t="shared" si="31"/>
        <v>0</v>
      </c>
      <c r="N54" s="165">
        <f t="shared" si="31"/>
        <v>0</v>
      </c>
      <c r="O54" s="165">
        <f t="shared" si="31"/>
        <v>0</v>
      </c>
      <c r="P54" s="165">
        <f t="shared" si="31"/>
        <v>0</v>
      </c>
      <c r="Q54" s="165">
        <f t="shared" si="31"/>
        <v>0</v>
      </c>
      <c r="R54" s="165">
        <f t="shared" si="31"/>
        <v>0</v>
      </c>
      <c r="S54" s="165">
        <f t="shared" si="31"/>
        <v>0</v>
      </c>
      <c r="T54" s="165">
        <f t="shared" si="31"/>
        <v>0</v>
      </c>
      <c r="U54" s="165">
        <f t="shared" si="31"/>
        <v>0</v>
      </c>
      <c r="V54" s="165">
        <f t="shared" si="31"/>
        <v>0</v>
      </c>
      <c r="W54" s="165">
        <f t="shared" si="31"/>
        <v>0</v>
      </c>
      <c r="X54" s="165">
        <f t="shared" si="31"/>
        <v>0</v>
      </c>
      <c r="Y54" s="165">
        <f t="shared" si="31"/>
        <v>0</v>
      </c>
      <c r="Z54" s="165">
        <f t="shared" si="31"/>
        <v>0</v>
      </c>
      <c r="AA54" s="165">
        <f t="shared" si="31"/>
        <v>0</v>
      </c>
      <c r="AB54" s="165">
        <f>+AB52*AB53</f>
        <v>0</v>
      </c>
      <c r="AC54" s="165">
        <f t="shared" si="31"/>
        <v>0</v>
      </c>
      <c r="AD54" s="165">
        <f t="shared" si="31"/>
        <v>0</v>
      </c>
      <c r="AE54" s="165">
        <f t="shared" si="31"/>
        <v>0</v>
      </c>
      <c r="AF54" s="165">
        <f t="shared" si="31"/>
        <v>0</v>
      </c>
      <c r="AG54" s="165">
        <f t="shared" si="31"/>
        <v>0</v>
      </c>
      <c r="AH54" s="165">
        <f t="shared" si="31"/>
        <v>0</v>
      </c>
      <c r="AI54" s="292" t="e">
        <f>+AI52*AI53</f>
        <v>#DIV/0!</v>
      </c>
      <c r="AJ54" s="293" t="e">
        <f>+AJ52*AJ53</f>
        <v>#DIV/0!</v>
      </c>
    </row>
    <row r="55" spans="1:36" s="248" customFormat="1" ht="15" thickBot="1" x14ac:dyDescent="0.35">
      <c r="A55" s="238"/>
      <c r="B55" s="212"/>
      <c r="C55" s="213" t="s">
        <v>31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 s="215">
        <f>SUM(D55:AH55)</f>
        <v>0</v>
      </c>
      <c r="AJ55" s="307">
        <f>+AI55/$A$1*$AK$1</f>
        <v>0</v>
      </c>
    </row>
    <row r="56" spans="1:36" s="248" customFormat="1" ht="15" hidden="1" thickBot="1" x14ac:dyDescent="0.35">
      <c r="A56" s="238"/>
      <c r="B56" s="256"/>
      <c r="C56" s="257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 s="259"/>
      <c r="AJ56" s="295"/>
    </row>
    <row r="57" spans="1:36" x14ac:dyDescent="0.3">
      <c r="A57" s="203">
        <v>224</v>
      </c>
      <c r="B57" s="159" t="s">
        <v>33</v>
      </c>
      <c r="C57" s="160" t="s">
        <v>19</v>
      </c>
      <c r="D57" s="2">
        <f t="shared" ref="D57:AH57" si="32">+D55+D50</f>
        <v>0</v>
      </c>
      <c r="E57" s="2">
        <f t="shared" si="32"/>
        <v>0</v>
      </c>
      <c r="F57" s="2">
        <f t="shared" si="32"/>
        <v>0</v>
      </c>
      <c r="G57" s="2">
        <f t="shared" si="32"/>
        <v>0</v>
      </c>
      <c r="H57" s="2">
        <f t="shared" si="32"/>
        <v>0</v>
      </c>
      <c r="I57" s="2">
        <f t="shared" si="32"/>
        <v>0</v>
      </c>
      <c r="J57" s="2">
        <f t="shared" si="32"/>
        <v>0</v>
      </c>
      <c r="K57" s="2">
        <f t="shared" si="32"/>
        <v>0</v>
      </c>
      <c r="L57" s="2">
        <f t="shared" si="32"/>
        <v>0</v>
      </c>
      <c r="M57" s="2">
        <f t="shared" si="32"/>
        <v>0</v>
      </c>
      <c r="N57" s="2">
        <f t="shared" si="32"/>
        <v>0</v>
      </c>
      <c r="O57" s="2">
        <f t="shared" si="32"/>
        <v>0</v>
      </c>
      <c r="P57" s="2">
        <f t="shared" si="32"/>
        <v>0</v>
      </c>
      <c r="Q57" s="2">
        <f t="shared" si="32"/>
        <v>0</v>
      </c>
      <c r="R57" s="2">
        <f t="shared" si="32"/>
        <v>0</v>
      </c>
      <c r="S57" s="2">
        <f t="shared" si="32"/>
        <v>0</v>
      </c>
      <c r="T57" s="2">
        <f t="shared" si="32"/>
        <v>0</v>
      </c>
      <c r="U57" s="2">
        <f t="shared" si="32"/>
        <v>0</v>
      </c>
      <c r="V57" s="2">
        <f t="shared" si="32"/>
        <v>0</v>
      </c>
      <c r="W57" s="2">
        <f t="shared" si="32"/>
        <v>0</v>
      </c>
      <c r="X57" s="2">
        <f t="shared" si="32"/>
        <v>0</v>
      </c>
      <c r="Y57" s="2">
        <f t="shared" si="32"/>
        <v>0</v>
      </c>
      <c r="Z57" s="2">
        <f t="shared" si="32"/>
        <v>0</v>
      </c>
      <c r="AA57" s="2">
        <f t="shared" si="32"/>
        <v>0</v>
      </c>
      <c r="AB57" s="2">
        <f t="shared" si="32"/>
        <v>0</v>
      </c>
      <c r="AC57" s="2">
        <f t="shared" si="32"/>
        <v>0</v>
      </c>
      <c r="AD57" s="2">
        <f t="shared" si="32"/>
        <v>0</v>
      </c>
      <c r="AE57" s="2">
        <f t="shared" si="32"/>
        <v>0</v>
      </c>
      <c r="AF57" s="2">
        <f t="shared" si="32"/>
        <v>0</v>
      </c>
      <c r="AG57" s="2">
        <f t="shared" si="32"/>
        <v>0</v>
      </c>
      <c r="AH57" s="2">
        <f t="shared" si="32"/>
        <v>0</v>
      </c>
      <c r="AI57" s="308">
        <f>SUM(D57:AG57)</f>
        <v>0</v>
      </c>
      <c r="AJ57" s="293">
        <f>+AJ55+AJ50</f>
        <v>0</v>
      </c>
    </row>
    <row r="58" spans="1:36" x14ac:dyDescent="0.3">
      <c r="A58" s="203"/>
      <c r="B58" s="162"/>
      <c r="C58" s="163" t="s">
        <v>34</v>
      </c>
      <c r="D58" s="166">
        <f>+D59-D57</f>
        <v>0</v>
      </c>
      <c r="E58" s="166">
        <f t="shared" ref="E58:W58" si="33">+E59-E57</f>
        <v>0</v>
      </c>
      <c r="F58" s="166">
        <f t="shared" si="33"/>
        <v>0</v>
      </c>
      <c r="G58" s="166">
        <f t="shared" si="33"/>
        <v>0</v>
      </c>
      <c r="H58" s="166">
        <f t="shared" si="33"/>
        <v>0</v>
      </c>
      <c r="I58" s="166">
        <f t="shared" si="33"/>
        <v>0</v>
      </c>
      <c r="J58" s="166">
        <f>+J59-J57</f>
        <v>0</v>
      </c>
      <c r="K58" s="166">
        <f t="shared" si="33"/>
        <v>0</v>
      </c>
      <c r="L58" s="166">
        <f>L59-L57</f>
        <v>0</v>
      </c>
      <c r="M58" s="166">
        <f t="shared" si="33"/>
        <v>0</v>
      </c>
      <c r="N58" s="166">
        <f t="shared" si="33"/>
        <v>0</v>
      </c>
      <c r="O58" s="166">
        <f t="shared" si="33"/>
        <v>0</v>
      </c>
      <c r="P58" s="166">
        <f t="shared" si="33"/>
        <v>0</v>
      </c>
      <c r="Q58" s="166">
        <f t="shared" si="33"/>
        <v>0</v>
      </c>
      <c r="R58" s="166">
        <f t="shared" si="33"/>
        <v>0</v>
      </c>
      <c r="S58" s="166">
        <f t="shared" si="33"/>
        <v>0</v>
      </c>
      <c r="T58" s="166">
        <f>+T59-T57</f>
        <v>0</v>
      </c>
      <c r="U58" s="166">
        <f t="shared" si="33"/>
        <v>0</v>
      </c>
      <c r="V58" s="166">
        <f t="shared" si="33"/>
        <v>0</v>
      </c>
      <c r="W58" s="166">
        <f t="shared" si="33"/>
        <v>0</v>
      </c>
      <c r="X58" s="166">
        <f>+X59-X57</f>
        <v>0</v>
      </c>
      <c r="Y58" s="166">
        <f t="shared" ref="Y58:AH58" si="34">+Y59-Y57</f>
        <v>0</v>
      </c>
      <c r="Z58" s="166">
        <f t="shared" si="34"/>
        <v>0</v>
      </c>
      <c r="AA58" s="166">
        <f t="shared" si="34"/>
        <v>0</v>
      </c>
      <c r="AB58" s="166">
        <f t="shared" si="34"/>
        <v>0</v>
      </c>
      <c r="AC58" s="166">
        <f t="shared" si="34"/>
        <v>0</v>
      </c>
      <c r="AD58" s="166">
        <f t="shared" si="34"/>
        <v>0</v>
      </c>
      <c r="AE58" s="166">
        <f t="shared" si="34"/>
        <v>0</v>
      </c>
      <c r="AF58" s="166">
        <f t="shared" si="34"/>
        <v>0</v>
      </c>
      <c r="AG58" s="166">
        <f t="shared" si="34"/>
        <v>0</v>
      </c>
      <c r="AH58" s="166">
        <f t="shared" si="34"/>
        <v>0</v>
      </c>
      <c r="AI58" s="294">
        <f>SUM(D58:AG58)</f>
        <v>0</v>
      </c>
      <c r="AJ58" s="293">
        <f>+AI58/$A$1*AK1</f>
        <v>0</v>
      </c>
    </row>
    <row r="59" spans="1:36" ht="15" thickBot="1" x14ac:dyDescent="0.35">
      <c r="A59" s="203"/>
      <c r="B59" s="205"/>
      <c r="C59" s="206" t="s">
        <v>35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09">
        <f>SUM(D59:AH59)</f>
        <v>0</v>
      </c>
      <c r="AJ59" s="295">
        <f>+AJ57+AJ58</f>
        <v>0</v>
      </c>
    </row>
    <row r="60" spans="1:36" ht="15" hidden="1" thickBot="1" x14ac:dyDescent="0.35">
      <c r="A60" s="203">
        <v>74</v>
      </c>
      <c r="B60" s="33" t="s">
        <v>36</v>
      </c>
      <c r="C60" s="34" t="s">
        <v>15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10">
        <f>SUM(D60:AH60)</f>
        <v>0</v>
      </c>
      <c r="AJ60" s="285">
        <f>+$AI60/$A$1*$AK$1</f>
        <v>0</v>
      </c>
    </row>
    <row r="61" spans="1:36" ht="15" hidden="1" thickBot="1" x14ac:dyDescent="0.35">
      <c r="A61" s="203"/>
      <c r="B61" s="33"/>
      <c r="C61" s="34" t="s">
        <v>16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81">
        <f>+AI60/(A60*A$1)</f>
        <v>0</v>
      </c>
      <c r="AJ61" s="282">
        <f>AJ60/($A60*AK1)</f>
        <v>0</v>
      </c>
    </row>
    <row r="62" spans="1:36" ht="15" hidden="1" thickBot="1" x14ac:dyDescent="0.35">
      <c r="A62" s="203"/>
      <c r="B62" s="33"/>
      <c r="C62" s="34" t="s">
        <v>17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83" t="e">
        <f>+AI64/AI60</f>
        <v>#DIV/0!</v>
      </c>
      <c r="AJ62" s="279" t="e">
        <f>+AJ64/AJ60</f>
        <v>#DIV/0!</v>
      </c>
    </row>
    <row r="63" spans="1:36" ht="15" hidden="1" thickBot="1" x14ac:dyDescent="0.35">
      <c r="A63" s="203"/>
      <c r="B63" s="33"/>
      <c r="C63" s="34" t="s">
        <v>18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83" t="e">
        <f>+AI62*AI61</f>
        <v>#DIV/0!</v>
      </c>
      <c r="AJ63" s="279" t="e">
        <f>+AJ61*AJ62</f>
        <v>#DIV/0!</v>
      </c>
    </row>
    <row r="64" spans="1:36" s="249" customFormat="1" ht="15" hidden="1" thickBot="1" x14ac:dyDescent="0.35">
      <c r="A64" s="203"/>
      <c r="B64" s="141"/>
      <c r="C64" s="65" t="s">
        <v>19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11">
        <f>SUM(D64:AH64)</f>
        <v>0</v>
      </c>
      <c r="AJ64" s="285">
        <f>+AI64/$A$1*$AK$1</f>
        <v>0</v>
      </c>
    </row>
    <row r="65" spans="1:36" x14ac:dyDescent="0.3">
      <c r="A65" s="203">
        <v>120</v>
      </c>
      <c r="B65" s="323" t="s">
        <v>37</v>
      </c>
      <c r="C65" s="163" t="s">
        <v>15</v>
      </c>
      <c r="D65" s="2">
        <v>82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12">
        <f>SUM(D65:AH65)</f>
        <v>82</v>
      </c>
      <c r="AJ65" s="289">
        <f>+$AI65/$A$1*$AK$1</f>
        <v>2542</v>
      </c>
    </row>
    <row r="66" spans="1:36" x14ac:dyDescent="0.3">
      <c r="A66" s="203"/>
      <c r="B66" s="162"/>
      <c r="C66" s="163" t="s">
        <v>16</v>
      </c>
      <c r="D66" s="164">
        <f>+D65/$A65</f>
        <v>0.68333333333333335</v>
      </c>
      <c r="E66" s="164">
        <f t="shared" ref="E66:AH66" si="35">+E65/$A65</f>
        <v>0</v>
      </c>
      <c r="F66" s="164">
        <f t="shared" si="35"/>
        <v>0</v>
      </c>
      <c r="G66" s="164">
        <f t="shared" si="35"/>
        <v>0</v>
      </c>
      <c r="H66" s="164">
        <f t="shared" si="35"/>
        <v>0</v>
      </c>
      <c r="I66" s="164">
        <f t="shared" si="35"/>
        <v>0</v>
      </c>
      <c r="J66" s="164">
        <f t="shared" si="35"/>
        <v>0</v>
      </c>
      <c r="K66" s="164">
        <f t="shared" si="35"/>
        <v>0</v>
      </c>
      <c r="L66" s="164">
        <f t="shared" si="35"/>
        <v>0</v>
      </c>
      <c r="M66" s="164">
        <f t="shared" si="35"/>
        <v>0</v>
      </c>
      <c r="N66" s="164">
        <f t="shared" si="35"/>
        <v>0</v>
      </c>
      <c r="O66" s="164">
        <f t="shared" si="35"/>
        <v>0</v>
      </c>
      <c r="P66" s="164">
        <f>+P65/$A65</f>
        <v>0</v>
      </c>
      <c r="Q66" s="164">
        <f t="shared" ref="Q66:R66" si="36">+Q65/$A65</f>
        <v>0</v>
      </c>
      <c r="R66" s="164">
        <f t="shared" si="36"/>
        <v>0</v>
      </c>
      <c r="S66" s="164">
        <f t="shared" si="35"/>
        <v>0</v>
      </c>
      <c r="T66" s="164">
        <f t="shared" si="35"/>
        <v>0</v>
      </c>
      <c r="U66" s="164">
        <f t="shared" si="35"/>
        <v>0</v>
      </c>
      <c r="V66" s="164">
        <f t="shared" si="35"/>
        <v>0</v>
      </c>
      <c r="W66" s="164">
        <f t="shared" si="35"/>
        <v>0</v>
      </c>
      <c r="X66" s="164">
        <f t="shared" si="35"/>
        <v>0</v>
      </c>
      <c r="Y66" s="164">
        <f t="shared" si="35"/>
        <v>0</v>
      </c>
      <c r="Z66" s="164">
        <f t="shared" si="35"/>
        <v>0</v>
      </c>
      <c r="AA66" s="164">
        <f t="shared" si="35"/>
        <v>0</v>
      </c>
      <c r="AB66" s="164">
        <f t="shared" si="35"/>
        <v>0</v>
      </c>
      <c r="AC66" s="164">
        <f t="shared" si="35"/>
        <v>0</v>
      </c>
      <c r="AD66" s="164">
        <f t="shared" si="35"/>
        <v>0</v>
      </c>
      <c r="AE66" s="164">
        <f t="shared" si="35"/>
        <v>0</v>
      </c>
      <c r="AF66" s="164">
        <f t="shared" si="35"/>
        <v>0</v>
      </c>
      <c r="AG66" s="164">
        <f t="shared" si="35"/>
        <v>0</v>
      </c>
      <c r="AH66" s="164">
        <f t="shared" si="35"/>
        <v>0</v>
      </c>
      <c r="AI66" s="290">
        <f>+AI65/(A65*A$1)</f>
        <v>0.68333333333333335</v>
      </c>
      <c r="AJ66" s="291">
        <f>AJ65/($A65*AK1)</f>
        <v>0.68333333333333335</v>
      </c>
    </row>
    <row r="67" spans="1:36" x14ac:dyDescent="0.3">
      <c r="A67" s="203"/>
      <c r="B67" s="162"/>
      <c r="C67" s="163" t="s">
        <v>17</v>
      </c>
      <c r="D67" s="165">
        <f t="shared" ref="D67:AH67" si="37">+IFERROR(D69/D65,0)</f>
        <v>113.79426829268291</v>
      </c>
      <c r="E67" s="165">
        <f t="shared" si="37"/>
        <v>0</v>
      </c>
      <c r="F67" s="165">
        <f t="shared" si="37"/>
        <v>0</v>
      </c>
      <c r="G67" s="165">
        <f t="shared" si="37"/>
        <v>0</v>
      </c>
      <c r="H67" s="165">
        <f t="shared" si="37"/>
        <v>0</v>
      </c>
      <c r="I67" s="165">
        <f t="shared" si="37"/>
        <v>0</v>
      </c>
      <c r="J67" s="165">
        <f t="shared" si="37"/>
        <v>0</v>
      </c>
      <c r="K67" s="165">
        <f t="shared" si="37"/>
        <v>0</v>
      </c>
      <c r="L67" s="165">
        <f t="shared" si="37"/>
        <v>0</v>
      </c>
      <c r="M67" s="165">
        <f t="shared" si="37"/>
        <v>0</v>
      </c>
      <c r="N67" s="165">
        <f t="shared" si="37"/>
        <v>0</v>
      </c>
      <c r="O67" s="165">
        <f t="shared" si="37"/>
        <v>0</v>
      </c>
      <c r="P67" s="165">
        <f t="shared" si="37"/>
        <v>0</v>
      </c>
      <c r="Q67" s="165">
        <f t="shared" si="37"/>
        <v>0</v>
      </c>
      <c r="R67" s="165">
        <f t="shared" si="37"/>
        <v>0</v>
      </c>
      <c r="S67" s="165">
        <f t="shared" si="37"/>
        <v>0</v>
      </c>
      <c r="T67" s="165">
        <f t="shared" si="37"/>
        <v>0</v>
      </c>
      <c r="U67" s="165">
        <f t="shared" si="37"/>
        <v>0</v>
      </c>
      <c r="V67" s="165">
        <f t="shared" si="37"/>
        <v>0</v>
      </c>
      <c r="W67" s="165">
        <f t="shared" si="37"/>
        <v>0</v>
      </c>
      <c r="X67" s="165">
        <f t="shared" si="37"/>
        <v>0</v>
      </c>
      <c r="Y67" s="165">
        <f t="shared" si="37"/>
        <v>0</v>
      </c>
      <c r="Z67" s="165">
        <f t="shared" si="37"/>
        <v>0</v>
      </c>
      <c r="AA67" s="165">
        <f t="shared" si="37"/>
        <v>0</v>
      </c>
      <c r="AB67" s="165">
        <f t="shared" si="37"/>
        <v>0</v>
      </c>
      <c r="AC67" s="165">
        <f t="shared" si="37"/>
        <v>0</v>
      </c>
      <c r="AD67" s="165">
        <f t="shared" si="37"/>
        <v>0</v>
      </c>
      <c r="AE67" s="165">
        <f t="shared" si="37"/>
        <v>0</v>
      </c>
      <c r="AF67" s="165">
        <f t="shared" si="37"/>
        <v>0</v>
      </c>
      <c r="AG67" s="165">
        <f t="shared" si="37"/>
        <v>0</v>
      </c>
      <c r="AH67" s="165">
        <f t="shared" si="37"/>
        <v>0</v>
      </c>
      <c r="AI67" s="292">
        <f>+AI69/AI65</f>
        <v>113.79426829268291</v>
      </c>
      <c r="AJ67" s="293">
        <f>+AJ69/AJ65</f>
        <v>113.79426829268291</v>
      </c>
    </row>
    <row r="68" spans="1:36" x14ac:dyDescent="0.3">
      <c r="A68" s="203"/>
      <c r="B68" s="162"/>
      <c r="C68" s="163" t="s">
        <v>18</v>
      </c>
      <c r="D68" s="165">
        <f t="shared" ref="D68:AH68" si="38">+D66*D67</f>
        <v>77.759416666666667</v>
      </c>
      <c r="E68" s="165">
        <f t="shared" si="38"/>
        <v>0</v>
      </c>
      <c r="F68" s="165">
        <f t="shared" si="38"/>
        <v>0</v>
      </c>
      <c r="G68" s="165">
        <f t="shared" si="38"/>
        <v>0</v>
      </c>
      <c r="H68" s="165">
        <f t="shared" si="38"/>
        <v>0</v>
      </c>
      <c r="I68" s="165">
        <f t="shared" si="38"/>
        <v>0</v>
      </c>
      <c r="J68" s="165">
        <f t="shared" si="38"/>
        <v>0</v>
      </c>
      <c r="K68" s="165">
        <f t="shared" si="38"/>
        <v>0</v>
      </c>
      <c r="L68" s="165">
        <f t="shared" si="38"/>
        <v>0</v>
      </c>
      <c r="M68" s="165">
        <f t="shared" si="38"/>
        <v>0</v>
      </c>
      <c r="N68" s="165">
        <f t="shared" si="38"/>
        <v>0</v>
      </c>
      <c r="O68" s="165">
        <f t="shared" si="38"/>
        <v>0</v>
      </c>
      <c r="P68" s="165">
        <f>+P66*P67</f>
        <v>0</v>
      </c>
      <c r="Q68" s="165">
        <f t="shared" ref="Q68:R68" si="39">+Q66*Q67</f>
        <v>0</v>
      </c>
      <c r="R68" s="165">
        <f t="shared" si="39"/>
        <v>0</v>
      </c>
      <c r="S68" s="165">
        <f t="shared" si="38"/>
        <v>0</v>
      </c>
      <c r="T68" s="165">
        <f t="shared" si="38"/>
        <v>0</v>
      </c>
      <c r="U68" s="165">
        <f t="shared" si="38"/>
        <v>0</v>
      </c>
      <c r="V68" s="165">
        <f t="shared" si="38"/>
        <v>0</v>
      </c>
      <c r="W68" s="165">
        <f t="shared" si="38"/>
        <v>0</v>
      </c>
      <c r="X68" s="165">
        <f t="shared" si="38"/>
        <v>0</v>
      </c>
      <c r="Y68" s="165">
        <f t="shared" si="38"/>
        <v>0</v>
      </c>
      <c r="Z68" s="165">
        <f t="shared" si="38"/>
        <v>0</v>
      </c>
      <c r="AA68" s="165">
        <f t="shared" si="38"/>
        <v>0</v>
      </c>
      <c r="AB68" s="165">
        <f t="shared" si="38"/>
        <v>0</v>
      </c>
      <c r="AC68" s="165">
        <f t="shared" si="38"/>
        <v>0</v>
      </c>
      <c r="AD68" s="165">
        <f t="shared" si="38"/>
        <v>0</v>
      </c>
      <c r="AE68" s="165">
        <f t="shared" si="38"/>
        <v>0</v>
      </c>
      <c r="AF68" s="165">
        <f t="shared" si="38"/>
        <v>0</v>
      </c>
      <c r="AG68" s="165">
        <f t="shared" si="38"/>
        <v>0</v>
      </c>
      <c r="AH68" s="165">
        <f t="shared" si="38"/>
        <v>0</v>
      </c>
      <c r="AI68" s="292">
        <f>+AI67*AI66</f>
        <v>77.759416666666667</v>
      </c>
      <c r="AJ68" s="293">
        <f>+AJ66*AJ67</f>
        <v>77.759416666666667</v>
      </c>
    </row>
    <row r="69" spans="1:36" ht="15" thickBot="1" x14ac:dyDescent="0.35">
      <c r="A69" s="203"/>
      <c r="B69" s="162"/>
      <c r="C69" s="163" t="s">
        <v>19</v>
      </c>
      <c r="D69" s="2">
        <v>9331.1299999999992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94">
        <f>SUM(D69:AH69)</f>
        <v>9331.1299999999992</v>
      </c>
      <c r="AJ69" s="307">
        <f>+AI69/$A$1*$AK$1</f>
        <v>289265.02999999997</v>
      </c>
    </row>
    <row r="70" spans="1:36" ht="15" thickTop="1" x14ac:dyDescent="0.3">
      <c r="A70" s="203">
        <v>93</v>
      </c>
      <c r="B70" s="28" t="s">
        <v>38</v>
      </c>
      <c r="C70" s="29" t="s">
        <v>15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13">
        <f>SUM(D70:AH70)</f>
        <v>0</v>
      </c>
      <c r="AJ70" s="285">
        <f>+$AI70/$A$1*$AK$1</f>
        <v>0</v>
      </c>
    </row>
    <row r="71" spans="1:36" x14ac:dyDescent="0.3">
      <c r="A71" s="203"/>
      <c r="B71" s="33"/>
      <c r="C71" s="34" t="s">
        <v>16</v>
      </c>
      <c r="D71" s="35">
        <f t="shared" ref="D71:AH71" si="40">+D70/$A70</f>
        <v>0</v>
      </c>
      <c r="E71" s="35">
        <f t="shared" si="40"/>
        <v>0</v>
      </c>
      <c r="F71" s="35">
        <f t="shared" si="40"/>
        <v>0</v>
      </c>
      <c r="G71" s="35">
        <f t="shared" si="40"/>
        <v>0</v>
      </c>
      <c r="H71" s="35">
        <f t="shared" si="40"/>
        <v>0</v>
      </c>
      <c r="I71" s="35">
        <f t="shared" si="40"/>
        <v>0</v>
      </c>
      <c r="J71" s="35">
        <f t="shared" si="40"/>
        <v>0</v>
      </c>
      <c r="K71" s="35">
        <f t="shared" si="40"/>
        <v>0</v>
      </c>
      <c r="L71" s="35">
        <f>+L70/$A70</f>
        <v>0</v>
      </c>
      <c r="M71" s="35">
        <f t="shared" si="40"/>
        <v>0</v>
      </c>
      <c r="N71" s="35">
        <f t="shared" si="40"/>
        <v>0</v>
      </c>
      <c r="O71" s="35">
        <f t="shared" si="40"/>
        <v>0</v>
      </c>
      <c r="P71" s="35">
        <f t="shared" si="40"/>
        <v>0</v>
      </c>
      <c r="Q71" s="35">
        <f t="shared" si="40"/>
        <v>0</v>
      </c>
      <c r="R71" s="35">
        <f t="shared" si="40"/>
        <v>0</v>
      </c>
      <c r="S71" s="35">
        <f t="shared" si="40"/>
        <v>0</v>
      </c>
      <c r="T71" s="35">
        <f t="shared" si="40"/>
        <v>0</v>
      </c>
      <c r="U71" s="35">
        <f t="shared" si="40"/>
        <v>0</v>
      </c>
      <c r="V71" s="35">
        <f t="shared" si="40"/>
        <v>0</v>
      </c>
      <c r="W71" s="35">
        <f t="shared" si="40"/>
        <v>0</v>
      </c>
      <c r="X71" s="35">
        <f t="shared" si="40"/>
        <v>0</v>
      </c>
      <c r="Y71" s="35">
        <f t="shared" si="40"/>
        <v>0</v>
      </c>
      <c r="Z71" s="35">
        <f t="shared" si="40"/>
        <v>0</v>
      </c>
      <c r="AA71" s="35">
        <f t="shared" si="40"/>
        <v>0</v>
      </c>
      <c r="AB71" s="35">
        <f t="shared" si="40"/>
        <v>0</v>
      </c>
      <c r="AC71" s="35">
        <f t="shared" si="40"/>
        <v>0</v>
      </c>
      <c r="AD71" s="35">
        <f t="shared" si="40"/>
        <v>0</v>
      </c>
      <c r="AE71" s="35">
        <f t="shared" si="40"/>
        <v>0</v>
      </c>
      <c r="AF71" s="35">
        <f t="shared" si="40"/>
        <v>0</v>
      </c>
      <c r="AG71" s="35">
        <f t="shared" si="40"/>
        <v>0</v>
      </c>
      <c r="AH71" s="35">
        <f t="shared" si="40"/>
        <v>0</v>
      </c>
      <c r="AI71" s="281">
        <f>+AI70/(A70*A$1)</f>
        <v>0</v>
      </c>
      <c r="AJ71" s="282">
        <f>AJ70/($A70*AK1)</f>
        <v>0</v>
      </c>
    </row>
    <row r="72" spans="1:36" x14ac:dyDescent="0.3">
      <c r="A72" s="203"/>
      <c r="B72" s="33"/>
      <c r="C72" s="34" t="s">
        <v>17</v>
      </c>
      <c r="D72" s="37">
        <f>+IFERROR(D74/D70,0)</f>
        <v>0</v>
      </c>
      <c r="E72" s="37">
        <f t="shared" ref="E72:AH72" si="41">+IFERROR(E74/E70,0)</f>
        <v>0</v>
      </c>
      <c r="F72" s="37">
        <f t="shared" si="41"/>
        <v>0</v>
      </c>
      <c r="G72" s="37">
        <f t="shared" si="41"/>
        <v>0</v>
      </c>
      <c r="H72" s="37">
        <f t="shared" si="41"/>
        <v>0</v>
      </c>
      <c r="I72" s="37">
        <f t="shared" si="41"/>
        <v>0</v>
      </c>
      <c r="J72" s="37">
        <f t="shared" si="41"/>
        <v>0</v>
      </c>
      <c r="K72" s="37">
        <f t="shared" si="41"/>
        <v>0</v>
      </c>
      <c r="L72" s="37">
        <f t="shared" si="41"/>
        <v>0</v>
      </c>
      <c r="M72" s="37">
        <f t="shared" si="41"/>
        <v>0</v>
      </c>
      <c r="N72" s="37">
        <f t="shared" si="41"/>
        <v>0</v>
      </c>
      <c r="O72" s="37">
        <f t="shared" si="41"/>
        <v>0</v>
      </c>
      <c r="P72" s="37">
        <f t="shared" si="41"/>
        <v>0</v>
      </c>
      <c r="Q72" s="37">
        <f t="shared" si="41"/>
        <v>0</v>
      </c>
      <c r="R72" s="37">
        <f t="shared" si="41"/>
        <v>0</v>
      </c>
      <c r="S72" s="37">
        <f t="shared" si="41"/>
        <v>0</v>
      </c>
      <c r="T72" s="37">
        <f t="shared" si="41"/>
        <v>0</v>
      </c>
      <c r="U72" s="37">
        <f t="shared" si="41"/>
        <v>0</v>
      </c>
      <c r="V72" s="37">
        <f t="shared" si="41"/>
        <v>0</v>
      </c>
      <c r="W72" s="37">
        <f t="shared" si="41"/>
        <v>0</v>
      </c>
      <c r="X72" s="37">
        <f t="shared" si="41"/>
        <v>0</v>
      </c>
      <c r="Y72" s="37">
        <f t="shared" si="41"/>
        <v>0</v>
      </c>
      <c r="Z72" s="37">
        <f t="shared" si="41"/>
        <v>0</v>
      </c>
      <c r="AA72" s="37">
        <f t="shared" si="41"/>
        <v>0</v>
      </c>
      <c r="AB72" s="37">
        <f t="shared" si="41"/>
        <v>0</v>
      </c>
      <c r="AC72" s="37">
        <f t="shared" si="41"/>
        <v>0</v>
      </c>
      <c r="AD72" s="37">
        <f t="shared" si="41"/>
        <v>0</v>
      </c>
      <c r="AE72" s="37">
        <f t="shared" si="41"/>
        <v>0</v>
      </c>
      <c r="AF72" s="37">
        <f t="shared" si="41"/>
        <v>0</v>
      </c>
      <c r="AG72" s="37">
        <f t="shared" si="41"/>
        <v>0</v>
      </c>
      <c r="AH72" s="37">
        <f t="shared" si="41"/>
        <v>0</v>
      </c>
      <c r="AI72" s="283" t="e">
        <f>+AI74/AI70</f>
        <v>#DIV/0!</v>
      </c>
      <c r="AJ72" s="279" t="e">
        <f>+AJ74/AJ70</f>
        <v>#DIV/0!</v>
      </c>
    </row>
    <row r="73" spans="1:36" x14ac:dyDescent="0.3">
      <c r="A73" s="203"/>
      <c r="B73" s="33"/>
      <c r="C73" s="34" t="s">
        <v>18</v>
      </c>
      <c r="D73" s="37">
        <f>+D71*D72</f>
        <v>0</v>
      </c>
      <c r="E73" s="37">
        <f t="shared" ref="E73:AH73" si="42">+E71*E72</f>
        <v>0</v>
      </c>
      <c r="F73" s="37">
        <f t="shared" si="42"/>
        <v>0</v>
      </c>
      <c r="G73" s="37">
        <f t="shared" si="42"/>
        <v>0</v>
      </c>
      <c r="H73" s="37">
        <f t="shared" si="42"/>
        <v>0</v>
      </c>
      <c r="I73" s="37">
        <f t="shared" si="42"/>
        <v>0</v>
      </c>
      <c r="J73" s="37">
        <f t="shared" si="42"/>
        <v>0</v>
      </c>
      <c r="K73" s="37">
        <f t="shared" si="42"/>
        <v>0</v>
      </c>
      <c r="L73" s="37">
        <f t="shared" si="42"/>
        <v>0</v>
      </c>
      <c r="M73" s="37">
        <f t="shared" si="42"/>
        <v>0</v>
      </c>
      <c r="N73" s="37">
        <f t="shared" si="42"/>
        <v>0</v>
      </c>
      <c r="O73" s="37">
        <f t="shared" si="42"/>
        <v>0</v>
      </c>
      <c r="P73" s="37">
        <f t="shared" si="42"/>
        <v>0</v>
      </c>
      <c r="Q73" s="37">
        <f t="shared" si="42"/>
        <v>0</v>
      </c>
      <c r="R73" s="37">
        <f t="shared" si="42"/>
        <v>0</v>
      </c>
      <c r="S73" s="37">
        <f t="shared" si="42"/>
        <v>0</v>
      </c>
      <c r="T73" s="37">
        <f t="shared" si="42"/>
        <v>0</v>
      </c>
      <c r="U73" s="37">
        <f t="shared" si="42"/>
        <v>0</v>
      </c>
      <c r="V73" s="37">
        <f t="shared" si="42"/>
        <v>0</v>
      </c>
      <c r="W73" s="37">
        <f t="shared" si="42"/>
        <v>0</v>
      </c>
      <c r="X73" s="37">
        <f t="shared" si="42"/>
        <v>0</v>
      </c>
      <c r="Y73" s="37">
        <f t="shared" si="42"/>
        <v>0</v>
      </c>
      <c r="Z73" s="37">
        <f t="shared" si="42"/>
        <v>0</v>
      </c>
      <c r="AA73" s="37">
        <f t="shared" si="42"/>
        <v>0</v>
      </c>
      <c r="AB73" s="37">
        <f t="shared" si="42"/>
        <v>0</v>
      </c>
      <c r="AC73" s="37">
        <f t="shared" si="42"/>
        <v>0</v>
      </c>
      <c r="AD73" s="37">
        <f t="shared" si="42"/>
        <v>0</v>
      </c>
      <c r="AE73" s="37">
        <f t="shared" si="42"/>
        <v>0</v>
      </c>
      <c r="AF73" s="37">
        <f t="shared" si="42"/>
        <v>0</v>
      </c>
      <c r="AG73" s="37">
        <f t="shared" si="42"/>
        <v>0</v>
      </c>
      <c r="AH73" s="37">
        <f t="shared" si="42"/>
        <v>0</v>
      </c>
      <c r="AI73" s="283" t="e">
        <f>+AI72*AI71</f>
        <v>#DIV/0!</v>
      </c>
      <c r="AJ73" s="279" t="e">
        <f>+AJ71*AJ72</f>
        <v>#DIV/0!</v>
      </c>
    </row>
    <row r="74" spans="1:36" ht="15" thickBot="1" x14ac:dyDescent="0.35">
      <c r="A74" s="203"/>
      <c r="B74" s="33"/>
      <c r="C74" s="34" t="s">
        <v>19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84">
        <f>SUM(D74:AH74)</f>
        <v>0</v>
      </c>
      <c r="AJ74" s="285">
        <f>+AI74/$A$1*$AK$1</f>
        <v>0</v>
      </c>
    </row>
    <row r="75" spans="1:36" ht="15" hidden="1" thickBot="1" x14ac:dyDescent="0.35">
      <c r="A75" s="203"/>
      <c r="B75" s="33"/>
      <c r="C75" s="34" t="s">
        <v>22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84"/>
      <c r="AJ75" s="279"/>
    </row>
    <row r="76" spans="1:36" ht="15" hidden="1" thickBot="1" x14ac:dyDescent="0.35">
      <c r="A76" s="203"/>
      <c r="B76" s="33"/>
      <c r="C76" s="34" t="s">
        <v>23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84"/>
      <c r="AJ76" s="279"/>
    </row>
    <row r="77" spans="1:36" ht="15" hidden="1" thickBot="1" x14ac:dyDescent="0.35">
      <c r="A77" s="237"/>
      <c r="B77" s="40"/>
      <c r="C77" s="34" t="s">
        <v>24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14"/>
      <c r="AJ77" s="279"/>
    </row>
    <row r="78" spans="1:36" x14ac:dyDescent="0.3">
      <c r="A78" s="203">
        <v>118</v>
      </c>
      <c r="B78" s="159" t="s">
        <v>39</v>
      </c>
      <c r="C78" s="160" t="s">
        <v>15</v>
      </c>
      <c r="D78" s="2">
        <v>76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88">
        <f>SUM(D78:AH78)</f>
        <v>76</v>
      </c>
      <c r="AJ78" s="289">
        <f>+$AI78/$A$1*$AK$1</f>
        <v>2356</v>
      </c>
    </row>
    <row r="79" spans="1:36" x14ac:dyDescent="0.3">
      <c r="A79" s="203"/>
      <c r="B79" s="162"/>
      <c r="C79" s="163" t="s">
        <v>16</v>
      </c>
      <c r="D79" s="164">
        <f>+D78/$A78</f>
        <v>0.64406779661016944</v>
      </c>
      <c r="E79" s="164">
        <f t="shared" ref="E79:AH79" si="43">+E78/$A78</f>
        <v>0</v>
      </c>
      <c r="F79" s="164">
        <f t="shared" si="43"/>
        <v>0</v>
      </c>
      <c r="G79" s="164">
        <f t="shared" si="43"/>
        <v>0</v>
      </c>
      <c r="H79" s="164">
        <f t="shared" si="43"/>
        <v>0</v>
      </c>
      <c r="I79" s="164">
        <f t="shared" si="43"/>
        <v>0</v>
      </c>
      <c r="J79" s="164">
        <f t="shared" si="43"/>
        <v>0</v>
      </c>
      <c r="K79" s="164">
        <f t="shared" si="43"/>
        <v>0</v>
      </c>
      <c r="L79" s="164">
        <f t="shared" si="43"/>
        <v>0</v>
      </c>
      <c r="M79" s="164">
        <f t="shared" si="43"/>
        <v>0</v>
      </c>
      <c r="N79" s="164">
        <f t="shared" si="43"/>
        <v>0</v>
      </c>
      <c r="O79" s="164">
        <f t="shared" si="43"/>
        <v>0</v>
      </c>
      <c r="P79" s="164">
        <f t="shared" si="43"/>
        <v>0</v>
      </c>
      <c r="Q79" s="164">
        <f t="shared" si="43"/>
        <v>0</v>
      </c>
      <c r="R79" s="164">
        <f t="shared" si="43"/>
        <v>0</v>
      </c>
      <c r="S79" s="164">
        <f t="shared" si="43"/>
        <v>0</v>
      </c>
      <c r="T79" s="164">
        <f t="shared" si="43"/>
        <v>0</v>
      </c>
      <c r="U79" s="164">
        <f t="shared" si="43"/>
        <v>0</v>
      </c>
      <c r="V79" s="164">
        <f t="shared" si="43"/>
        <v>0</v>
      </c>
      <c r="W79" s="164">
        <f t="shared" si="43"/>
        <v>0</v>
      </c>
      <c r="X79" s="164">
        <f t="shared" si="43"/>
        <v>0</v>
      </c>
      <c r="Y79" s="164">
        <f t="shared" si="43"/>
        <v>0</v>
      </c>
      <c r="Z79" s="164">
        <f t="shared" si="43"/>
        <v>0</v>
      </c>
      <c r="AA79" s="164">
        <f>+AA78/$A78</f>
        <v>0</v>
      </c>
      <c r="AB79" s="164">
        <f t="shared" si="43"/>
        <v>0</v>
      </c>
      <c r="AC79" s="164">
        <f t="shared" si="43"/>
        <v>0</v>
      </c>
      <c r="AD79" s="164">
        <f t="shared" si="43"/>
        <v>0</v>
      </c>
      <c r="AE79" s="164">
        <f t="shared" si="43"/>
        <v>0</v>
      </c>
      <c r="AF79" s="164">
        <f t="shared" si="43"/>
        <v>0</v>
      </c>
      <c r="AG79" s="164">
        <f t="shared" si="43"/>
        <v>0</v>
      </c>
      <c r="AH79" s="164">
        <f t="shared" si="43"/>
        <v>0</v>
      </c>
      <c r="AI79" s="290">
        <f>+AI78/(A78*A$1)</f>
        <v>0.64406779661016944</v>
      </c>
      <c r="AJ79" s="291">
        <f>AJ78/($A78*AK1)</f>
        <v>0.64406779661016944</v>
      </c>
    </row>
    <row r="80" spans="1:36" x14ac:dyDescent="0.3">
      <c r="A80" s="203"/>
      <c r="B80" s="162"/>
      <c r="C80" s="163" t="s">
        <v>17</v>
      </c>
      <c r="D80" s="165">
        <f t="shared" ref="D80:AH80" si="44">+IFERROR(D82/D78,0)</f>
        <v>95.864210526315787</v>
      </c>
      <c r="E80" s="165">
        <f t="shared" si="44"/>
        <v>0</v>
      </c>
      <c r="F80" s="165">
        <f t="shared" si="44"/>
        <v>0</v>
      </c>
      <c r="G80" s="165">
        <f t="shared" si="44"/>
        <v>0</v>
      </c>
      <c r="H80" s="165">
        <f t="shared" si="44"/>
        <v>0</v>
      </c>
      <c r="I80" s="165">
        <f t="shared" si="44"/>
        <v>0</v>
      </c>
      <c r="J80" s="165">
        <f t="shared" si="44"/>
        <v>0</v>
      </c>
      <c r="K80" s="165">
        <f t="shared" si="44"/>
        <v>0</v>
      </c>
      <c r="L80" s="165">
        <f t="shared" si="44"/>
        <v>0</v>
      </c>
      <c r="M80" s="165">
        <f t="shared" si="44"/>
        <v>0</v>
      </c>
      <c r="N80" s="165">
        <f t="shared" si="44"/>
        <v>0</v>
      </c>
      <c r="O80" s="165">
        <f t="shared" si="44"/>
        <v>0</v>
      </c>
      <c r="P80" s="165">
        <f t="shared" si="44"/>
        <v>0</v>
      </c>
      <c r="Q80" s="165">
        <f t="shared" si="44"/>
        <v>0</v>
      </c>
      <c r="R80" s="165">
        <f t="shared" si="44"/>
        <v>0</v>
      </c>
      <c r="S80" s="165">
        <f t="shared" si="44"/>
        <v>0</v>
      </c>
      <c r="T80" s="165">
        <f t="shared" si="44"/>
        <v>0</v>
      </c>
      <c r="U80" s="165">
        <f t="shared" si="44"/>
        <v>0</v>
      </c>
      <c r="V80" s="165">
        <f t="shared" si="44"/>
        <v>0</v>
      </c>
      <c r="W80" s="165">
        <f t="shared" si="44"/>
        <v>0</v>
      </c>
      <c r="X80" s="165">
        <f t="shared" si="44"/>
        <v>0</v>
      </c>
      <c r="Y80" s="165">
        <f t="shared" si="44"/>
        <v>0</v>
      </c>
      <c r="Z80" s="165">
        <f t="shared" si="44"/>
        <v>0</v>
      </c>
      <c r="AA80" s="165">
        <f>+IFERROR(AA82/AA78,0)</f>
        <v>0</v>
      </c>
      <c r="AB80" s="165">
        <f t="shared" si="44"/>
        <v>0</v>
      </c>
      <c r="AC80" s="165">
        <f t="shared" si="44"/>
        <v>0</v>
      </c>
      <c r="AD80" s="165">
        <f t="shared" si="44"/>
        <v>0</v>
      </c>
      <c r="AE80" s="165">
        <f t="shared" si="44"/>
        <v>0</v>
      </c>
      <c r="AF80" s="165">
        <f t="shared" si="44"/>
        <v>0</v>
      </c>
      <c r="AG80" s="165">
        <f t="shared" si="44"/>
        <v>0</v>
      </c>
      <c r="AH80" s="165">
        <f t="shared" si="44"/>
        <v>0</v>
      </c>
      <c r="AI80" s="292">
        <f>+AI82/AI78</f>
        <v>95.864210526315787</v>
      </c>
      <c r="AJ80" s="293">
        <f>+AJ82/AJ78</f>
        <v>95.864210526315802</v>
      </c>
    </row>
    <row r="81" spans="1:36" x14ac:dyDescent="0.3">
      <c r="A81" s="203"/>
      <c r="B81" s="162"/>
      <c r="C81" s="163" t="s">
        <v>18</v>
      </c>
      <c r="D81" s="165">
        <f t="shared" ref="D81:AH81" si="45">+D79*D80</f>
        <v>61.743050847457624</v>
      </c>
      <c r="E81" s="165">
        <f t="shared" si="45"/>
        <v>0</v>
      </c>
      <c r="F81" s="165">
        <f t="shared" si="45"/>
        <v>0</v>
      </c>
      <c r="G81" s="165">
        <f t="shared" si="45"/>
        <v>0</v>
      </c>
      <c r="H81" s="165">
        <f t="shared" si="45"/>
        <v>0</v>
      </c>
      <c r="I81" s="165">
        <f t="shared" si="45"/>
        <v>0</v>
      </c>
      <c r="J81" s="165">
        <f t="shared" si="45"/>
        <v>0</v>
      </c>
      <c r="K81" s="165">
        <f t="shared" si="45"/>
        <v>0</v>
      </c>
      <c r="L81" s="165">
        <f t="shared" si="45"/>
        <v>0</v>
      </c>
      <c r="M81" s="165">
        <f t="shared" si="45"/>
        <v>0</v>
      </c>
      <c r="N81" s="165">
        <f t="shared" si="45"/>
        <v>0</v>
      </c>
      <c r="O81" s="165">
        <f t="shared" si="45"/>
        <v>0</v>
      </c>
      <c r="P81" s="165">
        <f t="shared" si="45"/>
        <v>0</v>
      </c>
      <c r="Q81" s="165">
        <f t="shared" si="45"/>
        <v>0</v>
      </c>
      <c r="R81" s="165">
        <f t="shared" si="45"/>
        <v>0</v>
      </c>
      <c r="S81" s="165">
        <f t="shared" si="45"/>
        <v>0</v>
      </c>
      <c r="T81" s="165">
        <f t="shared" si="45"/>
        <v>0</v>
      </c>
      <c r="U81" s="165">
        <f t="shared" si="45"/>
        <v>0</v>
      </c>
      <c r="V81" s="165">
        <f t="shared" si="45"/>
        <v>0</v>
      </c>
      <c r="W81" s="165">
        <f t="shared" si="45"/>
        <v>0</v>
      </c>
      <c r="X81" s="165">
        <f t="shared" si="45"/>
        <v>0</v>
      </c>
      <c r="Y81" s="165">
        <f t="shared" si="45"/>
        <v>0</v>
      </c>
      <c r="Z81" s="165">
        <f t="shared" si="45"/>
        <v>0</v>
      </c>
      <c r="AA81" s="165">
        <f t="shared" si="45"/>
        <v>0</v>
      </c>
      <c r="AB81" s="165">
        <f t="shared" si="45"/>
        <v>0</v>
      </c>
      <c r="AC81" s="165">
        <f t="shared" si="45"/>
        <v>0</v>
      </c>
      <c r="AD81" s="165">
        <f t="shared" si="45"/>
        <v>0</v>
      </c>
      <c r="AE81" s="165">
        <f t="shared" si="45"/>
        <v>0</v>
      </c>
      <c r="AF81" s="165">
        <f t="shared" si="45"/>
        <v>0</v>
      </c>
      <c r="AG81" s="165">
        <f t="shared" si="45"/>
        <v>0</v>
      </c>
      <c r="AH81" s="165">
        <f t="shared" si="45"/>
        <v>0</v>
      </c>
      <c r="AI81" s="292">
        <f>+AI80*AI79</f>
        <v>61.743050847457624</v>
      </c>
      <c r="AJ81" s="293">
        <f>+AJ79*AJ80</f>
        <v>61.743050847457631</v>
      </c>
    </row>
    <row r="82" spans="1:36" ht="15" thickBot="1" x14ac:dyDescent="0.35">
      <c r="A82" s="203"/>
      <c r="B82" s="162"/>
      <c r="C82" s="163" t="s">
        <v>19</v>
      </c>
      <c r="D82" s="2">
        <v>7285.68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94">
        <f>SUM(D82:AH82)</f>
        <v>7285.68</v>
      </c>
      <c r="AJ82" s="295">
        <f>+AI82/$A$1*$AK$1</f>
        <v>225856.08000000002</v>
      </c>
    </row>
    <row r="83" spans="1:36" x14ac:dyDescent="0.3">
      <c r="A83" s="203">
        <v>103</v>
      </c>
      <c r="B83" s="201" t="s">
        <v>40</v>
      </c>
      <c r="C83" s="104" t="s">
        <v>15</v>
      </c>
      <c r="D83" s="2">
        <v>38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15">
        <f>SUM(D83:AH83)</f>
        <v>38</v>
      </c>
      <c r="AJ83" s="280">
        <f>+$AI83/$A$1*$AK$1</f>
        <v>1178</v>
      </c>
    </row>
    <row r="84" spans="1:36" x14ac:dyDescent="0.3">
      <c r="A84" s="203"/>
      <c r="B84" s="33"/>
      <c r="C84" s="34" t="s">
        <v>16</v>
      </c>
      <c r="D84" s="35">
        <f t="shared" ref="D84:AH84" si="46">+D83/$A83</f>
        <v>0.36893203883495146</v>
      </c>
      <c r="E84" s="35">
        <f t="shared" si="46"/>
        <v>0</v>
      </c>
      <c r="F84" s="35">
        <f t="shared" si="46"/>
        <v>0</v>
      </c>
      <c r="G84" s="35">
        <f t="shared" si="46"/>
        <v>0</v>
      </c>
      <c r="H84" s="35">
        <f t="shared" si="46"/>
        <v>0</v>
      </c>
      <c r="I84" s="35">
        <f t="shared" si="46"/>
        <v>0</v>
      </c>
      <c r="J84" s="35">
        <f t="shared" si="46"/>
        <v>0</v>
      </c>
      <c r="K84" s="35">
        <f t="shared" si="46"/>
        <v>0</v>
      </c>
      <c r="L84" s="35">
        <f t="shared" si="46"/>
        <v>0</v>
      </c>
      <c r="M84" s="35">
        <f t="shared" si="46"/>
        <v>0</v>
      </c>
      <c r="N84" s="35">
        <f t="shared" si="46"/>
        <v>0</v>
      </c>
      <c r="O84" s="35">
        <f t="shared" si="46"/>
        <v>0</v>
      </c>
      <c r="P84" s="35">
        <f>+P83/$A83</f>
        <v>0</v>
      </c>
      <c r="Q84" s="35">
        <f t="shared" si="46"/>
        <v>0</v>
      </c>
      <c r="R84" s="35">
        <f t="shared" si="46"/>
        <v>0</v>
      </c>
      <c r="S84" s="35">
        <f t="shared" si="46"/>
        <v>0</v>
      </c>
      <c r="T84" s="35">
        <f>+T83/$A83</f>
        <v>0</v>
      </c>
      <c r="U84" s="35">
        <f>+U83/$A83</f>
        <v>0</v>
      </c>
      <c r="V84" s="35">
        <f t="shared" si="46"/>
        <v>0</v>
      </c>
      <c r="W84" s="35">
        <f t="shared" si="46"/>
        <v>0</v>
      </c>
      <c r="X84" s="35">
        <f t="shared" si="46"/>
        <v>0</v>
      </c>
      <c r="Y84" s="35">
        <f t="shared" si="46"/>
        <v>0</v>
      </c>
      <c r="Z84" s="35">
        <f t="shared" si="46"/>
        <v>0</v>
      </c>
      <c r="AA84" s="35">
        <f t="shared" si="46"/>
        <v>0</v>
      </c>
      <c r="AB84" s="35">
        <f t="shared" si="46"/>
        <v>0</v>
      </c>
      <c r="AC84" s="35">
        <f t="shared" si="46"/>
        <v>0</v>
      </c>
      <c r="AD84" s="35">
        <f t="shared" si="46"/>
        <v>0</v>
      </c>
      <c r="AE84" s="35">
        <f t="shared" si="46"/>
        <v>0</v>
      </c>
      <c r="AF84" s="35">
        <f t="shared" si="46"/>
        <v>0</v>
      </c>
      <c r="AG84" s="35">
        <f t="shared" si="46"/>
        <v>0</v>
      </c>
      <c r="AH84" s="35">
        <f t="shared" si="46"/>
        <v>0</v>
      </c>
      <c r="AI84" s="281">
        <f>+AI83/(A83*A$1)</f>
        <v>0.36893203883495146</v>
      </c>
      <c r="AJ84" s="282">
        <f>AJ83/($A83*AK1)</f>
        <v>0.36893203883495146</v>
      </c>
    </row>
    <row r="85" spans="1:36" x14ac:dyDescent="0.3">
      <c r="A85" s="203"/>
      <c r="B85" s="33"/>
      <c r="C85" s="34" t="s">
        <v>17</v>
      </c>
      <c r="D85" s="37">
        <f t="shared" ref="D85:R85" si="47">+IFERROR(D87/D83,0)</f>
        <v>91.90315789473685</v>
      </c>
      <c r="E85" s="37">
        <f t="shared" si="47"/>
        <v>0</v>
      </c>
      <c r="F85" s="37">
        <f t="shared" si="47"/>
        <v>0</v>
      </c>
      <c r="G85" s="37">
        <f t="shared" si="47"/>
        <v>0</v>
      </c>
      <c r="H85" s="37">
        <f t="shared" si="47"/>
        <v>0</v>
      </c>
      <c r="I85" s="37">
        <f t="shared" si="47"/>
        <v>0</v>
      </c>
      <c r="J85" s="37">
        <f t="shared" si="47"/>
        <v>0</v>
      </c>
      <c r="K85" s="37">
        <f t="shared" si="47"/>
        <v>0</v>
      </c>
      <c r="L85" s="37">
        <f t="shared" si="47"/>
        <v>0</v>
      </c>
      <c r="M85" s="37">
        <f t="shared" si="47"/>
        <v>0</v>
      </c>
      <c r="N85" s="37">
        <f t="shared" si="47"/>
        <v>0</v>
      </c>
      <c r="O85" s="37">
        <f t="shared" si="47"/>
        <v>0</v>
      </c>
      <c r="P85" s="37">
        <f t="shared" si="47"/>
        <v>0</v>
      </c>
      <c r="Q85" s="37">
        <f t="shared" si="47"/>
        <v>0</v>
      </c>
      <c r="R85" s="37">
        <f t="shared" si="47"/>
        <v>0</v>
      </c>
      <c r="S85" s="37">
        <f>+IFERROR(S87/S83,0)</f>
        <v>0</v>
      </c>
      <c r="T85" s="37">
        <f t="shared" ref="T85:AH85" si="48">+IFERROR(T87/T83,0)</f>
        <v>0</v>
      </c>
      <c r="U85" s="37">
        <f t="shared" si="48"/>
        <v>0</v>
      </c>
      <c r="V85" s="37">
        <f t="shared" si="48"/>
        <v>0</v>
      </c>
      <c r="W85" s="37">
        <f t="shared" si="48"/>
        <v>0</v>
      </c>
      <c r="X85" s="37">
        <f t="shared" si="48"/>
        <v>0</v>
      </c>
      <c r="Y85" s="37">
        <f t="shared" si="48"/>
        <v>0</v>
      </c>
      <c r="Z85" s="37">
        <f t="shared" si="48"/>
        <v>0</v>
      </c>
      <c r="AA85" s="37">
        <f t="shared" si="48"/>
        <v>0</v>
      </c>
      <c r="AB85" s="37">
        <f t="shared" si="48"/>
        <v>0</v>
      </c>
      <c r="AC85" s="37">
        <f t="shared" si="48"/>
        <v>0</v>
      </c>
      <c r="AD85" s="37">
        <f t="shared" si="48"/>
        <v>0</v>
      </c>
      <c r="AE85" s="37">
        <f t="shared" si="48"/>
        <v>0</v>
      </c>
      <c r="AF85" s="37">
        <f t="shared" si="48"/>
        <v>0</v>
      </c>
      <c r="AG85" s="37">
        <f t="shared" si="48"/>
        <v>0</v>
      </c>
      <c r="AH85" s="37">
        <f t="shared" si="48"/>
        <v>0</v>
      </c>
      <c r="AI85" s="283">
        <f>+AI87/AI83</f>
        <v>91.90315789473685</v>
      </c>
      <c r="AJ85" s="279">
        <f>+AJ87/AJ83</f>
        <v>91.903157894736836</v>
      </c>
    </row>
    <row r="86" spans="1:36" x14ac:dyDescent="0.3">
      <c r="A86" s="203"/>
      <c r="B86" s="33"/>
      <c r="C86" s="34" t="s">
        <v>18</v>
      </c>
      <c r="D86" s="37">
        <f t="shared" ref="D86:AH86" si="49">+D84*D85</f>
        <v>33.906019417475733</v>
      </c>
      <c r="E86" s="37">
        <f t="shared" si="49"/>
        <v>0</v>
      </c>
      <c r="F86" s="37">
        <f t="shared" si="49"/>
        <v>0</v>
      </c>
      <c r="G86" s="37">
        <f t="shared" si="49"/>
        <v>0</v>
      </c>
      <c r="H86" s="37">
        <f t="shared" si="49"/>
        <v>0</v>
      </c>
      <c r="I86" s="37">
        <f t="shared" si="49"/>
        <v>0</v>
      </c>
      <c r="J86" s="37">
        <f t="shared" si="49"/>
        <v>0</v>
      </c>
      <c r="K86" s="37">
        <f t="shared" si="49"/>
        <v>0</v>
      </c>
      <c r="L86" s="37">
        <f t="shared" si="49"/>
        <v>0</v>
      </c>
      <c r="M86" s="37">
        <f t="shared" si="49"/>
        <v>0</v>
      </c>
      <c r="N86" s="37">
        <f t="shared" si="49"/>
        <v>0</v>
      </c>
      <c r="O86" s="37">
        <f t="shared" si="49"/>
        <v>0</v>
      </c>
      <c r="P86" s="37">
        <f t="shared" si="49"/>
        <v>0</v>
      </c>
      <c r="Q86" s="37">
        <f t="shared" si="49"/>
        <v>0</v>
      </c>
      <c r="R86" s="37">
        <f t="shared" si="49"/>
        <v>0</v>
      </c>
      <c r="S86" s="37">
        <f t="shared" si="49"/>
        <v>0</v>
      </c>
      <c r="T86" s="37">
        <f t="shared" si="49"/>
        <v>0</v>
      </c>
      <c r="U86" s="37">
        <f t="shared" si="49"/>
        <v>0</v>
      </c>
      <c r="V86" s="37">
        <f t="shared" si="49"/>
        <v>0</v>
      </c>
      <c r="W86" s="37">
        <f t="shared" si="49"/>
        <v>0</v>
      </c>
      <c r="X86" s="37">
        <f t="shared" si="49"/>
        <v>0</v>
      </c>
      <c r="Y86" s="37">
        <f t="shared" si="49"/>
        <v>0</v>
      </c>
      <c r="Z86" s="37">
        <f t="shared" si="49"/>
        <v>0</v>
      </c>
      <c r="AA86" s="37">
        <f t="shared" si="49"/>
        <v>0</v>
      </c>
      <c r="AB86" s="37">
        <f t="shared" si="49"/>
        <v>0</v>
      </c>
      <c r="AC86" s="37">
        <f t="shared" si="49"/>
        <v>0</v>
      </c>
      <c r="AD86" s="37">
        <f t="shared" si="49"/>
        <v>0</v>
      </c>
      <c r="AE86" s="37">
        <f t="shared" si="49"/>
        <v>0</v>
      </c>
      <c r="AF86" s="37">
        <f t="shared" si="49"/>
        <v>0</v>
      </c>
      <c r="AG86" s="37">
        <f t="shared" si="49"/>
        <v>0</v>
      </c>
      <c r="AH86" s="37">
        <f t="shared" si="49"/>
        <v>0</v>
      </c>
      <c r="AI86" s="283">
        <f>+AI85*AI84</f>
        <v>33.906019417475733</v>
      </c>
      <c r="AJ86" s="279">
        <f>+AJ84*AJ85</f>
        <v>33.906019417475726</v>
      </c>
    </row>
    <row r="87" spans="1:36" ht="15" thickBot="1" x14ac:dyDescent="0.35">
      <c r="A87" s="203"/>
      <c r="B87" s="33"/>
      <c r="C87" s="34" t="s">
        <v>19</v>
      </c>
      <c r="D87" s="2">
        <v>3492.32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84">
        <f>SUM(D87:AH87)</f>
        <v>3492.32</v>
      </c>
      <c r="AJ87" s="285">
        <f>+AI87/$A$1*$AK$1</f>
        <v>108261.92</v>
      </c>
    </row>
    <row r="88" spans="1:36" x14ac:dyDescent="0.3">
      <c r="A88" s="203">
        <v>115</v>
      </c>
      <c r="B88" s="159" t="s">
        <v>41</v>
      </c>
      <c r="C88" s="160" t="s">
        <v>15</v>
      </c>
      <c r="D88" s="2">
        <v>55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88">
        <f>SUM(D88:AH88)</f>
        <v>55</v>
      </c>
      <c r="AJ88" s="289">
        <f>+$AI88/$A$1*$AK$1</f>
        <v>1705</v>
      </c>
    </row>
    <row r="89" spans="1:36" x14ac:dyDescent="0.3">
      <c r="A89" s="203"/>
      <c r="B89" s="162"/>
      <c r="C89" s="163" t="s">
        <v>16</v>
      </c>
      <c r="D89" s="164">
        <f>+D88/$A88</f>
        <v>0.47826086956521741</v>
      </c>
      <c r="E89" s="164">
        <f t="shared" ref="E89:AH89" si="50">+E88/$A88</f>
        <v>0</v>
      </c>
      <c r="F89" s="164">
        <f t="shared" si="50"/>
        <v>0</v>
      </c>
      <c r="G89" s="164">
        <f t="shared" si="50"/>
        <v>0</v>
      </c>
      <c r="H89" s="164">
        <f t="shared" si="50"/>
        <v>0</v>
      </c>
      <c r="I89" s="164">
        <f t="shared" si="50"/>
        <v>0</v>
      </c>
      <c r="J89" s="164">
        <f t="shared" si="50"/>
        <v>0</v>
      </c>
      <c r="K89" s="164">
        <f t="shared" si="50"/>
        <v>0</v>
      </c>
      <c r="L89" s="164">
        <f t="shared" si="50"/>
        <v>0</v>
      </c>
      <c r="M89" s="164">
        <f t="shared" si="50"/>
        <v>0</v>
      </c>
      <c r="N89" s="164">
        <f t="shared" si="50"/>
        <v>0</v>
      </c>
      <c r="O89" s="164">
        <f t="shared" si="50"/>
        <v>0</v>
      </c>
      <c r="P89" s="164">
        <f t="shared" si="50"/>
        <v>0</v>
      </c>
      <c r="Q89" s="164">
        <f t="shared" si="50"/>
        <v>0</v>
      </c>
      <c r="R89" s="164">
        <f t="shared" si="50"/>
        <v>0</v>
      </c>
      <c r="S89" s="164">
        <f t="shared" si="50"/>
        <v>0</v>
      </c>
      <c r="T89" s="164">
        <f t="shared" si="50"/>
        <v>0</v>
      </c>
      <c r="U89" s="164">
        <f t="shared" si="50"/>
        <v>0</v>
      </c>
      <c r="V89" s="164">
        <f t="shared" si="50"/>
        <v>0</v>
      </c>
      <c r="W89" s="164">
        <f t="shared" si="50"/>
        <v>0</v>
      </c>
      <c r="X89" s="164">
        <f t="shared" si="50"/>
        <v>0</v>
      </c>
      <c r="Y89" s="164">
        <f t="shared" si="50"/>
        <v>0</v>
      </c>
      <c r="Z89" s="164">
        <f t="shared" si="50"/>
        <v>0</v>
      </c>
      <c r="AA89" s="164">
        <f>+AA88/$A88</f>
        <v>0</v>
      </c>
      <c r="AB89" s="164">
        <f t="shared" si="50"/>
        <v>0</v>
      </c>
      <c r="AC89" s="164">
        <f t="shared" si="50"/>
        <v>0</v>
      </c>
      <c r="AD89" s="164">
        <f t="shared" si="50"/>
        <v>0</v>
      </c>
      <c r="AE89" s="164">
        <f t="shared" si="50"/>
        <v>0</v>
      </c>
      <c r="AF89" s="164">
        <f t="shared" si="50"/>
        <v>0</v>
      </c>
      <c r="AG89" s="164">
        <f t="shared" si="50"/>
        <v>0</v>
      </c>
      <c r="AH89" s="164">
        <f t="shared" si="50"/>
        <v>0</v>
      </c>
      <c r="AI89" s="290">
        <f>+AI88/(A88*A$1)</f>
        <v>0.47826086956521741</v>
      </c>
      <c r="AJ89" s="291">
        <f>AJ88/($A88*AK1)</f>
        <v>0.47826086956521741</v>
      </c>
    </row>
    <row r="90" spans="1:36" x14ac:dyDescent="0.3">
      <c r="A90" s="203"/>
      <c r="B90" s="162"/>
      <c r="C90" s="163" t="s">
        <v>17</v>
      </c>
      <c r="D90" s="165">
        <f>+IFERROR(D92/D88,0)</f>
        <v>92.002909090909085</v>
      </c>
      <c r="E90" s="165">
        <f t="shared" ref="E90:AG90" si="51">+IFERROR(E92/E88,0)</f>
        <v>0</v>
      </c>
      <c r="F90" s="165">
        <f t="shared" si="51"/>
        <v>0</v>
      </c>
      <c r="G90" s="165">
        <f t="shared" si="51"/>
        <v>0</v>
      </c>
      <c r="H90" s="165">
        <f t="shared" si="51"/>
        <v>0</v>
      </c>
      <c r="I90" s="165">
        <f t="shared" si="51"/>
        <v>0</v>
      </c>
      <c r="J90" s="165">
        <f t="shared" si="51"/>
        <v>0</v>
      </c>
      <c r="K90" s="165">
        <f t="shared" si="51"/>
        <v>0</v>
      </c>
      <c r="L90" s="165">
        <f t="shared" si="51"/>
        <v>0</v>
      </c>
      <c r="M90" s="165">
        <f t="shared" si="51"/>
        <v>0</v>
      </c>
      <c r="N90" s="165">
        <f t="shared" si="51"/>
        <v>0</v>
      </c>
      <c r="O90" s="165">
        <f t="shared" si="51"/>
        <v>0</v>
      </c>
      <c r="P90" s="165">
        <f t="shared" si="51"/>
        <v>0</v>
      </c>
      <c r="Q90" s="165">
        <f t="shared" si="51"/>
        <v>0</v>
      </c>
      <c r="R90" s="165">
        <f t="shared" si="51"/>
        <v>0</v>
      </c>
      <c r="S90" s="165">
        <f t="shared" si="51"/>
        <v>0</v>
      </c>
      <c r="T90" s="165">
        <f t="shared" si="51"/>
        <v>0</v>
      </c>
      <c r="U90" s="165">
        <f t="shared" si="51"/>
        <v>0</v>
      </c>
      <c r="V90" s="165">
        <f t="shared" si="51"/>
        <v>0</v>
      </c>
      <c r="W90" s="165">
        <f t="shared" si="51"/>
        <v>0</v>
      </c>
      <c r="X90" s="165">
        <f t="shared" si="51"/>
        <v>0</v>
      </c>
      <c r="Y90" s="165">
        <f t="shared" si="51"/>
        <v>0</v>
      </c>
      <c r="Z90" s="165">
        <f t="shared" si="51"/>
        <v>0</v>
      </c>
      <c r="AA90" s="165">
        <f>+IFERROR(AA92/AA88,0)</f>
        <v>0</v>
      </c>
      <c r="AB90" s="165">
        <f t="shared" si="51"/>
        <v>0</v>
      </c>
      <c r="AC90" s="165">
        <f t="shared" si="51"/>
        <v>0</v>
      </c>
      <c r="AD90" s="165">
        <f t="shared" si="51"/>
        <v>0</v>
      </c>
      <c r="AE90" s="165">
        <f t="shared" si="51"/>
        <v>0</v>
      </c>
      <c r="AF90" s="165">
        <f t="shared" si="51"/>
        <v>0</v>
      </c>
      <c r="AG90" s="165">
        <f t="shared" si="51"/>
        <v>0</v>
      </c>
      <c r="AH90" s="165">
        <f>+IFERROR(AH92/AH88,0)</f>
        <v>0</v>
      </c>
      <c r="AI90" s="292">
        <f>+AI92/AI88</f>
        <v>92.002909090909085</v>
      </c>
      <c r="AJ90" s="293">
        <f>+AJ92/AJ88</f>
        <v>92.002909090909085</v>
      </c>
    </row>
    <row r="91" spans="1:36" x14ac:dyDescent="0.3">
      <c r="A91" s="203"/>
      <c r="B91" s="162"/>
      <c r="C91" s="163" t="s">
        <v>18</v>
      </c>
      <c r="D91" s="165">
        <f>+D89*D90</f>
        <v>44.001391304347827</v>
      </c>
      <c r="E91" s="165">
        <f t="shared" ref="E91:AH91" si="52">+E89*E90</f>
        <v>0</v>
      </c>
      <c r="F91" s="165">
        <f t="shared" si="52"/>
        <v>0</v>
      </c>
      <c r="G91" s="165">
        <f t="shared" si="52"/>
        <v>0</v>
      </c>
      <c r="H91" s="165">
        <f t="shared" si="52"/>
        <v>0</v>
      </c>
      <c r="I91" s="165">
        <f t="shared" si="52"/>
        <v>0</v>
      </c>
      <c r="J91" s="165">
        <f t="shared" si="52"/>
        <v>0</v>
      </c>
      <c r="K91" s="165">
        <f t="shared" si="52"/>
        <v>0</v>
      </c>
      <c r="L91" s="165">
        <f t="shared" si="52"/>
        <v>0</v>
      </c>
      <c r="M91" s="165">
        <f t="shared" si="52"/>
        <v>0</v>
      </c>
      <c r="N91" s="165">
        <f t="shared" si="52"/>
        <v>0</v>
      </c>
      <c r="O91" s="165">
        <f t="shared" si="52"/>
        <v>0</v>
      </c>
      <c r="P91" s="165">
        <f t="shared" si="52"/>
        <v>0</v>
      </c>
      <c r="Q91" s="165">
        <f t="shared" si="52"/>
        <v>0</v>
      </c>
      <c r="R91" s="165">
        <f t="shared" si="52"/>
        <v>0</v>
      </c>
      <c r="S91" s="165">
        <f t="shared" si="52"/>
        <v>0</v>
      </c>
      <c r="T91" s="165">
        <f t="shared" si="52"/>
        <v>0</v>
      </c>
      <c r="U91" s="165">
        <f t="shared" si="52"/>
        <v>0</v>
      </c>
      <c r="V91" s="165">
        <f t="shared" si="52"/>
        <v>0</v>
      </c>
      <c r="W91" s="165">
        <f t="shared" si="52"/>
        <v>0</v>
      </c>
      <c r="X91" s="165">
        <f t="shared" si="52"/>
        <v>0</v>
      </c>
      <c r="Y91" s="165">
        <f t="shared" si="52"/>
        <v>0</v>
      </c>
      <c r="Z91" s="165">
        <f t="shared" si="52"/>
        <v>0</v>
      </c>
      <c r="AA91" s="165">
        <f t="shared" si="52"/>
        <v>0</v>
      </c>
      <c r="AB91" s="165">
        <f t="shared" si="52"/>
        <v>0</v>
      </c>
      <c r="AC91" s="165">
        <f t="shared" si="52"/>
        <v>0</v>
      </c>
      <c r="AD91" s="165">
        <f t="shared" si="52"/>
        <v>0</v>
      </c>
      <c r="AE91" s="165">
        <f t="shared" si="52"/>
        <v>0</v>
      </c>
      <c r="AF91" s="165">
        <f t="shared" si="52"/>
        <v>0</v>
      </c>
      <c r="AG91" s="165">
        <f t="shared" si="52"/>
        <v>0</v>
      </c>
      <c r="AH91" s="165">
        <f t="shared" si="52"/>
        <v>0</v>
      </c>
      <c r="AI91" s="292">
        <f>+AI90*AI89</f>
        <v>44.001391304347827</v>
      </c>
      <c r="AJ91" s="293">
        <f>+AJ89*AJ90</f>
        <v>44.001391304347827</v>
      </c>
    </row>
    <row r="92" spans="1:36" ht="15" thickBot="1" x14ac:dyDescent="0.35">
      <c r="A92" s="203"/>
      <c r="B92" s="205"/>
      <c r="C92" s="206" t="s">
        <v>19</v>
      </c>
      <c r="D92" s="327">
        <v>5060.16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09">
        <f>SUM(D92:AH92)</f>
        <v>5060.16</v>
      </c>
      <c r="AJ92" s="307">
        <f>+AI92/$A$1*$AK$1</f>
        <v>156864.95999999999</v>
      </c>
    </row>
    <row r="93" spans="1:36" ht="15" hidden="1" thickBot="1" x14ac:dyDescent="0.35">
      <c r="A93" s="203">
        <f>100-100</f>
        <v>0</v>
      </c>
      <c r="B93" s="33" t="s">
        <v>42</v>
      </c>
      <c r="C93" s="34" t="s">
        <v>15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10">
        <f>SUM(D93:AH93)</f>
        <v>0</v>
      </c>
      <c r="AJ93" s="285">
        <f>+$AI93/$A$1*$AK$1</f>
        <v>0</v>
      </c>
    </row>
    <row r="94" spans="1:36" ht="15" hidden="1" thickBot="1" x14ac:dyDescent="0.35">
      <c r="A94" s="203"/>
      <c r="B94" s="33"/>
      <c r="C94" s="34" t="s">
        <v>16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81" t="e">
        <f>+AI93/(A93*A$1)</f>
        <v>#DIV/0!</v>
      </c>
      <c r="AJ94" s="282" t="e">
        <f>AJ93/($A93*AK1)</f>
        <v>#DIV/0!</v>
      </c>
    </row>
    <row r="95" spans="1:36" ht="15" hidden="1" thickBot="1" x14ac:dyDescent="0.35">
      <c r="A95" s="203"/>
      <c r="B95" s="33"/>
      <c r="C95" s="34" t="s">
        <v>17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83" t="e">
        <f>+AI97/AI93</f>
        <v>#DIV/0!</v>
      </c>
      <c r="AJ95" s="279" t="e">
        <f>+AJ97/AJ93</f>
        <v>#DIV/0!</v>
      </c>
    </row>
    <row r="96" spans="1:36" ht="15" hidden="1" thickBot="1" x14ac:dyDescent="0.35">
      <c r="A96" s="203"/>
      <c r="B96" s="33"/>
      <c r="C96" s="34" t="s">
        <v>18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83" t="e">
        <f>+AI95*AI94</f>
        <v>#DIV/0!</v>
      </c>
      <c r="AJ96" s="279" t="e">
        <f>+AJ94*AJ95</f>
        <v>#DIV/0!</v>
      </c>
    </row>
    <row r="97" spans="1:36" ht="15" hidden="1" thickBot="1" x14ac:dyDescent="0.35">
      <c r="A97" s="203"/>
      <c r="B97" s="33"/>
      <c r="C97" s="34" t="s">
        <v>19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84">
        <f>SUM(D97:AH97)</f>
        <v>0</v>
      </c>
      <c r="AJ97" s="285">
        <f>+AI97/$A$1*$AK$1</f>
        <v>0</v>
      </c>
    </row>
    <row r="98" spans="1:36" x14ac:dyDescent="0.3">
      <c r="A98" s="203">
        <v>107</v>
      </c>
      <c r="B98" s="159" t="s">
        <v>43</v>
      </c>
      <c r="C98" s="160" t="s">
        <v>15</v>
      </c>
      <c r="D98" s="2">
        <v>62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88">
        <f>SUM(D98:AH98)</f>
        <v>62</v>
      </c>
      <c r="AJ98" s="289">
        <f>+$AI98/$A$1*$AK$1</f>
        <v>1922</v>
      </c>
    </row>
    <row r="99" spans="1:36" x14ac:dyDescent="0.3">
      <c r="A99" s="203"/>
      <c r="B99" s="162"/>
      <c r="C99" s="163" t="s">
        <v>16</v>
      </c>
      <c r="D99" s="164">
        <f>+D98/$A98</f>
        <v>0.57943925233644855</v>
      </c>
      <c r="E99" s="164">
        <f t="shared" ref="E99:AH99" si="53">+E98/$A98</f>
        <v>0</v>
      </c>
      <c r="F99" s="164">
        <f t="shared" si="53"/>
        <v>0</v>
      </c>
      <c r="G99" s="164">
        <f t="shared" si="53"/>
        <v>0</v>
      </c>
      <c r="H99" s="164">
        <f t="shared" si="53"/>
        <v>0</v>
      </c>
      <c r="I99" s="164">
        <f t="shared" si="53"/>
        <v>0</v>
      </c>
      <c r="J99" s="164">
        <f t="shared" si="53"/>
        <v>0</v>
      </c>
      <c r="K99" s="164">
        <f t="shared" si="53"/>
        <v>0</v>
      </c>
      <c r="L99" s="164">
        <f t="shared" si="53"/>
        <v>0</v>
      </c>
      <c r="M99" s="164">
        <f t="shared" si="53"/>
        <v>0</v>
      </c>
      <c r="N99" s="164">
        <f t="shared" si="53"/>
        <v>0</v>
      </c>
      <c r="O99" s="164">
        <f t="shared" si="53"/>
        <v>0</v>
      </c>
      <c r="P99" s="164">
        <f t="shared" si="53"/>
        <v>0</v>
      </c>
      <c r="Q99" s="164">
        <f t="shared" si="53"/>
        <v>0</v>
      </c>
      <c r="R99" s="164">
        <f t="shared" si="53"/>
        <v>0</v>
      </c>
      <c r="S99" s="164">
        <f t="shared" si="53"/>
        <v>0</v>
      </c>
      <c r="T99" s="164">
        <f t="shared" si="53"/>
        <v>0</v>
      </c>
      <c r="U99" s="164">
        <f t="shared" si="53"/>
        <v>0</v>
      </c>
      <c r="V99" s="164">
        <f t="shared" si="53"/>
        <v>0</v>
      </c>
      <c r="W99" s="164">
        <f t="shared" si="53"/>
        <v>0</v>
      </c>
      <c r="X99" s="164">
        <f>+X98/$A98</f>
        <v>0</v>
      </c>
      <c r="Y99" s="164">
        <f t="shared" si="53"/>
        <v>0</v>
      </c>
      <c r="Z99" s="164">
        <f t="shared" si="53"/>
        <v>0</v>
      </c>
      <c r="AA99" s="164">
        <f>+AA98/$A98</f>
        <v>0</v>
      </c>
      <c r="AB99" s="164">
        <f t="shared" si="53"/>
        <v>0</v>
      </c>
      <c r="AC99" s="164">
        <f t="shared" si="53"/>
        <v>0</v>
      </c>
      <c r="AD99" s="164">
        <f t="shared" si="53"/>
        <v>0</v>
      </c>
      <c r="AE99" s="164">
        <f t="shared" si="53"/>
        <v>0</v>
      </c>
      <c r="AF99" s="164">
        <f t="shared" si="53"/>
        <v>0</v>
      </c>
      <c r="AG99" s="164">
        <f t="shared" si="53"/>
        <v>0</v>
      </c>
      <c r="AH99" s="164">
        <f t="shared" si="53"/>
        <v>0</v>
      </c>
      <c r="AI99" s="290">
        <f>+AI98/(A98*A$1)</f>
        <v>0.57943925233644855</v>
      </c>
      <c r="AJ99" s="291">
        <f>AJ98/($A98*AK1)</f>
        <v>0.57943925233644855</v>
      </c>
    </row>
    <row r="100" spans="1:36" x14ac:dyDescent="0.3">
      <c r="A100" s="203"/>
      <c r="B100" s="162"/>
      <c r="C100" s="163" t="s">
        <v>17</v>
      </c>
      <c r="D100" s="165">
        <f>+IFERROR(D102/D98,0)</f>
        <v>113.87080645161289</v>
      </c>
      <c r="E100" s="165">
        <f t="shared" ref="E100:AH100" si="54">+IFERROR(E102/E98,0)</f>
        <v>0</v>
      </c>
      <c r="F100" s="165">
        <f t="shared" si="54"/>
        <v>0</v>
      </c>
      <c r="G100" s="165">
        <f t="shared" si="54"/>
        <v>0</v>
      </c>
      <c r="H100" s="165">
        <f t="shared" si="54"/>
        <v>0</v>
      </c>
      <c r="I100" s="165">
        <f t="shared" si="54"/>
        <v>0</v>
      </c>
      <c r="J100" s="165">
        <f t="shared" si="54"/>
        <v>0</v>
      </c>
      <c r="K100" s="165">
        <f t="shared" si="54"/>
        <v>0</v>
      </c>
      <c r="L100" s="165">
        <f t="shared" si="54"/>
        <v>0</v>
      </c>
      <c r="M100" s="165">
        <f t="shared" si="54"/>
        <v>0</v>
      </c>
      <c r="N100" s="165">
        <f t="shared" si="54"/>
        <v>0</v>
      </c>
      <c r="O100" s="165">
        <f t="shared" si="54"/>
        <v>0</v>
      </c>
      <c r="P100" s="165">
        <f t="shared" si="54"/>
        <v>0</v>
      </c>
      <c r="Q100" s="165">
        <f t="shared" si="54"/>
        <v>0</v>
      </c>
      <c r="R100" s="165">
        <f t="shared" si="54"/>
        <v>0</v>
      </c>
      <c r="S100" s="165">
        <f t="shared" si="54"/>
        <v>0</v>
      </c>
      <c r="T100" s="165">
        <f t="shared" si="54"/>
        <v>0</v>
      </c>
      <c r="U100" s="165">
        <f t="shared" si="54"/>
        <v>0</v>
      </c>
      <c r="V100" s="165">
        <f t="shared" si="54"/>
        <v>0</v>
      </c>
      <c r="W100" s="165">
        <f t="shared" si="54"/>
        <v>0</v>
      </c>
      <c r="X100" s="165">
        <f>+IFERROR(X102/X98,0)</f>
        <v>0</v>
      </c>
      <c r="Y100" s="165">
        <f t="shared" si="54"/>
        <v>0</v>
      </c>
      <c r="Z100" s="165">
        <f t="shared" si="54"/>
        <v>0</v>
      </c>
      <c r="AA100" s="165">
        <f t="shared" si="54"/>
        <v>0</v>
      </c>
      <c r="AB100" s="165">
        <f t="shared" si="54"/>
        <v>0</v>
      </c>
      <c r="AC100" s="165">
        <f t="shared" si="54"/>
        <v>0</v>
      </c>
      <c r="AD100" s="165">
        <f t="shared" si="54"/>
        <v>0</v>
      </c>
      <c r="AE100" s="165">
        <f t="shared" si="54"/>
        <v>0</v>
      </c>
      <c r="AF100" s="165">
        <f t="shared" si="54"/>
        <v>0</v>
      </c>
      <c r="AG100" s="165">
        <f t="shared" si="54"/>
        <v>0</v>
      </c>
      <c r="AH100" s="165">
        <f t="shared" si="54"/>
        <v>0</v>
      </c>
      <c r="AI100" s="292">
        <f>+AI102/AI98</f>
        <v>113.87080645161289</v>
      </c>
      <c r="AJ100" s="293">
        <f>+AJ102/AJ98</f>
        <v>113.87080645161291</v>
      </c>
    </row>
    <row r="101" spans="1:36" x14ac:dyDescent="0.3">
      <c r="A101" s="203"/>
      <c r="B101" s="162"/>
      <c r="C101" s="163" t="s">
        <v>18</v>
      </c>
      <c r="D101" s="165">
        <f>+D99*D100</f>
        <v>65.981214953271021</v>
      </c>
      <c r="E101" s="165">
        <f t="shared" ref="E101:AH101" si="55">+E99*E100</f>
        <v>0</v>
      </c>
      <c r="F101" s="165">
        <f t="shared" si="55"/>
        <v>0</v>
      </c>
      <c r="G101" s="165">
        <f t="shared" si="55"/>
        <v>0</v>
      </c>
      <c r="H101" s="165">
        <f t="shared" si="55"/>
        <v>0</v>
      </c>
      <c r="I101" s="165">
        <f t="shared" si="55"/>
        <v>0</v>
      </c>
      <c r="J101" s="165">
        <f t="shared" si="55"/>
        <v>0</v>
      </c>
      <c r="K101" s="165">
        <f t="shared" si="55"/>
        <v>0</v>
      </c>
      <c r="L101" s="165">
        <f t="shared" si="55"/>
        <v>0</v>
      </c>
      <c r="M101" s="165">
        <f t="shared" si="55"/>
        <v>0</v>
      </c>
      <c r="N101" s="165">
        <f t="shared" si="55"/>
        <v>0</v>
      </c>
      <c r="O101" s="165">
        <f t="shared" si="55"/>
        <v>0</v>
      </c>
      <c r="P101" s="165">
        <f t="shared" si="55"/>
        <v>0</v>
      </c>
      <c r="Q101" s="165">
        <f t="shared" si="55"/>
        <v>0</v>
      </c>
      <c r="R101" s="165">
        <f t="shared" si="55"/>
        <v>0</v>
      </c>
      <c r="S101" s="165">
        <f t="shared" si="55"/>
        <v>0</v>
      </c>
      <c r="T101" s="165">
        <f t="shared" si="55"/>
        <v>0</v>
      </c>
      <c r="U101" s="165">
        <f t="shared" si="55"/>
        <v>0</v>
      </c>
      <c r="V101" s="165">
        <f t="shared" si="55"/>
        <v>0</v>
      </c>
      <c r="W101" s="165">
        <f t="shared" si="55"/>
        <v>0</v>
      </c>
      <c r="X101" s="165">
        <f>+X99*X100</f>
        <v>0</v>
      </c>
      <c r="Y101" s="165">
        <f t="shared" si="55"/>
        <v>0</v>
      </c>
      <c r="Z101" s="165">
        <f t="shared" si="55"/>
        <v>0</v>
      </c>
      <c r="AA101" s="165">
        <f t="shared" si="55"/>
        <v>0</v>
      </c>
      <c r="AB101" s="165">
        <f t="shared" si="55"/>
        <v>0</v>
      </c>
      <c r="AC101" s="165">
        <f t="shared" si="55"/>
        <v>0</v>
      </c>
      <c r="AD101" s="165">
        <f t="shared" si="55"/>
        <v>0</v>
      </c>
      <c r="AE101" s="165">
        <f t="shared" si="55"/>
        <v>0</v>
      </c>
      <c r="AF101" s="165">
        <f t="shared" si="55"/>
        <v>0</v>
      </c>
      <c r="AG101" s="165">
        <f t="shared" si="55"/>
        <v>0</v>
      </c>
      <c r="AH101" s="165">
        <f t="shared" si="55"/>
        <v>0</v>
      </c>
      <c r="AI101" s="292">
        <f>+AI100*AI99</f>
        <v>65.981214953271021</v>
      </c>
      <c r="AJ101" s="293">
        <f>+AJ99*AJ100</f>
        <v>65.981214953271021</v>
      </c>
    </row>
    <row r="102" spans="1:36" ht="15" thickBot="1" x14ac:dyDescent="0.35">
      <c r="A102" s="203"/>
      <c r="B102" s="162"/>
      <c r="C102" s="163" t="s">
        <v>19</v>
      </c>
      <c r="D102" s="327">
        <v>7059.99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94">
        <f>SUM(D102:AH102)</f>
        <v>7059.99</v>
      </c>
      <c r="AJ102" s="295">
        <f>+AI102/$A$1*$AK$1</f>
        <v>218859.69</v>
      </c>
    </row>
    <row r="103" spans="1:36" x14ac:dyDescent="0.3">
      <c r="A103" s="203">
        <v>125</v>
      </c>
      <c r="B103" s="201" t="s">
        <v>44</v>
      </c>
      <c r="C103" s="104" t="s">
        <v>15</v>
      </c>
      <c r="D103" s="2">
        <v>65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15">
        <f>SUM(D103:AH103)</f>
        <v>65</v>
      </c>
      <c r="AJ103" s="280">
        <f>+$AI103/$A$1*$AK$1</f>
        <v>2015</v>
      </c>
    </row>
    <row r="104" spans="1:36" x14ac:dyDescent="0.3">
      <c r="A104" s="203"/>
      <c r="B104" s="33"/>
      <c r="C104" s="34" t="s">
        <v>16</v>
      </c>
      <c r="D104" s="35">
        <f t="shared" ref="D104:AH104" si="56">+D103/$A103</f>
        <v>0.52</v>
      </c>
      <c r="E104" s="35">
        <f t="shared" si="56"/>
        <v>0</v>
      </c>
      <c r="F104" s="35">
        <f t="shared" si="56"/>
        <v>0</v>
      </c>
      <c r="G104" s="35">
        <f t="shared" si="56"/>
        <v>0</v>
      </c>
      <c r="H104" s="35">
        <f t="shared" si="56"/>
        <v>0</v>
      </c>
      <c r="I104" s="35">
        <f t="shared" si="56"/>
        <v>0</v>
      </c>
      <c r="J104" s="35">
        <f t="shared" si="56"/>
        <v>0</v>
      </c>
      <c r="K104" s="35">
        <f t="shared" si="56"/>
        <v>0</v>
      </c>
      <c r="L104" s="35">
        <f t="shared" si="56"/>
        <v>0</v>
      </c>
      <c r="M104" s="35">
        <f t="shared" si="56"/>
        <v>0</v>
      </c>
      <c r="N104" s="35">
        <f t="shared" si="56"/>
        <v>0</v>
      </c>
      <c r="O104" s="35">
        <f t="shared" si="56"/>
        <v>0</v>
      </c>
      <c r="P104" s="35">
        <f t="shared" si="56"/>
        <v>0</v>
      </c>
      <c r="Q104" s="35">
        <f t="shared" si="56"/>
        <v>0</v>
      </c>
      <c r="R104" s="35">
        <f t="shared" si="56"/>
        <v>0</v>
      </c>
      <c r="S104" s="35">
        <f t="shared" si="56"/>
        <v>0</v>
      </c>
      <c r="T104" s="35">
        <f t="shared" si="56"/>
        <v>0</v>
      </c>
      <c r="U104" s="35">
        <f t="shared" si="56"/>
        <v>0</v>
      </c>
      <c r="V104" s="35">
        <f t="shared" si="56"/>
        <v>0</v>
      </c>
      <c r="W104" s="35">
        <f t="shared" si="56"/>
        <v>0</v>
      </c>
      <c r="X104" s="35">
        <f t="shared" si="56"/>
        <v>0</v>
      </c>
      <c r="Y104" s="35">
        <f t="shared" si="56"/>
        <v>0</v>
      </c>
      <c r="Z104" s="35">
        <f t="shared" si="56"/>
        <v>0</v>
      </c>
      <c r="AA104" s="35">
        <f t="shared" si="56"/>
        <v>0</v>
      </c>
      <c r="AB104" s="35">
        <f t="shared" si="56"/>
        <v>0</v>
      </c>
      <c r="AC104" s="35">
        <f t="shared" si="56"/>
        <v>0</v>
      </c>
      <c r="AD104" s="35">
        <f t="shared" si="56"/>
        <v>0</v>
      </c>
      <c r="AE104" s="35">
        <f t="shared" si="56"/>
        <v>0</v>
      </c>
      <c r="AF104" s="35">
        <f t="shared" si="56"/>
        <v>0</v>
      </c>
      <c r="AG104" s="35">
        <f t="shared" si="56"/>
        <v>0</v>
      </c>
      <c r="AH104" s="35">
        <f t="shared" si="56"/>
        <v>0</v>
      </c>
      <c r="AI104" s="281">
        <f>+AI103/(A103*A$1)</f>
        <v>0.52</v>
      </c>
      <c r="AJ104" s="282">
        <f>AJ103/($A103*AK1)</f>
        <v>0.52</v>
      </c>
    </row>
    <row r="105" spans="1:36" x14ac:dyDescent="0.3">
      <c r="A105" s="203"/>
      <c r="B105" s="33"/>
      <c r="C105" s="34" t="s">
        <v>17</v>
      </c>
      <c r="D105" s="37">
        <f>+IFERROR(D107/D103,0)</f>
        <v>106.83784615384616</v>
      </c>
      <c r="E105" s="37">
        <f t="shared" ref="E105:AH105" si="57">+IFERROR(E107/E103,0)</f>
        <v>0</v>
      </c>
      <c r="F105" s="37">
        <f t="shared" si="57"/>
        <v>0</v>
      </c>
      <c r="G105" s="37">
        <f t="shared" si="57"/>
        <v>0</v>
      </c>
      <c r="H105" s="37">
        <f t="shared" si="57"/>
        <v>0</v>
      </c>
      <c r="I105" s="37">
        <f t="shared" si="57"/>
        <v>0</v>
      </c>
      <c r="J105" s="37">
        <f t="shared" si="57"/>
        <v>0</v>
      </c>
      <c r="K105" s="37">
        <f t="shared" si="57"/>
        <v>0</v>
      </c>
      <c r="L105" s="37">
        <f t="shared" si="57"/>
        <v>0</v>
      </c>
      <c r="M105" s="37">
        <f t="shared" si="57"/>
        <v>0</v>
      </c>
      <c r="N105" s="37">
        <f t="shared" si="57"/>
        <v>0</v>
      </c>
      <c r="O105" s="37">
        <f t="shared" si="57"/>
        <v>0</v>
      </c>
      <c r="P105" s="37">
        <f t="shared" si="57"/>
        <v>0</v>
      </c>
      <c r="Q105" s="37">
        <f t="shared" si="57"/>
        <v>0</v>
      </c>
      <c r="R105" s="37">
        <f t="shared" si="57"/>
        <v>0</v>
      </c>
      <c r="S105" s="37">
        <f t="shared" si="57"/>
        <v>0</v>
      </c>
      <c r="T105" s="37">
        <f t="shared" si="57"/>
        <v>0</v>
      </c>
      <c r="U105" s="37">
        <f t="shared" si="57"/>
        <v>0</v>
      </c>
      <c r="V105" s="37">
        <f t="shared" si="57"/>
        <v>0</v>
      </c>
      <c r="W105" s="37">
        <f t="shared" si="57"/>
        <v>0</v>
      </c>
      <c r="X105" s="37">
        <f t="shared" si="57"/>
        <v>0</v>
      </c>
      <c r="Y105" s="37">
        <f t="shared" si="57"/>
        <v>0</v>
      </c>
      <c r="Z105" s="37">
        <f t="shared" si="57"/>
        <v>0</v>
      </c>
      <c r="AA105" s="37">
        <f t="shared" si="57"/>
        <v>0</v>
      </c>
      <c r="AB105" s="37">
        <f t="shared" si="57"/>
        <v>0</v>
      </c>
      <c r="AC105" s="37">
        <f t="shared" si="57"/>
        <v>0</v>
      </c>
      <c r="AD105" s="37">
        <f t="shared" si="57"/>
        <v>0</v>
      </c>
      <c r="AE105" s="37">
        <f t="shared" si="57"/>
        <v>0</v>
      </c>
      <c r="AF105" s="37">
        <f t="shared" si="57"/>
        <v>0</v>
      </c>
      <c r="AG105" s="37">
        <f t="shared" si="57"/>
        <v>0</v>
      </c>
      <c r="AH105" s="37">
        <f t="shared" si="57"/>
        <v>0</v>
      </c>
      <c r="AI105" s="283">
        <f>+AI107/AI103</f>
        <v>106.83784615384616</v>
      </c>
      <c r="AJ105" s="279">
        <f>+AJ107/AJ103</f>
        <v>106.83784615384616</v>
      </c>
    </row>
    <row r="106" spans="1:36" x14ac:dyDescent="0.3">
      <c r="A106" s="203"/>
      <c r="B106" s="33"/>
      <c r="C106" s="34" t="s">
        <v>18</v>
      </c>
      <c r="D106" s="37">
        <f t="shared" ref="D106:AH106" si="58">+D104*D105</f>
        <v>55.555680000000002</v>
      </c>
      <c r="E106" s="37">
        <f t="shared" si="58"/>
        <v>0</v>
      </c>
      <c r="F106" s="37">
        <f t="shared" si="58"/>
        <v>0</v>
      </c>
      <c r="G106" s="37">
        <f t="shared" si="58"/>
        <v>0</v>
      </c>
      <c r="H106" s="37">
        <f t="shared" si="58"/>
        <v>0</v>
      </c>
      <c r="I106" s="37">
        <f t="shared" si="58"/>
        <v>0</v>
      </c>
      <c r="J106" s="37">
        <f t="shared" si="58"/>
        <v>0</v>
      </c>
      <c r="K106" s="37">
        <f t="shared" si="58"/>
        <v>0</v>
      </c>
      <c r="L106" s="37">
        <f t="shared" si="58"/>
        <v>0</v>
      </c>
      <c r="M106" s="37">
        <f>+M104*M105</f>
        <v>0</v>
      </c>
      <c r="N106" s="37">
        <f t="shared" si="58"/>
        <v>0</v>
      </c>
      <c r="O106" s="37">
        <f t="shared" si="58"/>
        <v>0</v>
      </c>
      <c r="P106" s="37">
        <f t="shared" si="58"/>
        <v>0</v>
      </c>
      <c r="Q106" s="37">
        <f t="shared" si="58"/>
        <v>0</v>
      </c>
      <c r="R106" s="37">
        <f t="shared" si="58"/>
        <v>0</v>
      </c>
      <c r="S106" s="37">
        <f t="shared" si="58"/>
        <v>0</v>
      </c>
      <c r="T106" s="37">
        <f t="shared" si="58"/>
        <v>0</v>
      </c>
      <c r="U106" s="37">
        <f t="shared" si="58"/>
        <v>0</v>
      </c>
      <c r="V106" s="37">
        <f t="shared" si="58"/>
        <v>0</v>
      </c>
      <c r="W106" s="37">
        <f t="shared" si="58"/>
        <v>0</v>
      </c>
      <c r="X106" s="37">
        <f t="shared" si="58"/>
        <v>0</v>
      </c>
      <c r="Y106" s="37">
        <f t="shared" si="58"/>
        <v>0</v>
      </c>
      <c r="Z106" s="37">
        <f t="shared" si="58"/>
        <v>0</v>
      </c>
      <c r="AA106" s="37">
        <f t="shared" si="58"/>
        <v>0</v>
      </c>
      <c r="AB106" s="37">
        <f t="shared" si="58"/>
        <v>0</v>
      </c>
      <c r="AC106" s="37">
        <f t="shared" si="58"/>
        <v>0</v>
      </c>
      <c r="AD106" s="37">
        <f t="shared" si="58"/>
        <v>0</v>
      </c>
      <c r="AE106" s="37">
        <f t="shared" si="58"/>
        <v>0</v>
      </c>
      <c r="AF106" s="37">
        <f t="shared" si="58"/>
        <v>0</v>
      </c>
      <c r="AG106" s="37">
        <f t="shared" si="58"/>
        <v>0</v>
      </c>
      <c r="AH106" s="37">
        <f t="shared" si="58"/>
        <v>0</v>
      </c>
      <c r="AI106" s="283">
        <f>+AI105*AI104</f>
        <v>55.555680000000002</v>
      </c>
      <c r="AJ106" s="279">
        <f>+AJ104*AJ105</f>
        <v>55.555680000000002</v>
      </c>
    </row>
    <row r="107" spans="1:36" ht="15" thickBot="1" x14ac:dyDescent="0.35">
      <c r="A107" s="203"/>
      <c r="B107" s="33"/>
      <c r="C107" s="34" t="s">
        <v>19</v>
      </c>
      <c r="D107" s="327">
        <v>6944.46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84">
        <f>SUM(D107:AH107)</f>
        <v>6944.46</v>
      </c>
      <c r="AJ107" s="285">
        <f>+AI107/$A$1*$AK$1</f>
        <v>215278.26</v>
      </c>
    </row>
    <row r="108" spans="1:36" x14ac:dyDescent="0.3">
      <c r="A108" s="203">
        <v>141</v>
      </c>
      <c r="B108" s="233" t="s">
        <v>45</v>
      </c>
      <c r="C108" s="160" t="s">
        <v>15</v>
      </c>
      <c r="D108" s="2">
        <v>87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88">
        <f>SUM(D108:AH108)</f>
        <v>87</v>
      </c>
      <c r="AJ108" s="289">
        <f>+$AI108/$A$1*$AK$1</f>
        <v>2697</v>
      </c>
    </row>
    <row r="109" spans="1:36" x14ac:dyDescent="0.3">
      <c r="A109" s="237"/>
      <c r="B109" s="167"/>
      <c r="C109" s="163" t="s">
        <v>16</v>
      </c>
      <c r="D109" s="164">
        <f>D108/$A$108</f>
        <v>0.61702127659574468</v>
      </c>
      <c r="E109" s="164">
        <f t="shared" ref="E109:AH109" si="59">E108/$A$108</f>
        <v>0</v>
      </c>
      <c r="F109" s="164">
        <f t="shared" si="59"/>
        <v>0</v>
      </c>
      <c r="G109" s="164">
        <f t="shared" si="59"/>
        <v>0</v>
      </c>
      <c r="H109" s="164">
        <f t="shared" si="59"/>
        <v>0</v>
      </c>
      <c r="I109" s="164">
        <f t="shared" si="59"/>
        <v>0</v>
      </c>
      <c r="J109" s="164">
        <f t="shared" si="59"/>
        <v>0</v>
      </c>
      <c r="K109" s="164">
        <f t="shared" si="59"/>
        <v>0</v>
      </c>
      <c r="L109" s="164">
        <f t="shared" si="59"/>
        <v>0</v>
      </c>
      <c r="M109" s="164">
        <f t="shared" si="59"/>
        <v>0</v>
      </c>
      <c r="N109" s="164">
        <f t="shared" si="59"/>
        <v>0</v>
      </c>
      <c r="O109" s="164">
        <f t="shared" si="59"/>
        <v>0</v>
      </c>
      <c r="P109" s="164">
        <f t="shared" si="59"/>
        <v>0</v>
      </c>
      <c r="Q109" s="164">
        <f t="shared" si="59"/>
        <v>0</v>
      </c>
      <c r="R109" s="164">
        <f t="shared" si="59"/>
        <v>0</v>
      </c>
      <c r="S109" s="164">
        <f t="shared" si="59"/>
        <v>0</v>
      </c>
      <c r="T109" s="164">
        <f t="shared" si="59"/>
        <v>0</v>
      </c>
      <c r="U109" s="164">
        <f t="shared" si="59"/>
        <v>0</v>
      </c>
      <c r="V109" s="164">
        <f t="shared" si="59"/>
        <v>0</v>
      </c>
      <c r="W109" s="164">
        <f t="shared" si="59"/>
        <v>0</v>
      </c>
      <c r="X109" s="164">
        <f t="shared" si="59"/>
        <v>0</v>
      </c>
      <c r="Y109" s="164">
        <f t="shared" si="59"/>
        <v>0</v>
      </c>
      <c r="Z109" s="164">
        <f t="shared" si="59"/>
        <v>0</v>
      </c>
      <c r="AA109" s="164">
        <f t="shared" si="59"/>
        <v>0</v>
      </c>
      <c r="AB109" s="164">
        <f t="shared" si="59"/>
        <v>0</v>
      </c>
      <c r="AC109" s="164">
        <f t="shared" si="59"/>
        <v>0</v>
      </c>
      <c r="AD109" s="164">
        <f t="shared" si="59"/>
        <v>0</v>
      </c>
      <c r="AE109" s="164">
        <f t="shared" si="59"/>
        <v>0</v>
      </c>
      <c r="AF109" s="164">
        <f t="shared" si="59"/>
        <v>0</v>
      </c>
      <c r="AG109" s="164">
        <f t="shared" si="59"/>
        <v>0</v>
      </c>
      <c r="AH109" s="164">
        <f t="shared" si="59"/>
        <v>0</v>
      </c>
      <c r="AI109" s="290">
        <f>+AI108/(A108*A$1)</f>
        <v>0.61702127659574468</v>
      </c>
      <c r="AJ109" s="291">
        <f>AJ108/($A108*AK1)</f>
        <v>0.61702127659574468</v>
      </c>
    </row>
    <row r="110" spans="1:36" x14ac:dyDescent="0.3">
      <c r="A110" s="237"/>
      <c r="B110" s="167"/>
      <c r="C110" s="163" t="s">
        <v>17</v>
      </c>
      <c r="D110" s="165">
        <f>+IFERROR(D112/D108,0)</f>
        <v>123.08954022988507</v>
      </c>
      <c r="E110" s="165">
        <f t="shared" ref="E110:AH110" si="60">+IFERROR(E112/E108,0)</f>
        <v>0</v>
      </c>
      <c r="F110" s="165">
        <f t="shared" si="60"/>
        <v>0</v>
      </c>
      <c r="G110" s="165">
        <f t="shared" si="60"/>
        <v>0</v>
      </c>
      <c r="H110" s="165">
        <f t="shared" si="60"/>
        <v>0</v>
      </c>
      <c r="I110" s="165">
        <f t="shared" si="60"/>
        <v>0</v>
      </c>
      <c r="J110" s="165">
        <f t="shared" si="60"/>
        <v>0</v>
      </c>
      <c r="K110" s="165">
        <f t="shared" si="60"/>
        <v>0</v>
      </c>
      <c r="L110" s="165">
        <f t="shared" si="60"/>
        <v>0</v>
      </c>
      <c r="M110" s="165">
        <f t="shared" si="60"/>
        <v>0</v>
      </c>
      <c r="N110" s="165">
        <f t="shared" si="60"/>
        <v>0</v>
      </c>
      <c r="O110" s="165">
        <f t="shared" si="60"/>
        <v>0</v>
      </c>
      <c r="P110" s="165">
        <f t="shared" si="60"/>
        <v>0</v>
      </c>
      <c r="Q110" s="165">
        <f t="shared" si="60"/>
        <v>0</v>
      </c>
      <c r="R110" s="165">
        <f t="shared" si="60"/>
        <v>0</v>
      </c>
      <c r="S110" s="165">
        <f t="shared" si="60"/>
        <v>0</v>
      </c>
      <c r="T110" s="165">
        <f t="shared" si="60"/>
        <v>0</v>
      </c>
      <c r="U110" s="165">
        <f t="shared" si="60"/>
        <v>0</v>
      </c>
      <c r="V110" s="165">
        <f t="shared" si="60"/>
        <v>0</v>
      </c>
      <c r="W110" s="165">
        <f t="shared" si="60"/>
        <v>0</v>
      </c>
      <c r="X110" s="165">
        <f t="shared" si="60"/>
        <v>0</v>
      </c>
      <c r="Y110" s="165">
        <f>+IFERROR(Y112/Y108,0)</f>
        <v>0</v>
      </c>
      <c r="Z110" s="165">
        <f t="shared" si="60"/>
        <v>0</v>
      </c>
      <c r="AA110" s="165">
        <f t="shared" si="60"/>
        <v>0</v>
      </c>
      <c r="AB110" s="165">
        <f t="shared" si="60"/>
        <v>0</v>
      </c>
      <c r="AC110" s="165">
        <f t="shared" si="60"/>
        <v>0</v>
      </c>
      <c r="AD110" s="165">
        <f t="shared" si="60"/>
        <v>0</v>
      </c>
      <c r="AE110" s="165">
        <f t="shared" si="60"/>
        <v>0</v>
      </c>
      <c r="AF110" s="165">
        <f t="shared" si="60"/>
        <v>0</v>
      </c>
      <c r="AG110" s="165">
        <f t="shared" si="60"/>
        <v>0</v>
      </c>
      <c r="AH110" s="165">
        <f t="shared" si="60"/>
        <v>0</v>
      </c>
      <c r="AI110" s="292">
        <f>+AI112/AI108</f>
        <v>123.08954022988507</v>
      </c>
      <c r="AJ110" s="293">
        <f>+AJ112/AJ108</f>
        <v>123.08954022988507</v>
      </c>
    </row>
    <row r="111" spans="1:36" x14ac:dyDescent="0.3">
      <c r="A111" s="237"/>
      <c r="B111" s="167"/>
      <c r="C111" s="163" t="s">
        <v>18</v>
      </c>
      <c r="D111" s="165">
        <f>+D109*D110</f>
        <v>75.948865248226966</v>
      </c>
      <c r="E111" s="165">
        <f t="shared" ref="E111:AH111" si="61">+E109*E110</f>
        <v>0</v>
      </c>
      <c r="F111" s="165">
        <f t="shared" si="61"/>
        <v>0</v>
      </c>
      <c r="G111" s="165">
        <f t="shared" si="61"/>
        <v>0</v>
      </c>
      <c r="H111" s="165">
        <f t="shared" si="61"/>
        <v>0</v>
      </c>
      <c r="I111" s="165">
        <f t="shared" si="61"/>
        <v>0</v>
      </c>
      <c r="J111" s="165">
        <f t="shared" si="61"/>
        <v>0</v>
      </c>
      <c r="K111" s="165">
        <f t="shared" si="61"/>
        <v>0</v>
      </c>
      <c r="L111" s="165">
        <f t="shared" si="61"/>
        <v>0</v>
      </c>
      <c r="M111" s="165">
        <f t="shared" si="61"/>
        <v>0</v>
      </c>
      <c r="N111" s="165">
        <f t="shared" si="61"/>
        <v>0</v>
      </c>
      <c r="O111" s="165">
        <f t="shared" si="61"/>
        <v>0</v>
      </c>
      <c r="P111" s="165">
        <f t="shared" si="61"/>
        <v>0</v>
      </c>
      <c r="Q111" s="165">
        <f t="shared" si="61"/>
        <v>0</v>
      </c>
      <c r="R111" s="165">
        <f t="shared" si="61"/>
        <v>0</v>
      </c>
      <c r="S111" s="165">
        <f t="shared" si="61"/>
        <v>0</v>
      </c>
      <c r="T111" s="165">
        <f t="shared" si="61"/>
        <v>0</v>
      </c>
      <c r="U111" s="165">
        <f t="shared" si="61"/>
        <v>0</v>
      </c>
      <c r="V111" s="165">
        <f t="shared" si="61"/>
        <v>0</v>
      </c>
      <c r="W111" s="165">
        <f t="shared" si="61"/>
        <v>0</v>
      </c>
      <c r="X111" s="165">
        <f t="shared" si="61"/>
        <v>0</v>
      </c>
      <c r="Y111" s="165">
        <f t="shared" si="61"/>
        <v>0</v>
      </c>
      <c r="Z111" s="165">
        <f t="shared" si="61"/>
        <v>0</v>
      </c>
      <c r="AA111" s="165">
        <f t="shared" si="61"/>
        <v>0</v>
      </c>
      <c r="AB111" s="165">
        <f t="shared" si="61"/>
        <v>0</v>
      </c>
      <c r="AC111" s="165">
        <f t="shared" si="61"/>
        <v>0</v>
      </c>
      <c r="AD111" s="165">
        <f t="shared" si="61"/>
        <v>0</v>
      </c>
      <c r="AE111" s="165">
        <f t="shared" si="61"/>
        <v>0</v>
      </c>
      <c r="AF111" s="165">
        <f t="shared" si="61"/>
        <v>0</v>
      </c>
      <c r="AG111" s="165">
        <f t="shared" si="61"/>
        <v>0</v>
      </c>
      <c r="AH111" s="165">
        <f t="shared" si="61"/>
        <v>0</v>
      </c>
      <c r="AI111" s="292">
        <f>+AI110*AI109</f>
        <v>75.948865248226966</v>
      </c>
      <c r="AJ111" s="293">
        <f>+AJ109*AJ110</f>
        <v>75.948865248226966</v>
      </c>
    </row>
    <row r="112" spans="1:36" ht="15" thickBot="1" x14ac:dyDescent="0.35">
      <c r="A112" s="203"/>
      <c r="B112" s="162"/>
      <c r="C112" s="163" t="s">
        <v>19</v>
      </c>
      <c r="D112" s="2">
        <v>10708.79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94">
        <f>SUM(D112:AH112)</f>
        <v>10708.79</v>
      </c>
      <c r="AJ112" s="295">
        <f>+AI112/$A$1*$AK$1</f>
        <v>331972.49000000005</v>
      </c>
    </row>
    <row r="113" spans="1:36" x14ac:dyDescent="0.3">
      <c r="A113" s="203">
        <v>98</v>
      </c>
      <c r="B113" s="201" t="s">
        <v>46</v>
      </c>
      <c r="C113" s="104" t="s">
        <v>15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76">
        <f>SUM(D113:AH113)</f>
        <v>0</v>
      </c>
      <c r="AJ113" s="285">
        <f>+$AI113/$A$1*$AK$1</f>
        <v>0</v>
      </c>
    </row>
    <row r="114" spans="1:36" x14ac:dyDescent="0.3">
      <c r="A114" s="203"/>
      <c r="B114" s="33"/>
      <c r="C114" s="34" t="s">
        <v>16</v>
      </c>
      <c r="D114" s="35">
        <f t="shared" ref="D114:AH114" si="62">+D113/$A113</f>
        <v>0</v>
      </c>
      <c r="E114" s="35">
        <f t="shared" si="62"/>
        <v>0</v>
      </c>
      <c r="F114" s="35">
        <f t="shared" si="62"/>
        <v>0</v>
      </c>
      <c r="G114" s="35">
        <f t="shared" si="62"/>
        <v>0</v>
      </c>
      <c r="H114" s="35">
        <f t="shared" si="62"/>
        <v>0</v>
      </c>
      <c r="I114" s="35">
        <f t="shared" si="62"/>
        <v>0</v>
      </c>
      <c r="J114" s="35">
        <f t="shared" si="62"/>
        <v>0</v>
      </c>
      <c r="K114" s="35">
        <f t="shared" si="62"/>
        <v>0</v>
      </c>
      <c r="L114" s="35">
        <f>+L113/$A113</f>
        <v>0</v>
      </c>
      <c r="M114" s="35">
        <f t="shared" si="62"/>
        <v>0</v>
      </c>
      <c r="N114" s="35">
        <f t="shared" si="62"/>
        <v>0</v>
      </c>
      <c r="O114" s="35">
        <f t="shared" si="62"/>
        <v>0</v>
      </c>
      <c r="P114" s="35">
        <f t="shared" si="62"/>
        <v>0</v>
      </c>
      <c r="Q114" s="35">
        <f t="shared" si="62"/>
        <v>0</v>
      </c>
      <c r="R114" s="35">
        <f t="shared" si="62"/>
        <v>0</v>
      </c>
      <c r="S114" s="35">
        <f t="shared" si="62"/>
        <v>0</v>
      </c>
      <c r="T114" s="35">
        <f t="shared" si="62"/>
        <v>0</v>
      </c>
      <c r="U114" s="35">
        <f t="shared" si="62"/>
        <v>0</v>
      </c>
      <c r="V114" s="35">
        <f t="shared" si="62"/>
        <v>0</v>
      </c>
      <c r="W114" s="35">
        <f t="shared" si="62"/>
        <v>0</v>
      </c>
      <c r="X114" s="35">
        <f t="shared" si="62"/>
        <v>0</v>
      </c>
      <c r="Y114" s="35">
        <f>+Y113/$A113</f>
        <v>0</v>
      </c>
      <c r="Z114" s="35">
        <f t="shared" si="62"/>
        <v>0</v>
      </c>
      <c r="AA114" s="35">
        <f t="shared" si="62"/>
        <v>0</v>
      </c>
      <c r="AB114" s="35">
        <f t="shared" si="62"/>
        <v>0</v>
      </c>
      <c r="AC114" s="35">
        <f t="shared" si="62"/>
        <v>0</v>
      </c>
      <c r="AD114" s="35">
        <f t="shared" si="62"/>
        <v>0</v>
      </c>
      <c r="AE114" s="35">
        <f t="shared" si="62"/>
        <v>0</v>
      </c>
      <c r="AF114" s="35">
        <f t="shared" si="62"/>
        <v>0</v>
      </c>
      <c r="AG114" s="35">
        <f t="shared" si="62"/>
        <v>0</v>
      </c>
      <c r="AH114" s="35">
        <f t="shared" si="62"/>
        <v>0</v>
      </c>
      <c r="AI114" s="281">
        <f>+AI113/(A113*A$1)</f>
        <v>0</v>
      </c>
      <c r="AJ114" s="282">
        <f>AJ113/($A113*AK1)</f>
        <v>0</v>
      </c>
    </row>
    <row r="115" spans="1:36" x14ac:dyDescent="0.3">
      <c r="A115" s="203"/>
      <c r="B115" s="33"/>
      <c r="C115" s="34" t="s">
        <v>17</v>
      </c>
      <c r="D115" s="37">
        <f t="shared" ref="D115:AH115" si="63">+IFERROR(D117/D113,0)</f>
        <v>0</v>
      </c>
      <c r="E115" s="37">
        <f t="shared" si="63"/>
        <v>0</v>
      </c>
      <c r="F115" s="37">
        <f t="shared" si="63"/>
        <v>0</v>
      </c>
      <c r="G115" s="37">
        <f t="shared" si="63"/>
        <v>0</v>
      </c>
      <c r="H115" s="37">
        <f t="shared" si="63"/>
        <v>0</v>
      </c>
      <c r="I115" s="37">
        <f t="shared" si="63"/>
        <v>0</v>
      </c>
      <c r="J115" s="37">
        <f t="shared" si="63"/>
        <v>0</v>
      </c>
      <c r="K115" s="37">
        <f t="shared" si="63"/>
        <v>0</v>
      </c>
      <c r="L115" s="37">
        <f t="shared" si="63"/>
        <v>0</v>
      </c>
      <c r="M115" s="37">
        <f t="shared" si="63"/>
        <v>0</v>
      </c>
      <c r="N115" s="37">
        <f t="shared" si="63"/>
        <v>0</v>
      </c>
      <c r="O115" s="37">
        <f t="shared" si="63"/>
        <v>0</v>
      </c>
      <c r="P115" s="37">
        <f t="shared" si="63"/>
        <v>0</v>
      </c>
      <c r="Q115" s="37">
        <f t="shared" si="63"/>
        <v>0</v>
      </c>
      <c r="R115" s="37">
        <f t="shared" si="63"/>
        <v>0</v>
      </c>
      <c r="S115" s="37">
        <f t="shared" si="63"/>
        <v>0</v>
      </c>
      <c r="T115" s="37">
        <f t="shared" si="63"/>
        <v>0</v>
      </c>
      <c r="U115" s="37">
        <f t="shared" si="63"/>
        <v>0</v>
      </c>
      <c r="V115" s="37">
        <f t="shared" si="63"/>
        <v>0</v>
      </c>
      <c r="W115" s="37">
        <f t="shared" si="63"/>
        <v>0</v>
      </c>
      <c r="X115" s="37">
        <f t="shared" si="63"/>
        <v>0</v>
      </c>
      <c r="Y115" s="37">
        <f>+IFERROR(Y117/Y113,0)</f>
        <v>0</v>
      </c>
      <c r="Z115" s="37">
        <f t="shared" si="63"/>
        <v>0</v>
      </c>
      <c r="AA115" s="37">
        <f t="shared" si="63"/>
        <v>0</v>
      </c>
      <c r="AB115" s="37">
        <f t="shared" si="63"/>
        <v>0</v>
      </c>
      <c r="AC115" s="37">
        <f t="shared" si="63"/>
        <v>0</v>
      </c>
      <c r="AD115" s="37">
        <f>+IFERROR(AD117/AD113,0)</f>
        <v>0</v>
      </c>
      <c r="AE115" s="37">
        <f t="shared" si="63"/>
        <v>0</v>
      </c>
      <c r="AF115" s="37">
        <f t="shared" si="63"/>
        <v>0</v>
      </c>
      <c r="AG115" s="37">
        <f t="shared" si="63"/>
        <v>0</v>
      </c>
      <c r="AH115" s="37">
        <f t="shared" si="63"/>
        <v>0</v>
      </c>
      <c r="AI115" s="283" t="e">
        <f>+AI117/AI113</f>
        <v>#DIV/0!</v>
      </c>
      <c r="AJ115" s="279" t="e">
        <f>+AJ117/AJ113</f>
        <v>#DIV/0!</v>
      </c>
    </row>
    <row r="116" spans="1:36" x14ac:dyDescent="0.3">
      <c r="A116" s="203"/>
      <c r="B116" s="33"/>
      <c r="C116" s="34" t="s">
        <v>18</v>
      </c>
      <c r="D116" s="37">
        <f t="shared" ref="D116:AH116" si="64">+D114*D115</f>
        <v>0</v>
      </c>
      <c r="E116" s="37">
        <f t="shared" si="64"/>
        <v>0</v>
      </c>
      <c r="F116" s="37">
        <f t="shared" si="64"/>
        <v>0</v>
      </c>
      <c r="G116" s="37">
        <f t="shared" si="64"/>
        <v>0</v>
      </c>
      <c r="H116" s="37">
        <f t="shared" si="64"/>
        <v>0</v>
      </c>
      <c r="I116" s="37">
        <f t="shared" si="64"/>
        <v>0</v>
      </c>
      <c r="J116" s="37">
        <f t="shared" si="64"/>
        <v>0</v>
      </c>
      <c r="K116" s="37">
        <f t="shared" si="64"/>
        <v>0</v>
      </c>
      <c r="L116" s="37">
        <f t="shared" si="64"/>
        <v>0</v>
      </c>
      <c r="M116" s="37">
        <f t="shared" si="64"/>
        <v>0</v>
      </c>
      <c r="N116" s="37">
        <f t="shared" si="64"/>
        <v>0</v>
      </c>
      <c r="O116" s="37">
        <f t="shared" si="64"/>
        <v>0</v>
      </c>
      <c r="P116" s="37">
        <f t="shared" si="64"/>
        <v>0</v>
      </c>
      <c r="Q116" s="37">
        <f t="shared" si="64"/>
        <v>0</v>
      </c>
      <c r="R116" s="37">
        <f t="shared" si="64"/>
        <v>0</v>
      </c>
      <c r="S116" s="37">
        <f t="shared" si="64"/>
        <v>0</v>
      </c>
      <c r="T116" s="37">
        <f t="shared" si="64"/>
        <v>0</v>
      </c>
      <c r="U116" s="37">
        <f t="shared" si="64"/>
        <v>0</v>
      </c>
      <c r="V116" s="37">
        <f t="shared" si="64"/>
        <v>0</v>
      </c>
      <c r="W116" s="37">
        <f t="shared" si="64"/>
        <v>0</v>
      </c>
      <c r="X116" s="37">
        <f t="shared" si="64"/>
        <v>0</v>
      </c>
      <c r="Y116" s="37">
        <f t="shared" si="64"/>
        <v>0</v>
      </c>
      <c r="Z116" s="37">
        <f t="shared" si="64"/>
        <v>0</v>
      </c>
      <c r="AA116" s="37">
        <f t="shared" si="64"/>
        <v>0</v>
      </c>
      <c r="AB116" s="37">
        <f t="shared" si="64"/>
        <v>0</v>
      </c>
      <c r="AC116" s="37">
        <f t="shared" si="64"/>
        <v>0</v>
      </c>
      <c r="AD116" s="37">
        <f t="shared" si="64"/>
        <v>0</v>
      </c>
      <c r="AE116" s="37">
        <f t="shared" si="64"/>
        <v>0</v>
      </c>
      <c r="AF116" s="37">
        <f t="shared" si="64"/>
        <v>0</v>
      </c>
      <c r="AG116" s="37">
        <f t="shared" si="64"/>
        <v>0</v>
      </c>
      <c r="AH116" s="37">
        <f t="shared" si="64"/>
        <v>0</v>
      </c>
      <c r="AI116" s="283" t="e">
        <f>+AI115*AI114</f>
        <v>#DIV/0!</v>
      </c>
      <c r="AJ116" s="279" t="e">
        <f>+AJ114*AJ115</f>
        <v>#DIV/0!</v>
      </c>
    </row>
    <row r="117" spans="1:36" ht="15" thickBot="1" x14ac:dyDescent="0.35">
      <c r="A117" s="203"/>
      <c r="B117" s="141"/>
      <c r="C117" s="65" t="s">
        <v>19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11">
        <f>SUM(D117:AH117)</f>
        <v>0</v>
      </c>
      <c r="AJ117" s="285">
        <f>+AI117/$A$1*$AK$1</f>
        <v>0</v>
      </c>
    </row>
    <row r="118" spans="1:36" ht="15.6" thickTop="1" thickBot="1" x14ac:dyDescent="0.35">
      <c r="A118" s="203"/>
      <c r="B118" s="203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316"/>
      <c r="AJ118" s="317">
        <f>+AI117+AI107+AI102+AI97+AI92+AI87+AI82+AI74+AI69+AI64+AI57+AI45+AI40+AI35+AI30+AI22+AI14+AI112</f>
        <v>93057.919999999984</v>
      </c>
    </row>
    <row r="119" spans="1:36" ht="28.8" x14ac:dyDescent="0.3">
      <c r="A119" s="203"/>
      <c r="B119" s="203"/>
      <c r="C119" s="240"/>
      <c r="D119" s="240">
        <v>1</v>
      </c>
      <c r="E119" s="240">
        <v>2</v>
      </c>
      <c r="F119" s="240">
        <v>3</v>
      </c>
      <c r="G119" s="240">
        <v>4</v>
      </c>
      <c r="H119" s="240">
        <v>5</v>
      </c>
      <c r="I119" s="240">
        <v>6</v>
      </c>
      <c r="J119" s="240">
        <v>7</v>
      </c>
      <c r="K119" s="240">
        <v>8</v>
      </c>
      <c r="L119" s="240">
        <v>9</v>
      </c>
      <c r="M119" s="240">
        <v>10</v>
      </c>
      <c r="N119" s="240">
        <v>11</v>
      </c>
      <c r="O119" s="240">
        <v>12</v>
      </c>
      <c r="P119" s="240">
        <v>13</v>
      </c>
      <c r="Q119" s="240">
        <v>14</v>
      </c>
      <c r="R119" s="240">
        <v>15</v>
      </c>
      <c r="S119" s="240">
        <v>16</v>
      </c>
      <c r="T119" s="240">
        <v>17</v>
      </c>
      <c r="U119" s="240">
        <v>18</v>
      </c>
      <c r="V119" s="240">
        <v>19</v>
      </c>
      <c r="W119" s="240">
        <v>20</v>
      </c>
      <c r="X119" s="240">
        <v>21</v>
      </c>
      <c r="Y119" s="240">
        <v>22</v>
      </c>
      <c r="Z119" s="240">
        <v>23</v>
      </c>
      <c r="AA119" s="240">
        <v>24</v>
      </c>
      <c r="AB119" s="240">
        <v>25</v>
      </c>
      <c r="AC119" s="240">
        <v>26</v>
      </c>
      <c r="AD119" s="240">
        <v>27</v>
      </c>
      <c r="AE119" s="240">
        <v>28</v>
      </c>
      <c r="AF119" s="240">
        <v>29</v>
      </c>
      <c r="AG119" s="240">
        <v>30</v>
      </c>
      <c r="AH119" s="240">
        <v>31</v>
      </c>
      <c r="AI119" s="318" t="s">
        <v>47</v>
      </c>
      <c r="AJ119" s="318" t="s">
        <v>48</v>
      </c>
    </row>
    <row r="120" spans="1:36" x14ac:dyDescent="0.3">
      <c r="A120" s="203"/>
      <c r="B120" s="203" t="s">
        <v>56</v>
      </c>
      <c r="C120" s="240"/>
      <c r="D120" s="158">
        <f t="shared" ref="D120:AF120" si="65">+D117+D112+D107+D102+D97+D91+D87+D82+D74+D69+D59+D45+D40+D35+D30+D22+D14</f>
        <v>88041.761391304331</v>
      </c>
      <c r="E120" s="158">
        <f t="shared" si="65"/>
        <v>0</v>
      </c>
      <c r="F120" s="158">
        <f t="shared" si="65"/>
        <v>0</v>
      </c>
      <c r="G120" s="158">
        <f t="shared" si="65"/>
        <v>0</v>
      </c>
      <c r="H120" s="158">
        <f t="shared" si="65"/>
        <v>0</v>
      </c>
      <c r="I120" s="158">
        <f t="shared" si="65"/>
        <v>0</v>
      </c>
      <c r="J120" s="158">
        <f t="shared" si="65"/>
        <v>0</v>
      </c>
      <c r="K120" s="158">
        <f t="shared" si="65"/>
        <v>0</v>
      </c>
      <c r="L120" s="158">
        <f t="shared" si="65"/>
        <v>0</v>
      </c>
      <c r="M120" s="158">
        <f t="shared" si="65"/>
        <v>0</v>
      </c>
      <c r="N120" s="158">
        <f t="shared" si="65"/>
        <v>0</v>
      </c>
      <c r="O120" s="158">
        <f t="shared" si="65"/>
        <v>0</v>
      </c>
      <c r="P120" s="158">
        <f t="shared" si="65"/>
        <v>0</v>
      </c>
      <c r="Q120" s="158">
        <f t="shared" si="65"/>
        <v>0</v>
      </c>
      <c r="R120" s="158">
        <f t="shared" si="65"/>
        <v>0</v>
      </c>
      <c r="S120" s="158">
        <f t="shared" si="65"/>
        <v>0</v>
      </c>
      <c r="T120" s="158">
        <f t="shared" si="65"/>
        <v>0</v>
      </c>
      <c r="U120" s="158">
        <f t="shared" si="65"/>
        <v>0</v>
      </c>
      <c r="V120" s="158">
        <f t="shared" si="65"/>
        <v>0</v>
      </c>
      <c r="W120" s="158">
        <f t="shared" si="65"/>
        <v>0</v>
      </c>
      <c r="X120" s="158">
        <f t="shared" si="65"/>
        <v>0</v>
      </c>
      <c r="Y120" s="158">
        <f t="shared" si="65"/>
        <v>0</v>
      </c>
      <c r="Z120" s="158">
        <f t="shared" si="65"/>
        <v>0</v>
      </c>
      <c r="AA120" s="158">
        <f t="shared" si="65"/>
        <v>0</v>
      </c>
      <c r="AB120" s="158">
        <f t="shared" si="65"/>
        <v>0</v>
      </c>
      <c r="AC120" s="158">
        <f t="shared" si="65"/>
        <v>0</v>
      </c>
      <c r="AD120" s="158">
        <f t="shared" si="65"/>
        <v>0</v>
      </c>
      <c r="AE120" s="158">
        <f t="shared" si="65"/>
        <v>0</v>
      </c>
      <c r="AF120" s="158">
        <f t="shared" si="65"/>
        <v>0</v>
      </c>
      <c r="AG120" s="158">
        <f>+AG117+AG112+AG107+AG102+AG97+AG91+AG87+AG82+AG74+AG69+AG59+AG45+AG40+AG35+AG30+AG22+AG14</f>
        <v>0</v>
      </c>
      <c r="AH120" s="158">
        <f>+AH117+AH112+AH107+AH102+AH97+AH91+AH87+AH82+AH74+AH69+AH59+AH45+AH40+AH35+AH30+AH22+AH14</f>
        <v>0</v>
      </c>
      <c r="AI120" s="319">
        <f>AVERAGE(D120:U120)</f>
        <v>4891.2089661835744</v>
      </c>
      <c r="AJ120" s="318"/>
    </row>
    <row r="121" spans="1:36" x14ac:dyDescent="0.3">
      <c r="A121" s="203"/>
      <c r="B121" s="203" t="s">
        <v>57</v>
      </c>
      <c r="C121" s="240"/>
      <c r="D121" s="158">
        <v>156997.45999999996</v>
      </c>
      <c r="E121" s="158">
        <v>158569.68</v>
      </c>
      <c r="F121" s="158">
        <v>194237</v>
      </c>
      <c r="G121" s="158">
        <v>173297.15</v>
      </c>
      <c r="H121" s="158">
        <v>119708.284</v>
      </c>
      <c r="I121" s="158">
        <v>174255.63</v>
      </c>
      <c r="J121" s="158">
        <v>192587.53000000003</v>
      </c>
      <c r="K121" s="158">
        <v>189711.47999999998</v>
      </c>
      <c r="L121" s="158">
        <v>155476.89000000001</v>
      </c>
      <c r="M121" s="158">
        <v>179795.72</v>
      </c>
      <c r="N121" s="158">
        <v>173343.68000000002</v>
      </c>
      <c r="O121" s="158">
        <v>119971.66</v>
      </c>
      <c r="P121" s="158">
        <v>185721.62</v>
      </c>
      <c r="Q121" s="158">
        <v>216505.76</v>
      </c>
      <c r="R121" s="158">
        <v>204669.06000000003</v>
      </c>
      <c r="S121" s="158">
        <v>185151.80000000002</v>
      </c>
      <c r="T121" s="158">
        <v>177583.24000000002</v>
      </c>
      <c r="U121" s="158">
        <v>175471.07</v>
      </c>
      <c r="V121" s="158">
        <v>128069.77999999998</v>
      </c>
      <c r="W121" s="158">
        <v>166344.91999999998</v>
      </c>
      <c r="X121" s="158">
        <v>198238.21000000005</v>
      </c>
      <c r="Y121" s="158">
        <v>200543.36000000002</v>
      </c>
      <c r="Z121" s="158">
        <v>198024.49000000002</v>
      </c>
      <c r="AA121" s="158">
        <v>240642.15</v>
      </c>
      <c r="AB121" s="158">
        <v>225985.67</v>
      </c>
      <c r="AC121" s="158">
        <v>134633.53999999998</v>
      </c>
      <c r="AD121" s="158">
        <v>187359.25999999995</v>
      </c>
      <c r="AE121" s="158">
        <v>199847.62999999998</v>
      </c>
      <c r="AF121" s="158">
        <v>134502</v>
      </c>
      <c r="AG121" s="158">
        <v>116920.98000000001</v>
      </c>
      <c r="AH121" s="158">
        <f>+AH117+AH112+AH107+AH102+AH97+AH92+AH87+AH82+AH74+AH69+AH59+AH45+AH40+AH35+AH30+AH22+AH14</f>
        <v>0</v>
      </c>
      <c r="AI121" s="319">
        <f>AVERAGE(D121:AE121)</f>
        <v>179026.56157142855</v>
      </c>
      <c r="AJ121" s="320">
        <f>+AI121/AI122-1</f>
        <v>6.4957376219160645E-2</v>
      </c>
    </row>
    <row r="122" spans="1:36" x14ac:dyDescent="0.3">
      <c r="A122" s="203"/>
      <c r="B122" s="203" t="s">
        <v>49</v>
      </c>
      <c r="C122" s="240"/>
      <c r="D122" s="158">
        <v>108967.27000000002</v>
      </c>
      <c r="E122" s="158">
        <v>147836.46</v>
      </c>
      <c r="F122" s="158">
        <v>158968.61999999997</v>
      </c>
      <c r="G122" s="158">
        <v>163514.79099999997</v>
      </c>
      <c r="H122" s="158">
        <v>172974.04999999996</v>
      </c>
      <c r="I122" s="158">
        <v>168839.37000000002</v>
      </c>
      <c r="J122" s="158">
        <v>156890.75999999998</v>
      </c>
      <c r="K122" s="158">
        <v>127466.08999999997</v>
      </c>
      <c r="L122" s="158">
        <v>179859.94999999998</v>
      </c>
      <c r="M122" s="158">
        <v>197325.85000000003</v>
      </c>
      <c r="N122" s="158">
        <v>192981.05000000002</v>
      </c>
      <c r="O122" s="158">
        <v>218390.98999999996</v>
      </c>
      <c r="P122" s="158">
        <v>223246.62</v>
      </c>
      <c r="Q122" s="158">
        <v>205428.65</v>
      </c>
      <c r="R122" s="158">
        <v>111456.17</v>
      </c>
      <c r="S122" s="158">
        <v>142758.69</v>
      </c>
      <c r="T122" s="158">
        <v>168727.56000000003</v>
      </c>
      <c r="U122" s="158">
        <v>158949.52000000002</v>
      </c>
      <c r="V122" s="158">
        <v>153462.42999999996</v>
      </c>
      <c r="W122" s="158">
        <v>198069.11</v>
      </c>
      <c r="X122" s="158">
        <v>206703.33999999994</v>
      </c>
      <c r="Y122" s="158">
        <v>152549.52000000002</v>
      </c>
      <c r="Z122" s="158">
        <v>197319.29</v>
      </c>
      <c r="AA122" s="158">
        <v>213744.25999999998</v>
      </c>
      <c r="AB122" s="158">
        <v>172556.69999999998</v>
      </c>
      <c r="AC122" s="158">
        <v>155253.21</v>
      </c>
      <c r="AD122" s="158">
        <v>168296.33000000002</v>
      </c>
      <c r="AE122" s="158">
        <v>208899.81</v>
      </c>
      <c r="AF122" s="158">
        <v>126420.59000000001</v>
      </c>
      <c r="AG122" s="158">
        <v>92423.460000000021</v>
      </c>
      <c r="AH122" s="158">
        <v>161029.85</v>
      </c>
      <c r="AI122" s="319">
        <f>AVERAGE(D122:AH122)</f>
        <v>168106.78583870962</v>
      </c>
      <c r="AJ122" s="320">
        <f>+AI123/AI123-1</f>
        <v>0</v>
      </c>
    </row>
    <row r="123" spans="1:36" x14ac:dyDescent="0.3">
      <c r="A123" s="203"/>
      <c r="B123" s="203" t="s">
        <v>50</v>
      </c>
      <c r="C123" s="240"/>
      <c r="D123" s="158">
        <v>119447</v>
      </c>
      <c r="E123" s="158">
        <v>87090</v>
      </c>
      <c r="F123" s="158">
        <v>101356</v>
      </c>
      <c r="G123" s="158">
        <v>113572</v>
      </c>
      <c r="H123" s="158">
        <v>127837</v>
      </c>
      <c r="I123" s="158">
        <v>134927</v>
      </c>
      <c r="J123" s="158">
        <v>154766</v>
      </c>
      <c r="K123" s="158">
        <v>150751</v>
      </c>
      <c r="L123" s="158">
        <v>108587</v>
      </c>
      <c r="M123" s="158">
        <v>133543</v>
      </c>
      <c r="N123" s="158">
        <v>110892</v>
      </c>
      <c r="O123" s="158">
        <v>130055</v>
      </c>
      <c r="P123" s="158">
        <v>116397</v>
      </c>
      <c r="Q123" s="158">
        <v>132276</v>
      </c>
      <c r="R123" s="158">
        <v>140500</v>
      </c>
      <c r="S123" s="158">
        <v>122559</v>
      </c>
      <c r="T123" s="158">
        <v>84020</v>
      </c>
      <c r="U123" s="158">
        <v>125866</v>
      </c>
      <c r="V123" s="240"/>
      <c r="W123" s="240"/>
      <c r="X123" s="240"/>
      <c r="Y123" s="240"/>
      <c r="Z123" s="240"/>
      <c r="AA123" s="240"/>
      <c r="AB123" s="240"/>
      <c r="AC123" s="240"/>
      <c r="AD123" s="240"/>
      <c r="AE123" s="240"/>
      <c r="AF123" s="240"/>
      <c r="AG123" s="240"/>
      <c r="AH123" s="240"/>
      <c r="AI123" s="319">
        <f>AVERAGE(D123:AH123)</f>
        <v>121913.38888888889</v>
      </c>
      <c r="AJ123" s="320">
        <f>+AI123/AI124-1</f>
        <v>1.0047674309761057E-3</v>
      </c>
    </row>
    <row r="124" spans="1:36" x14ac:dyDescent="0.3">
      <c r="A124" s="203"/>
      <c r="B124" s="203" t="s">
        <v>51</v>
      </c>
      <c r="C124" s="240"/>
      <c r="D124" s="158">
        <v>141124</v>
      </c>
      <c r="E124" s="158">
        <v>148318</v>
      </c>
      <c r="F124" s="158">
        <v>180210</v>
      </c>
      <c r="G124" s="158">
        <v>182187</v>
      </c>
      <c r="H124" s="158">
        <v>90926</v>
      </c>
      <c r="I124" s="158">
        <v>142191</v>
      </c>
      <c r="J124" s="158">
        <v>154670</v>
      </c>
      <c r="K124" s="158">
        <v>124979</v>
      </c>
      <c r="L124" s="158">
        <v>143617</v>
      </c>
      <c r="M124" s="158">
        <v>154379</v>
      </c>
      <c r="N124" s="158">
        <v>161804</v>
      </c>
      <c r="O124" s="158">
        <v>94785</v>
      </c>
      <c r="P124" s="158">
        <v>127796</v>
      </c>
      <c r="Q124" s="158">
        <v>124395</v>
      </c>
      <c r="R124" s="158">
        <v>127245</v>
      </c>
      <c r="S124" s="158">
        <v>124955</v>
      </c>
      <c r="T124" s="158">
        <v>150751.5</v>
      </c>
      <c r="U124" s="158">
        <v>158865</v>
      </c>
      <c r="V124" s="158">
        <v>86339</v>
      </c>
      <c r="W124" s="158">
        <v>90237</v>
      </c>
      <c r="X124" s="158">
        <v>83794</v>
      </c>
      <c r="Y124" s="158">
        <v>84908</v>
      </c>
      <c r="Z124" s="158">
        <v>84753</v>
      </c>
      <c r="AA124" s="158">
        <v>85520</v>
      </c>
      <c r="AB124" s="158">
        <v>91568</v>
      </c>
      <c r="AC124" s="158">
        <v>96637</v>
      </c>
      <c r="AD124" s="158">
        <v>96617</v>
      </c>
      <c r="AE124" s="158">
        <v>90977</v>
      </c>
      <c r="AF124" s="158">
        <v>107392</v>
      </c>
      <c r="AG124" s="240"/>
      <c r="AH124" s="240"/>
      <c r="AI124" s="319">
        <f>AVERAGE(D124:AH124)</f>
        <v>121791.0172413793</v>
      </c>
      <c r="AJ124" s="320">
        <f t="shared" ref="AJ124:AJ126" si="66">+AI124/AI125-1</f>
        <v>-0.20363410320327613</v>
      </c>
    </row>
    <row r="125" spans="1:36" x14ac:dyDescent="0.3">
      <c r="A125" s="203"/>
      <c r="B125" s="203" t="s">
        <v>52</v>
      </c>
      <c r="C125" s="240"/>
      <c r="D125" s="158">
        <v>124580</v>
      </c>
      <c r="E125" s="158">
        <v>154296.66</v>
      </c>
      <c r="F125" s="158">
        <v>147753</v>
      </c>
      <c r="G125" s="158">
        <v>158873</v>
      </c>
      <c r="H125" s="158">
        <v>199471</v>
      </c>
      <c r="I125" s="158">
        <v>215054</v>
      </c>
      <c r="J125" s="158">
        <v>125430</v>
      </c>
      <c r="K125" s="158">
        <v>152548</v>
      </c>
      <c r="L125" s="158">
        <v>165244</v>
      </c>
      <c r="M125" s="158">
        <v>171115</v>
      </c>
      <c r="N125" s="158">
        <v>173427</v>
      </c>
      <c r="O125" s="158">
        <v>212169</v>
      </c>
      <c r="P125" s="158">
        <v>214125</v>
      </c>
      <c r="Q125" s="158">
        <v>122065</v>
      </c>
      <c r="R125" s="158">
        <v>148524</v>
      </c>
      <c r="S125" s="158">
        <v>163208.09</v>
      </c>
      <c r="T125" s="158">
        <v>160525</v>
      </c>
      <c r="U125" s="158">
        <v>169998</v>
      </c>
      <c r="V125" s="158">
        <v>183815</v>
      </c>
      <c r="W125" s="158">
        <v>179974</v>
      </c>
      <c r="X125" s="158">
        <v>103759</v>
      </c>
      <c r="Y125" s="158">
        <v>99566</v>
      </c>
      <c r="Z125" s="158">
        <v>106365</v>
      </c>
      <c r="AA125" s="158">
        <v>117504</v>
      </c>
      <c r="AB125" s="158">
        <v>144736</v>
      </c>
      <c r="AC125" s="158">
        <v>172844</v>
      </c>
      <c r="AD125" s="158">
        <v>141290</v>
      </c>
      <c r="AE125" s="158">
        <v>90862</v>
      </c>
      <c r="AF125" s="158">
        <v>131911</v>
      </c>
      <c r="AG125" s="158">
        <v>136973</v>
      </c>
      <c r="AH125" s="240"/>
      <c r="AI125" s="319">
        <f>AVERAGE(D125:AH125)</f>
        <v>152933.49166666667</v>
      </c>
      <c r="AJ125" s="320">
        <f t="shared" si="66"/>
        <v>-0.13430132907555237</v>
      </c>
    </row>
    <row r="126" spans="1:36" x14ac:dyDescent="0.3">
      <c r="A126" s="203"/>
      <c r="B126" s="203" t="s">
        <v>53</v>
      </c>
      <c r="C126" s="240"/>
      <c r="D126" s="158">
        <v>184355</v>
      </c>
      <c r="E126" s="158">
        <v>203785</v>
      </c>
      <c r="F126" s="158">
        <v>126974</v>
      </c>
      <c r="G126" s="158">
        <v>151832</v>
      </c>
      <c r="H126" s="158">
        <v>157157.78</v>
      </c>
      <c r="I126" s="158">
        <v>159133</v>
      </c>
      <c r="J126" s="158">
        <v>166580.95000000001</v>
      </c>
      <c r="K126" s="158">
        <v>262111</v>
      </c>
      <c r="L126" s="158">
        <v>260375</v>
      </c>
      <c r="M126" s="158">
        <v>158326</v>
      </c>
      <c r="N126" s="158">
        <v>156220.25</v>
      </c>
      <c r="O126" s="158">
        <v>164611</v>
      </c>
      <c r="P126" s="158">
        <v>178027</v>
      </c>
      <c r="Q126" s="158">
        <v>186451</v>
      </c>
      <c r="R126" s="158">
        <v>242164</v>
      </c>
      <c r="S126" s="158">
        <v>250953</v>
      </c>
      <c r="T126" s="158">
        <v>128371</v>
      </c>
      <c r="U126" s="158">
        <v>150396</v>
      </c>
      <c r="V126" s="158">
        <v>150531</v>
      </c>
      <c r="W126" s="158">
        <v>167115</v>
      </c>
      <c r="X126" s="158">
        <v>161143</v>
      </c>
      <c r="Y126" s="158">
        <v>207530</v>
      </c>
      <c r="Z126" s="158">
        <v>211524</v>
      </c>
      <c r="AA126" s="158">
        <v>133795</v>
      </c>
      <c r="AB126" s="158">
        <v>135271</v>
      </c>
      <c r="AC126" s="158">
        <v>197736.5</v>
      </c>
      <c r="AD126" s="158">
        <v>173262</v>
      </c>
      <c r="AE126" s="158">
        <v>149680</v>
      </c>
      <c r="AF126" s="158">
        <v>184454</v>
      </c>
      <c r="AG126" s="158">
        <v>186589</v>
      </c>
      <c r="AH126" s="158">
        <v>129976.6</v>
      </c>
      <c r="AI126" s="319">
        <f>AVERAGE(D126:AH126)</f>
        <v>176659.03483870969</v>
      </c>
      <c r="AJ126" s="320">
        <f t="shared" si="66"/>
        <v>0.16399498112028188</v>
      </c>
    </row>
    <row r="127" spans="1:36" x14ac:dyDescent="0.3">
      <c r="A127" s="203"/>
      <c r="B127" s="203" t="s">
        <v>54</v>
      </c>
      <c r="C127" s="240"/>
      <c r="D127" s="158">
        <v>135081</v>
      </c>
      <c r="E127" s="158">
        <v>119804</v>
      </c>
      <c r="F127" s="158">
        <v>159717</v>
      </c>
      <c r="G127" s="158">
        <v>200553</v>
      </c>
      <c r="H127" s="158">
        <v>146119</v>
      </c>
      <c r="I127" s="158">
        <v>95658</v>
      </c>
      <c r="J127" s="158">
        <v>120350</v>
      </c>
      <c r="K127" s="158">
        <v>127624</v>
      </c>
      <c r="L127" s="158">
        <v>131409</v>
      </c>
      <c r="M127" s="158">
        <v>127567</v>
      </c>
      <c r="N127" s="158">
        <v>162403</v>
      </c>
      <c r="O127" s="158">
        <v>107348</v>
      </c>
      <c r="P127" s="158">
        <v>143879</v>
      </c>
      <c r="Q127" s="158">
        <v>149942</v>
      </c>
      <c r="R127" s="158">
        <v>151846</v>
      </c>
      <c r="S127" s="158">
        <v>140278</v>
      </c>
      <c r="T127" s="158">
        <v>167616</v>
      </c>
      <c r="U127" s="158">
        <v>177629</v>
      </c>
      <c r="V127" s="158">
        <v>116126</v>
      </c>
      <c r="W127" s="158">
        <v>140286</v>
      </c>
      <c r="X127" s="158">
        <v>153982</v>
      </c>
      <c r="Y127" s="158">
        <v>155274.99</v>
      </c>
      <c r="Z127" s="158">
        <v>172567</v>
      </c>
      <c r="AA127" s="158">
        <v>223177</v>
      </c>
      <c r="AB127" s="158">
        <v>231694.25</v>
      </c>
      <c r="AC127" s="158">
        <v>135454</v>
      </c>
      <c r="AD127" s="158">
        <v>158735</v>
      </c>
      <c r="AE127" s="158">
        <v>167464</v>
      </c>
      <c r="AF127" s="158">
        <v>168759</v>
      </c>
      <c r="AG127" s="158">
        <v>164745.29999999999</v>
      </c>
      <c r="AH127" s="240"/>
      <c r="AI127" s="319">
        <v>151769.58466666666</v>
      </c>
      <c r="AJ127" s="320">
        <v>6.4058604479718673E-2</v>
      </c>
    </row>
    <row r="128" spans="1:36" x14ac:dyDescent="0.3">
      <c r="A128" s="203"/>
      <c r="B128" s="203" t="s">
        <v>55</v>
      </c>
      <c r="C128" s="240"/>
      <c r="D128" s="158">
        <v>132277</v>
      </c>
      <c r="E128" s="158">
        <v>134811</v>
      </c>
      <c r="F128" s="158">
        <v>147393.02000000002</v>
      </c>
      <c r="G128" s="158">
        <v>147065</v>
      </c>
      <c r="H128" s="158">
        <v>146611</v>
      </c>
      <c r="I128" s="158">
        <v>164787</v>
      </c>
      <c r="J128" s="158">
        <v>165674.4</v>
      </c>
      <c r="K128" s="158">
        <v>115147</v>
      </c>
      <c r="L128" s="158">
        <v>130761</v>
      </c>
      <c r="M128" s="158">
        <v>135033.10999999999</v>
      </c>
      <c r="N128" s="158">
        <v>130790</v>
      </c>
      <c r="O128" s="158">
        <v>136739.94</v>
      </c>
      <c r="P128" s="158">
        <v>157693</v>
      </c>
      <c r="Q128" s="158">
        <v>170022</v>
      </c>
      <c r="R128" s="158">
        <v>118001</v>
      </c>
      <c r="S128" s="158">
        <v>147490</v>
      </c>
      <c r="T128" s="158">
        <v>179783</v>
      </c>
      <c r="U128" s="158">
        <v>170075</v>
      </c>
      <c r="V128" s="158">
        <v>144571.1</v>
      </c>
      <c r="W128" s="158">
        <v>147776</v>
      </c>
      <c r="X128" s="158">
        <v>149771</v>
      </c>
      <c r="Y128" s="158">
        <v>102778.09</v>
      </c>
      <c r="Z128" s="158">
        <v>130224</v>
      </c>
      <c r="AA128" s="158">
        <v>143382</v>
      </c>
      <c r="AB128" s="158">
        <v>143656</v>
      </c>
      <c r="AC128" s="158">
        <v>136449</v>
      </c>
      <c r="AD128" s="158">
        <v>145516</v>
      </c>
      <c r="AE128" s="158">
        <v>165913</v>
      </c>
      <c r="AF128" s="158">
        <v>114664</v>
      </c>
      <c r="AG128" s="158">
        <v>123536</v>
      </c>
      <c r="AH128" s="158">
        <v>143225</v>
      </c>
      <c r="AI128" s="319">
        <v>142632.73096774195</v>
      </c>
      <c r="AJ128" s="320">
        <v>-0.10798314790952912</v>
      </c>
    </row>
    <row r="129" spans="1:36" x14ac:dyDescent="0.3">
      <c r="A129" s="203"/>
      <c r="B129" s="203" t="s">
        <v>56</v>
      </c>
      <c r="C129" s="240"/>
      <c r="D129" s="158">
        <v>149150.16</v>
      </c>
      <c r="E129" s="158">
        <v>164371</v>
      </c>
      <c r="F129" s="158">
        <v>165843</v>
      </c>
      <c r="G129" s="158">
        <v>113115</v>
      </c>
      <c r="H129" s="158">
        <v>107949</v>
      </c>
      <c r="I129" s="158">
        <v>140558</v>
      </c>
      <c r="J129" s="158">
        <v>152447</v>
      </c>
      <c r="K129" s="158">
        <v>162650</v>
      </c>
      <c r="L129" s="158">
        <v>176842</v>
      </c>
      <c r="M129" s="158">
        <v>178270</v>
      </c>
      <c r="N129" s="158">
        <v>123610</v>
      </c>
      <c r="O129" s="158">
        <v>152776</v>
      </c>
      <c r="P129" s="158">
        <v>162394</v>
      </c>
      <c r="Q129" s="158">
        <v>163241</v>
      </c>
      <c r="R129" s="158">
        <v>166097</v>
      </c>
      <c r="S129" s="158">
        <v>188036</v>
      </c>
      <c r="T129" s="158">
        <v>205640</v>
      </c>
      <c r="U129" s="158">
        <v>123889</v>
      </c>
      <c r="V129" s="158">
        <v>197425</v>
      </c>
      <c r="W129" s="158">
        <v>153932</v>
      </c>
      <c r="X129" s="158">
        <v>156600</v>
      </c>
      <c r="Y129" s="158">
        <v>161583</v>
      </c>
      <c r="Z129" s="158">
        <v>183945</v>
      </c>
      <c r="AA129" s="158">
        <v>192396</v>
      </c>
      <c r="AB129" s="158">
        <v>121789</v>
      </c>
      <c r="AC129" s="158">
        <v>142467.29999999999</v>
      </c>
      <c r="AD129" s="158">
        <v>163203</v>
      </c>
      <c r="AE129" s="158">
        <v>164257</v>
      </c>
      <c r="AF129" s="158">
        <v>161177</v>
      </c>
      <c r="AG129" s="158">
        <v>175590</v>
      </c>
      <c r="AH129" s="158">
        <v>185631</v>
      </c>
      <c r="AI129" s="319">
        <v>159899.14387096773</v>
      </c>
      <c r="AJ129" s="320">
        <v>-2.1289128722978723E-2</v>
      </c>
    </row>
    <row r="130" spans="1:36" x14ac:dyDescent="0.3">
      <c r="A130" s="203"/>
      <c r="B130" s="203" t="s">
        <v>57</v>
      </c>
      <c r="C130" s="240"/>
      <c r="D130" s="158">
        <v>123011</v>
      </c>
      <c r="E130" s="158">
        <v>135214</v>
      </c>
      <c r="F130" s="158">
        <v>146360</v>
      </c>
      <c r="G130" s="158">
        <v>175853</v>
      </c>
      <c r="H130" s="158">
        <v>181902</v>
      </c>
      <c r="I130" s="158">
        <v>117874</v>
      </c>
      <c r="J130" s="158">
        <v>138979</v>
      </c>
      <c r="K130" s="158">
        <v>161866.45000000001</v>
      </c>
      <c r="L130" s="158">
        <v>163308</v>
      </c>
      <c r="M130" s="158">
        <v>161436</v>
      </c>
      <c r="N130" s="158">
        <v>197316</v>
      </c>
      <c r="O130" s="158">
        <v>189393</v>
      </c>
      <c r="P130" s="158">
        <v>134039</v>
      </c>
      <c r="Q130" s="158">
        <v>160552</v>
      </c>
      <c r="R130" s="158">
        <v>175496</v>
      </c>
      <c r="S130" s="158">
        <v>167668</v>
      </c>
      <c r="T130" s="158">
        <v>163426</v>
      </c>
      <c r="U130" s="158">
        <v>183993</v>
      </c>
      <c r="V130" s="158">
        <v>203363</v>
      </c>
      <c r="W130" s="158">
        <v>123082</v>
      </c>
      <c r="X130" s="158">
        <v>156633</v>
      </c>
      <c r="Y130" s="158">
        <v>180785</v>
      </c>
      <c r="Z130" s="158">
        <v>177471</v>
      </c>
      <c r="AA130" s="158">
        <v>172849</v>
      </c>
      <c r="AB130" s="158">
        <v>213754</v>
      </c>
      <c r="AC130" s="158">
        <v>218472</v>
      </c>
      <c r="AD130" s="158">
        <v>124046</v>
      </c>
      <c r="AE130" s="158">
        <v>153813.54999999999</v>
      </c>
      <c r="AF130" s="158">
        <v>161157</v>
      </c>
      <c r="AG130" s="158">
        <v>138207.13</v>
      </c>
      <c r="AH130" s="240"/>
      <c r="AI130" s="319">
        <v>163377.30433333333</v>
      </c>
      <c r="AJ130" s="320">
        <v>6.7979277812139749E-2</v>
      </c>
    </row>
    <row r="131" spans="1:36" x14ac:dyDescent="0.3">
      <c r="A131" s="203"/>
      <c r="B131" s="203" t="s">
        <v>49</v>
      </c>
      <c r="C131" s="240"/>
      <c r="D131" s="158">
        <v>168260</v>
      </c>
      <c r="E131" s="158">
        <v>107593</v>
      </c>
      <c r="F131" s="158">
        <v>127682.29999999999</v>
      </c>
      <c r="G131" s="158">
        <v>124802.91</v>
      </c>
      <c r="H131" s="158">
        <v>145188</v>
      </c>
      <c r="I131" s="158">
        <v>173439</v>
      </c>
      <c r="J131" s="158">
        <v>206235</v>
      </c>
      <c r="K131" s="158">
        <v>209927</v>
      </c>
      <c r="L131" s="158">
        <v>113105</v>
      </c>
      <c r="M131" s="158">
        <v>138335</v>
      </c>
      <c r="N131" s="158">
        <v>156348.91999999998</v>
      </c>
      <c r="O131" s="158">
        <v>151755</v>
      </c>
      <c r="P131" s="158">
        <v>154837</v>
      </c>
      <c r="Q131" s="158">
        <v>184436</v>
      </c>
      <c r="R131" s="158">
        <v>196057</v>
      </c>
      <c r="S131" s="158">
        <v>115848</v>
      </c>
      <c r="T131" s="158">
        <v>126725.95000000001</v>
      </c>
      <c r="U131" s="158">
        <v>137670.54999999999</v>
      </c>
      <c r="V131" s="158">
        <v>135426.66</v>
      </c>
      <c r="W131" s="158">
        <v>154916</v>
      </c>
      <c r="X131" s="158">
        <v>181312.86</v>
      </c>
      <c r="Y131" s="158">
        <v>197889</v>
      </c>
      <c r="Z131" s="158">
        <v>111347.43</v>
      </c>
      <c r="AA131" s="158">
        <v>132518.97</v>
      </c>
      <c r="AB131" s="158">
        <v>133267.59</v>
      </c>
      <c r="AC131" s="158">
        <v>136538</v>
      </c>
      <c r="AD131" s="158">
        <v>137806</v>
      </c>
      <c r="AE131" s="158">
        <v>191926</v>
      </c>
      <c r="AF131" s="158">
        <v>222963</v>
      </c>
      <c r="AG131" s="158">
        <v>156817</v>
      </c>
      <c r="AH131" s="158">
        <v>111343</v>
      </c>
      <c r="AI131" s="319">
        <v>152977.97225806455</v>
      </c>
      <c r="AJ131" s="320">
        <v>7.3685232614691065E-2</v>
      </c>
    </row>
    <row r="132" spans="1:36" x14ac:dyDescent="0.3">
      <c r="A132" s="203"/>
      <c r="B132" s="203" t="s">
        <v>58</v>
      </c>
      <c r="C132" s="240"/>
      <c r="D132" s="158">
        <v>125816</v>
      </c>
      <c r="E132" s="158">
        <v>151249</v>
      </c>
      <c r="F132" s="158">
        <v>141145</v>
      </c>
      <c r="G132" s="158">
        <v>93520.08</v>
      </c>
      <c r="H132" s="158">
        <v>116368</v>
      </c>
      <c r="I132" s="158">
        <v>136980.30000000002</v>
      </c>
      <c r="J132" s="158">
        <v>143928</v>
      </c>
      <c r="K132" s="158">
        <v>128919</v>
      </c>
      <c r="L132" s="158">
        <v>170958</v>
      </c>
      <c r="M132" s="158">
        <v>197432</v>
      </c>
      <c r="N132" s="158">
        <v>112043.97</v>
      </c>
      <c r="O132" s="158">
        <v>127835.8</v>
      </c>
      <c r="P132" s="158">
        <v>134140.18</v>
      </c>
      <c r="Q132" s="158">
        <v>130958.37999999999</v>
      </c>
      <c r="R132" s="158">
        <v>147825</v>
      </c>
      <c r="S132" s="158">
        <v>189635</v>
      </c>
      <c r="T132" s="158">
        <v>188260</v>
      </c>
      <c r="U132" s="158">
        <v>98840</v>
      </c>
      <c r="V132" s="158">
        <v>121850.33</v>
      </c>
      <c r="W132" s="158">
        <v>134832.26</v>
      </c>
      <c r="X132" s="158">
        <v>133406</v>
      </c>
      <c r="Y132" s="158">
        <v>147170</v>
      </c>
      <c r="Z132" s="158">
        <v>185144</v>
      </c>
      <c r="AA132" s="158">
        <v>182561</v>
      </c>
      <c r="AB132" s="158">
        <v>103377</v>
      </c>
      <c r="AC132" s="158">
        <v>141346.15</v>
      </c>
      <c r="AD132" s="158">
        <v>129926</v>
      </c>
      <c r="AE132" s="158">
        <v>133654</v>
      </c>
      <c r="AF132" s="158">
        <v>140970</v>
      </c>
      <c r="AG132" s="158">
        <v>184290</v>
      </c>
      <c r="AH132" s="158"/>
      <c r="AI132" s="319">
        <v>142479.3483333333</v>
      </c>
      <c r="AJ132" s="320">
        <v>5.5268287586315301E-2</v>
      </c>
    </row>
    <row r="133" spans="1:36" x14ac:dyDescent="0.3">
      <c r="A133" s="203"/>
      <c r="B133" s="203" t="s">
        <v>59</v>
      </c>
      <c r="C133" s="240"/>
      <c r="D133" s="158">
        <v>114623.50999999998</v>
      </c>
      <c r="E133" s="158">
        <v>117829.61</v>
      </c>
      <c r="F133" s="158">
        <v>122917.56999999999</v>
      </c>
      <c r="G133" s="158">
        <v>130495.9</v>
      </c>
      <c r="H133" s="158">
        <v>137863.53999999998</v>
      </c>
      <c r="I133" s="158">
        <v>147506.49000000002</v>
      </c>
      <c r="J133" s="158">
        <v>112811.34</v>
      </c>
      <c r="K133" s="158">
        <v>116217.00000000001</v>
      </c>
      <c r="L133" s="158">
        <v>126765.45</v>
      </c>
      <c r="M133" s="158">
        <v>128354.98999999999</v>
      </c>
      <c r="N133" s="158">
        <v>132118</v>
      </c>
      <c r="O133" s="158">
        <v>158761.15</v>
      </c>
      <c r="P133" s="158">
        <v>166812.37000000002</v>
      </c>
      <c r="Q133" s="158">
        <v>119556.14</v>
      </c>
      <c r="R133" s="158">
        <v>129791.56999999998</v>
      </c>
      <c r="S133" s="158">
        <v>134517.78</v>
      </c>
      <c r="T133" s="158">
        <v>142856.24</v>
      </c>
      <c r="U133" s="158">
        <v>143916.46999999997</v>
      </c>
      <c r="V133" s="158">
        <v>174275.35</v>
      </c>
      <c r="W133" s="158">
        <v>178301.25</v>
      </c>
      <c r="X133" s="158">
        <v>113992.63</v>
      </c>
      <c r="Y133" s="158">
        <v>127051.5</v>
      </c>
      <c r="Z133" s="158">
        <v>138426.22</v>
      </c>
      <c r="AA133" s="158">
        <v>145337.99</v>
      </c>
      <c r="AB133" s="158">
        <v>141152</v>
      </c>
      <c r="AC133" s="158">
        <v>163152</v>
      </c>
      <c r="AD133" s="158">
        <v>184053</v>
      </c>
      <c r="AE133" s="158">
        <v>105809.09</v>
      </c>
      <c r="AF133" s="158">
        <v>116549.62000000001</v>
      </c>
      <c r="AG133" s="158">
        <v>126650</v>
      </c>
      <c r="AH133" s="158">
        <v>135017.18</v>
      </c>
      <c r="AI133" s="319">
        <v>135017.18</v>
      </c>
      <c r="AJ133" s="320">
        <v>0.34345155973884345</v>
      </c>
    </row>
    <row r="134" spans="1:36" x14ac:dyDescent="0.3">
      <c r="A134" s="203"/>
      <c r="B134" s="203" t="s">
        <v>60</v>
      </c>
      <c r="C134" s="240"/>
      <c r="D134" s="158">
        <v>73863.600000000006</v>
      </c>
      <c r="E134" s="158">
        <v>79060.419999999984</v>
      </c>
      <c r="F134" s="158">
        <v>81003.360000000001</v>
      </c>
      <c r="G134" s="158">
        <v>76954.900000000009</v>
      </c>
      <c r="H134" s="158">
        <v>91299.05799999999</v>
      </c>
      <c r="I134" s="158">
        <v>88235.790000000008</v>
      </c>
      <c r="J134" s="158">
        <v>58618.97</v>
      </c>
      <c r="K134" s="158">
        <v>71658.139999999985</v>
      </c>
      <c r="L134" s="158">
        <v>78494.25</v>
      </c>
      <c r="M134" s="158">
        <v>86823.1</v>
      </c>
      <c r="N134" s="158">
        <v>84585.727999999988</v>
      </c>
      <c r="O134" s="158">
        <v>79436.500000000015</v>
      </c>
      <c r="P134" s="158">
        <v>107050.59999999999</v>
      </c>
      <c r="Q134" s="158">
        <v>110143.86999999998</v>
      </c>
      <c r="R134" s="158">
        <v>122240.58</v>
      </c>
      <c r="S134" s="158">
        <v>121024.60999999999</v>
      </c>
      <c r="T134" s="158">
        <v>116009.29</v>
      </c>
      <c r="U134" s="158">
        <v>109786.48000000001</v>
      </c>
      <c r="V134" s="158">
        <v>112968.72</v>
      </c>
      <c r="W134" s="158">
        <v>112812.02</v>
      </c>
      <c r="X134" s="158">
        <v>88597.29</v>
      </c>
      <c r="Y134" s="158">
        <v>111025.8</v>
      </c>
      <c r="Z134" s="158">
        <v>132492.99</v>
      </c>
      <c r="AA134" s="158">
        <v>121294.78</v>
      </c>
      <c r="AB134" s="158">
        <v>144013.08000000002</v>
      </c>
      <c r="AC134" s="158">
        <v>131690.88999999998</v>
      </c>
      <c r="AD134" s="158">
        <v>122800.08999999998</v>
      </c>
      <c r="AE134" s="158">
        <v>100021.31000000001</v>
      </c>
      <c r="AF134" s="158"/>
      <c r="AG134" s="158"/>
      <c r="AH134" s="158"/>
      <c r="AI134" s="319">
        <v>100500.22199999998</v>
      </c>
      <c r="AJ134" s="320">
        <v>0.27548293357685361</v>
      </c>
    </row>
    <row r="135" spans="1:36" x14ac:dyDescent="0.3">
      <c r="A135" s="203"/>
      <c r="B135" s="203" t="s">
        <v>61</v>
      </c>
      <c r="C135" s="240"/>
      <c r="D135" s="158">
        <v>82854.86</v>
      </c>
      <c r="E135" s="158">
        <v>80638.539999999994</v>
      </c>
      <c r="F135" s="158">
        <v>60554.259999999995</v>
      </c>
      <c r="G135" s="158">
        <v>64807.009999999995</v>
      </c>
      <c r="H135" s="158">
        <v>76514.759999999995</v>
      </c>
      <c r="I135" s="158">
        <v>83320.000000000015</v>
      </c>
      <c r="J135" s="158">
        <v>71398.990000000005</v>
      </c>
      <c r="K135" s="158">
        <v>79576.290000000008</v>
      </c>
      <c r="L135" s="158">
        <v>79602.19</v>
      </c>
      <c r="M135" s="158">
        <v>62180.97</v>
      </c>
      <c r="N135" s="158">
        <v>72936.51999999999</v>
      </c>
      <c r="O135" s="158">
        <v>77463.539999999994</v>
      </c>
      <c r="P135" s="158">
        <v>82155.279999999984</v>
      </c>
      <c r="Q135" s="158">
        <v>87161.51999999999</v>
      </c>
      <c r="R135" s="158">
        <v>100886.34999999999</v>
      </c>
      <c r="S135" s="158">
        <v>107066.53999999998</v>
      </c>
      <c r="T135" s="158">
        <v>74252.77</v>
      </c>
      <c r="U135" s="158">
        <v>74107.56</v>
      </c>
      <c r="V135" s="158">
        <v>83657.62</v>
      </c>
      <c r="W135" s="158">
        <v>75423.94</v>
      </c>
      <c r="X135" s="158">
        <v>70802.810000000012</v>
      </c>
      <c r="Y135" s="158">
        <v>77494.189999999988</v>
      </c>
      <c r="Z135" s="158">
        <v>84626.680000000008</v>
      </c>
      <c r="AA135" s="158">
        <v>65300.72</v>
      </c>
      <c r="AB135" s="158">
        <v>77262.150000000009</v>
      </c>
      <c r="AC135" s="158">
        <v>78740.91</v>
      </c>
      <c r="AD135" s="158">
        <v>81055.740000000005</v>
      </c>
      <c r="AE135" s="158">
        <v>80039.549999999988</v>
      </c>
      <c r="AF135" s="158">
        <v>84612.52</v>
      </c>
      <c r="AG135" s="158">
        <v>87320.98</v>
      </c>
      <c r="AH135" s="158">
        <v>65515.239999999991</v>
      </c>
      <c r="AI135" s="319">
        <v>78793.858666666652</v>
      </c>
      <c r="AJ135" s="320">
        <v>0.16481058729716236</v>
      </c>
    </row>
    <row r="136" spans="1:36" x14ac:dyDescent="0.3">
      <c r="A136" s="203"/>
      <c r="B136" s="203" t="s">
        <v>51</v>
      </c>
      <c r="C136" s="240"/>
      <c r="D136" s="158">
        <v>67602.77</v>
      </c>
      <c r="E136" s="158">
        <v>66458.939999999988</v>
      </c>
      <c r="F136" s="158">
        <v>83823.130000000019</v>
      </c>
      <c r="G136" s="158">
        <v>97534.23000000001</v>
      </c>
      <c r="H136" s="158">
        <v>93973.470000000016</v>
      </c>
      <c r="I136" s="158">
        <v>60633.320000000007</v>
      </c>
      <c r="J136" s="158">
        <v>71392.59</v>
      </c>
      <c r="K136" s="158">
        <v>74964.61</v>
      </c>
      <c r="L136" s="158">
        <v>77754.549999999988</v>
      </c>
      <c r="M136" s="158">
        <v>72153.59</v>
      </c>
      <c r="N136" s="158">
        <v>97852.160000000003</v>
      </c>
      <c r="O136" s="158">
        <v>96924.62</v>
      </c>
      <c r="P136" s="158">
        <v>57639.839999999997</v>
      </c>
      <c r="Q136" s="158">
        <v>66461.450000000012</v>
      </c>
      <c r="R136" s="158">
        <v>63997.119999999995</v>
      </c>
      <c r="S136" s="158">
        <v>66648.78</v>
      </c>
      <c r="T136" s="158">
        <v>67478.63</v>
      </c>
      <c r="U136" s="158">
        <v>74443.569999999992</v>
      </c>
      <c r="V136" s="158">
        <v>78196.569999999992</v>
      </c>
      <c r="W136" s="158">
        <v>55414.229999999996</v>
      </c>
      <c r="X136" s="158">
        <v>55682.65</v>
      </c>
      <c r="Y136" s="158">
        <v>49132.170000000006</v>
      </c>
      <c r="Z136" s="158">
        <v>45279.17</v>
      </c>
      <c r="AA136" s="158">
        <v>43029.96</v>
      </c>
      <c r="AB136" s="158">
        <v>52906.930000000008</v>
      </c>
      <c r="AC136" s="158">
        <v>59619.35</v>
      </c>
      <c r="AD136" s="158">
        <v>49546.95</v>
      </c>
      <c r="AE136" s="158">
        <v>55525.320000000007</v>
      </c>
      <c r="AF136" s="158">
        <v>56721.73</v>
      </c>
      <c r="AG136" s="158">
        <v>60370.54</v>
      </c>
      <c r="AH136" s="158">
        <v>77838.62000000001</v>
      </c>
      <c r="AI136" s="319">
        <v>67645.211612903237</v>
      </c>
      <c r="AJ136" s="320">
        <v>-0.12070281664214377</v>
      </c>
    </row>
    <row r="137" spans="1:36" x14ac:dyDescent="0.3">
      <c r="A137" s="203"/>
      <c r="B137" s="203" t="s">
        <v>52</v>
      </c>
      <c r="C137" s="240"/>
      <c r="D137" s="158">
        <v>70065</v>
      </c>
      <c r="E137" s="158">
        <v>66144.81</v>
      </c>
      <c r="F137" s="158">
        <v>75735.520000000019</v>
      </c>
      <c r="G137" s="158">
        <v>86485.090000000011</v>
      </c>
      <c r="H137" s="158">
        <v>83527.02</v>
      </c>
      <c r="I137" s="158">
        <v>96226.680000000008</v>
      </c>
      <c r="J137" s="158">
        <v>112884.18999999997</v>
      </c>
      <c r="K137" s="158">
        <v>66614.469999999987</v>
      </c>
      <c r="L137" s="158">
        <v>79859.41</v>
      </c>
      <c r="M137" s="158">
        <v>85053.95</v>
      </c>
      <c r="N137" s="158">
        <v>89977.71</v>
      </c>
      <c r="O137" s="158">
        <v>86370.739999999991</v>
      </c>
      <c r="P137" s="158">
        <v>109352.45999999999</v>
      </c>
      <c r="Q137" s="158">
        <v>106708.48999999999</v>
      </c>
      <c r="R137" s="158">
        <v>61864.179999999993</v>
      </c>
      <c r="S137" s="158">
        <v>72865.290000000008</v>
      </c>
      <c r="T137" s="158">
        <v>74909.69</v>
      </c>
      <c r="U137" s="158">
        <v>77430.179999999993</v>
      </c>
      <c r="V137" s="158">
        <v>78790.110000000015</v>
      </c>
      <c r="W137" s="158">
        <v>96551.599999999991</v>
      </c>
      <c r="X137" s="158">
        <v>90910.9</v>
      </c>
      <c r="Y137" s="158">
        <v>53908.470000000008</v>
      </c>
      <c r="Z137" s="158">
        <v>55233.39</v>
      </c>
      <c r="AA137" s="158">
        <v>56637.599999999999</v>
      </c>
      <c r="AB137" s="158">
        <v>54914.99</v>
      </c>
      <c r="AC137" s="158">
        <v>61969.72</v>
      </c>
      <c r="AD137" s="158">
        <v>74137.399999999994</v>
      </c>
      <c r="AE137" s="158">
        <v>72565.25</v>
      </c>
      <c r="AF137" s="158">
        <v>48777.47</v>
      </c>
      <c r="AG137" s="158">
        <v>61456.729999999996</v>
      </c>
      <c r="AH137" s="158"/>
      <c r="AI137" s="319">
        <v>76931</v>
      </c>
      <c r="AJ137" s="320">
        <v>-0.15140564912971455</v>
      </c>
    </row>
    <row r="138" spans="1:36" x14ac:dyDescent="0.3">
      <c r="A138" s="203"/>
      <c r="B138" s="203" t="s">
        <v>62</v>
      </c>
      <c r="C138" s="240"/>
      <c r="D138" s="158">
        <v>90900.959999999977</v>
      </c>
      <c r="E138" s="158">
        <v>110402.01</v>
      </c>
      <c r="F138" s="158">
        <v>105326.36999999998</v>
      </c>
      <c r="G138" s="158">
        <v>66581.670000000013</v>
      </c>
      <c r="H138" s="158">
        <v>74482.51999999999</v>
      </c>
      <c r="I138" s="158">
        <v>77418.439999999988</v>
      </c>
      <c r="J138" s="158">
        <v>79867.890000000014</v>
      </c>
      <c r="K138" s="158">
        <v>93534.050000000017</v>
      </c>
      <c r="L138" s="158">
        <v>130042.68000000001</v>
      </c>
      <c r="M138" s="158">
        <v>140749.15999999997</v>
      </c>
      <c r="N138" s="158">
        <v>73838.139999999985</v>
      </c>
      <c r="O138" s="158">
        <v>74852.73</v>
      </c>
      <c r="P138" s="158">
        <v>77689.62999999999</v>
      </c>
      <c r="Q138" s="158">
        <v>82940.800000000003</v>
      </c>
      <c r="R138" s="158">
        <v>91217.34</v>
      </c>
      <c r="S138" s="158">
        <v>120190.80000000002</v>
      </c>
      <c r="T138" s="158">
        <v>120174.86</v>
      </c>
      <c r="U138" s="158">
        <v>68984.239999999991</v>
      </c>
      <c r="V138" s="158">
        <v>78411.680000000008</v>
      </c>
      <c r="W138" s="158">
        <v>83139.08</v>
      </c>
      <c r="X138" s="158">
        <v>81866.12000000001</v>
      </c>
      <c r="Y138" s="158">
        <v>85785.35</v>
      </c>
      <c r="Z138" s="158">
        <v>117856.4</v>
      </c>
      <c r="AA138" s="158">
        <v>127161.93999999999</v>
      </c>
      <c r="AB138" s="158">
        <v>68498.410000000018</v>
      </c>
      <c r="AC138" s="158">
        <v>76958.27</v>
      </c>
      <c r="AD138" s="158">
        <v>80332.850000000006</v>
      </c>
      <c r="AE138" s="158">
        <v>80516.19</v>
      </c>
      <c r="AF138" s="158">
        <v>70980.319999999992</v>
      </c>
      <c r="AG138" s="158">
        <v>83606.89</v>
      </c>
      <c r="AH138" s="158">
        <v>96058.549999999988</v>
      </c>
      <c r="AI138" s="319">
        <v>90656.978709677423</v>
      </c>
      <c r="AJ138" s="320">
        <v>4.1842966451314689E-2</v>
      </c>
    </row>
    <row r="139" spans="1:36" x14ac:dyDescent="0.3">
      <c r="A139" s="203"/>
      <c r="B139" s="203" t="s">
        <v>54</v>
      </c>
      <c r="C139" s="240"/>
      <c r="D139" s="158">
        <v>84754.189999999988</v>
      </c>
      <c r="E139" s="158">
        <v>77509.83</v>
      </c>
      <c r="F139" s="158">
        <v>86097.87000000001</v>
      </c>
      <c r="G139" s="158">
        <v>114711.41999999998</v>
      </c>
      <c r="H139" s="158">
        <v>144350.47</v>
      </c>
      <c r="I139" s="158">
        <v>103110.33000000002</v>
      </c>
      <c r="J139" s="158">
        <v>63647.21</v>
      </c>
      <c r="K139" s="158">
        <v>76126.25</v>
      </c>
      <c r="L139" s="158">
        <v>82670.789999999979</v>
      </c>
      <c r="M139" s="158">
        <v>80723.710000000006</v>
      </c>
      <c r="N139" s="158">
        <v>91710.989999999991</v>
      </c>
      <c r="O139" s="158">
        <v>97999.8</v>
      </c>
      <c r="P139" s="158">
        <v>73673.760000000009</v>
      </c>
      <c r="Q139" s="158">
        <v>81090.11</v>
      </c>
      <c r="R139" s="158">
        <v>95424.680000000008</v>
      </c>
      <c r="S139" s="158">
        <v>88123.109999999986</v>
      </c>
      <c r="T139" s="158">
        <v>86107.98000000001</v>
      </c>
      <c r="U139" s="158">
        <v>94430.400000000009</v>
      </c>
      <c r="V139" s="158">
        <v>108674.07999999999</v>
      </c>
      <c r="W139" s="158">
        <v>63410.119999999995</v>
      </c>
      <c r="X139" s="158">
        <v>71808.240000000005</v>
      </c>
      <c r="Y139" s="158">
        <v>72142.2</v>
      </c>
      <c r="Z139" s="158">
        <v>82430.219999999987</v>
      </c>
      <c r="AA139" s="158">
        <v>78378.259999999995</v>
      </c>
      <c r="AB139" s="158">
        <v>98445.599999999977</v>
      </c>
      <c r="AC139" s="158">
        <v>111067.27900000001</v>
      </c>
      <c r="AD139" s="158">
        <v>65574.12000000001</v>
      </c>
      <c r="AE139" s="158">
        <v>68571.259999999995</v>
      </c>
      <c r="AF139" s="158">
        <v>77694.38</v>
      </c>
      <c r="AG139" s="158">
        <v>90020.51</v>
      </c>
      <c r="AH139" s="158"/>
      <c r="AI139" s="319">
        <v>87015.972299999994</v>
      </c>
      <c r="AJ139" s="320">
        <v>-5.286343324641285E-3</v>
      </c>
    </row>
    <row r="140" spans="1:36" x14ac:dyDescent="0.3">
      <c r="A140" s="203"/>
      <c r="B140" s="203" t="s">
        <v>55</v>
      </c>
      <c r="C140" s="240"/>
      <c r="D140" s="158">
        <v>100183.41</v>
      </c>
      <c r="E140" s="158">
        <v>64601.049999999996</v>
      </c>
      <c r="F140" s="158">
        <v>68269.820000000007</v>
      </c>
      <c r="G140" s="158">
        <v>72258.659999999989</v>
      </c>
      <c r="H140" s="158">
        <v>72333.430000000008</v>
      </c>
      <c r="I140" s="158">
        <v>87807.180000000008</v>
      </c>
      <c r="J140" s="158">
        <v>108556.6</v>
      </c>
      <c r="K140" s="158">
        <v>115466.53999999998</v>
      </c>
      <c r="L140" s="158">
        <v>66024.539999999994</v>
      </c>
      <c r="M140" s="158">
        <v>67539.360000000001</v>
      </c>
      <c r="N140" s="158">
        <v>74683.11</v>
      </c>
      <c r="O140" s="158">
        <v>70834.399999999994</v>
      </c>
      <c r="P140" s="158">
        <v>77578</v>
      </c>
      <c r="Q140" s="158">
        <v>95943.329999999987</v>
      </c>
      <c r="R140" s="158">
        <v>104559.17000000001</v>
      </c>
      <c r="S140" s="158">
        <v>77145.600000000006</v>
      </c>
      <c r="T140" s="158">
        <v>83957.91</v>
      </c>
      <c r="U140" s="158">
        <v>88179.42</v>
      </c>
      <c r="V140" s="158">
        <v>90305.080000000016</v>
      </c>
      <c r="W140" s="158">
        <v>90852.430000000022</v>
      </c>
      <c r="X140" s="158">
        <v>94160.400000000009</v>
      </c>
      <c r="Y140" s="158">
        <v>100448.5</v>
      </c>
      <c r="Z140" s="158">
        <v>58556.94</v>
      </c>
      <c r="AA140" s="158">
        <v>74305.420000000013</v>
      </c>
      <c r="AB140" s="158">
        <v>110828.91999999998</v>
      </c>
      <c r="AC140" s="158">
        <v>131833.35</v>
      </c>
      <c r="AD140" s="158">
        <v>108369.62000000001</v>
      </c>
      <c r="AE140" s="158">
        <v>100972.90000000002</v>
      </c>
      <c r="AF140" s="158">
        <v>102375.05999999997</v>
      </c>
      <c r="AG140" s="158">
        <v>73325.179999999993</v>
      </c>
      <c r="AH140" s="158">
        <v>79575.48000000001</v>
      </c>
      <c r="AI140" s="319">
        <v>87478.413225806449</v>
      </c>
      <c r="AJ140" s="320">
        <v>0.15589313615477463</v>
      </c>
    </row>
    <row r="141" spans="1:36" x14ac:dyDescent="0.3">
      <c r="A141" s="203"/>
      <c r="B141" s="203" t="s">
        <v>56</v>
      </c>
      <c r="C141" s="240"/>
      <c r="D141" s="158">
        <v>73444.495945945935</v>
      </c>
      <c r="E141" s="158">
        <v>70000.913513513515</v>
      </c>
      <c r="F141" s="158">
        <v>82405.333783783775</v>
      </c>
      <c r="G141" s="158">
        <v>81409.199189189181</v>
      </c>
      <c r="H141" s="158">
        <v>56865.548378378378</v>
      </c>
      <c r="I141" s="158">
        <v>62159.099054054052</v>
      </c>
      <c r="J141" s="158">
        <v>68168.310270270274</v>
      </c>
      <c r="K141" s="158">
        <v>72491.048378378386</v>
      </c>
      <c r="L141" s="158">
        <v>79462.536621621635</v>
      </c>
      <c r="M141" s="158">
        <v>82286.569999999992</v>
      </c>
      <c r="N141" s="158">
        <v>87756.881891891884</v>
      </c>
      <c r="O141" s="158">
        <v>60813.235405405416</v>
      </c>
      <c r="P141" s="158">
        <v>67185.838918918933</v>
      </c>
      <c r="Q141" s="158">
        <v>71968.58</v>
      </c>
      <c r="R141" s="158">
        <v>77449.497972972982</v>
      </c>
      <c r="S141" s="158">
        <v>77877.45608108108</v>
      </c>
      <c r="T141" s="158">
        <v>92299.417837837827</v>
      </c>
      <c r="U141" s="158">
        <v>95235.570540540561</v>
      </c>
      <c r="V141" s="158">
        <v>66435.505135135143</v>
      </c>
      <c r="W141" s="158">
        <v>71817.671216216215</v>
      </c>
      <c r="X141" s="158">
        <v>77909.038648648653</v>
      </c>
      <c r="Y141" s="158">
        <v>76039.610000000015</v>
      </c>
      <c r="Z141" s="158">
        <v>83017.246891891889</v>
      </c>
      <c r="AA141" s="158">
        <v>97788.939054054033</v>
      </c>
      <c r="AB141" s="158">
        <v>100716.69608108109</v>
      </c>
      <c r="AC141" s="158">
        <v>60620.706621621626</v>
      </c>
      <c r="AD141" s="158">
        <v>65791.327972972969</v>
      </c>
      <c r="AE141" s="158">
        <v>67384.328513513508</v>
      </c>
      <c r="AF141" s="158">
        <v>68441.759459459456</v>
      </c>
      <c r="AG141" s="158">
        <v>70813.988918918913</v>
      </c>
      <c r="AH141" s="158">
        <v>80034.929999999993</v>
      </c>
      <c r="AI141" s="319">
        <v>75680.363945074118</v>
      </c>
      <c r="AJ141" s="320">
        <v>0.17129975883137716</v>
      </c>
    </row>
    <row r="142" spans="1:36" x14ac:dyDescent="0.3">
      <c r="A142" s="203"/>
      <c r="B142" s="203" t="s">
        <v>57</v>
      </c>
      <c r="C142" s="240"/>
      <c r="D142" s="158">
        <v>33656.116941360997</v>
      </c>
      <c r="E142" s="158">
        <v>59686.468693291514</v>
      </c>
      <c r="F142" s="158">
        <v>58711.559712837836</v>
      </c>
      <c r="G142" s="158">
        <v>58839.028445945951</v>
      </c>
      <c r="H142" s="158">
        <v>60982.806381515446</v>
      </c>
      <c r="I142" s="158">
        <v>61858.128717422784</v>
      </c>
      <c r="J142" s="158">
        <v>51575.66097852317</v>
      </c>
      <c r="K142" s="158">
        <v>56701.234278474905</v>
      </c>
      <c r="L142" s="158">
        <v>57605.917512065636</v>
      </c>
      <c r="M142" s="158">
        <v>61577.438005550182</v>
      </c>
      <c r="N142" s="158">
        <v>58640.260154440148</v>
      </c>
      <c r="O142" s="158">
        <v>68436.549682673736</v>
      </c>
      <c r="P142" s="158">
        <v>73227.321708494215</v>
      </c>
      <c r="Q142" s="158">
        <v>51023.233935810807</v>
      </c>
      <c r="R142" s="158">
        <v>64623.597294884159</v>
      </c>
      <c r="S142" s="158">
        <v>67981.496738658287</v>
      </c>
      <c r="T142" s="158">
        <v>67756.304453426652</v>
      </c>
      <c r="U142" s="158">
        <v>68129.117726833982</v>
      </c>
      <c r="V142" s="158">
        <v>82579.69435328187</v>
      </c>
      <c r="W142" s="158">
        <v>86104.767290057935</v>
      </c>
      <c r="X142" s="158">
        <v>54908.009784025096</v>
      </c>
      <c r="Y142" s="158">
        <v>64694.263143098447</v>
      </c>
      <c r="Z142" s="158">
        <v>68642.409522200775</v>
      </c>
      <c r="AA142" s="158">
        <v>76101.53125241313</v>
      </c>
      <c r="AB142" s="158">
        <v>72255.067227316613</v>
      </c>
      <c r="AC142" s="158">
        <v>87091.800108590745</v>
      </c>
      <c r="AD142" s="158">
        <v>88778.279335183397</v>
      </c>
      <c r="AE142" s="158">
        <v>58176.199035955593</v>
      </c>
      <c r="AF142" s="158">
        <v>63073.101497345568</v>
      </c>
      <c r="AG142" s="158">
        <v>54951.444955357139</v>
      </c>
      <c r="AH142" s="158"/>
      <c r="AI142" s="319">
        <v>64612.293628901214</v>
      </c>
      <c r="AJ142" s="320">
        <v>0.39263580344961979</v>
      </c>
    </row>
    <row r="143" spans="1:36" x14ac:dyDescent="0.3">
      <c r="A143" s="203"/>
      <c r="B143" s="203" t="s">
        <v>49</v>
      </c>
      <c r="C143" s="240"/>
      <c r="D143" s="158">
        <v>38972.550000000003</v>
      </c>
      <c r="E143" s="158">
        <v>39174.61</v>
      </c>
      <c r="F143" s="158">
        <v>34707.620000000003</v>
      </c>
      <c r="G143" s="158">
        <v>40887.170000000006</v>
      </c>
      <c r="H143" s="158">
        <v>44251.140000000007</v>
      </c>
      <c r="I143" s="158">
        <v>46034.819999999992</v>
      </c>
      <c r="J143" s="158">
        <v>39862.78</v>
      </c>
      <c r="K143" s="158">
        <v>41413.649999999994</v>
      </c>
      <c r="L143" s="158">
        <v>42345.120000000003</v>
      </c>
      <c r="M143" s="158">
        <v>33456.019999999997</v>
      </c>
      <c r="N143" s="158">
        <v>43313.859999999993</v>
      </c>
      <c r="O143" s="158">
        <v>43531.740000000005</v>
      </c>
      <c r="P143" s="158">
        <v>51145.510000000009</v>
      </c>
      <c r="Q143" s="158">
        <v>50218.990000000005</v>
      </c>
      <c r="R143" s="158">
        <v>46705.89</v>
      </c>
      <c r="S143" s="158">
        <v>47389.38</v>
      </c>
      <c r="T143" s="158">
        <v>38041.599999999999</v>
      </c>
      <c r="U143" s="158">
        <v>45036.49</v>
      </c>
      <c r="V143" s="158">
        <v>57478.16</v>
      </c>
      <c r="W143" s="158">
        <v>49952.299999999996</v>
      </c>
      <c r="X143" s="158">
        <v>46827.219999999994</v>
      </c>
      <c r="Y143" s="158">
        <v>53260.289999999994</v>
      </c>
      <c r="Z143" s="158">
        <v>59358.32</v>
      </c>
      <c r="AA143" s="158">
        <v>48776.539999999994</v>
      </c>
      <c r="AB143" s="158">
        <v>36573.770000000004</v>
      </c>
      <c r="AC143" s="158">
        <v>44737.770000000004</v>
      </c>
      <c r="AD143" s="158">
        <v>47850.439999999995</v>
      </c>
      <c r="AE143" s="158">
        <v>53364.35</v>
      </c>
      <c r="AF143" s="158">
        <v>57628.400000000009</v>
      </c>
      <c r="AG143" s="158">
        <v>63124.35</v>
      </c>
      <c r="AH143" s="158">
        <v>52845.420000000006</v>
      </c>
      <c r="AI143" s="319">
        <v>46395.686129032256</v>
      </c>
      <c r="AJ143" s="321"/>
    </row>
    <row r="145" spans="4:4" x14ac:dyDescent="0.3">
      <c r="D145" s="255"/>
    </row>
  </sheetData>
  <conditionalFormatting sqref="D14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4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4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31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3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31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AH137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AH13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AH137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AH13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2:AH142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2:AH14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:AH13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4:AH134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4:AH13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AH1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A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AH14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3:AH14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AH138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8:AH13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AH132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:AH13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AH132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2:AH143 D132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43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G13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G130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G13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H14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4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2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AH12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AH12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2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2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2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4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4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AG1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AG1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G12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4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H1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AG1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AG12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5:AG12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AH12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4:AH143 D121:AH12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U1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3:AH1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:AH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0:AH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'August-2022'!D125:AG125</xm:f>
              <xm:sqref>C125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'August-2022'!D126:AG126</xm:f>
              <xm:sqref>C126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'August-2022'!D129:AG129</xm:f>
              <xm:sqref>C129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'August-2022'!D132:AG132</xm:f>
              <xm:sqref>C132</xm:sqref>
            </x14:sparkline>
            <x14:sparkline>
              <xm:f>'August-2022'!D131:AG131</xm:f>
              <xm:sqref>C131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'August-2022'!D136:AG136</xm:f>
              <xm:sqref>C136</xm:sqref>
            </x14:sparkline>
            <x14:sparkline>
              <xm:f>'August-2022'!D135:AG135</xm:f>
              <xm:sqref>C135</xm:sqref>
            </x14:sparkline>
            <x14:sparkline>
              <xm:f>'August-2022'!D134:AG134</xm:f>
              <xm:sqref>C134</xm:sqref>
            </x14:sparkline>
            <x14:sparkline>
              <xm:f>'August-2022'!D133:AG133</xm:f>
              <xm:sqref>C133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'August-2022'!D92:AG92</xm:f>
              <xm:sqref>B92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'August-2022'!D59:AG59</xm:f>
              <xm:sqref>B59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'August-2022'!D64:AG64</xm:f>
              <xm:sqref>B64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'August-2022'!D69:AG69</xm:f>
              <xm:sqref>B69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'August-2022'!D123:AG123</xm:f>
              <xm:sqref>C123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'August-2022'!D82:AG82</xm:f>
              <xm:sqref>B82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'August-2022'!D87:AG87</xm:f>
              <xm:sqref>B87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'August-2022'!D121:AG121</xm:f>
              <xm:sqref>C121</xm:sqref>
            </x14:sparkline>
            <x14:sparkline>
              <xm:f>'August-2022'!D122:AG122</xm:f>
              <xm:sqref>C122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'August-2022'!D137:AG137</xm:f>
              <xm:sqref>C137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'August-2022'!D140:AG140</xm:f>
              <xm:sqref>C140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'August-2022'!D141:AG141</xm:f>
              <xm:sqref>C141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'August-2022'!D142:AG142</xm:f>
              <xm:sqref>C142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'August-2022'!D143:AG143</xm:f>
              <xm:sqref>C143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'August-2022'!D139:AG139</xm:f>
              <xm:sqref>C139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'August-2022'!D138:AG138</xm:f>
              <xm:sqref>C138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'August-2022'!D117:AG117</xm:f>
              <xm:sqref>B117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'August-2022'!D107:AG107</xm:f>
              <xm:sqref>B107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'August-2022'!D102:AG102</xm:f>
              <xm:sqref>B102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'August-2022'!D45:AG45</xm:f>
              <xm:sqref>B45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'August-2022'!D40:AG40</xm:f>
              <xm:sqref>B40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'August-2022'!D35:AG35</xm:f>
              <xm:sqref>B35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'August-2022'!D30:AG30</xm:f>
              <xm:sqref>B30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'August-2022'!D14:AG14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'August-2022'!D97:AG97</xm:f>
              <xm:sqref>B97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'August-2022'!D112:AG112</xm:f>
              <xm:sqref>B112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'August-2022'!D130:AG130</xm:f>
              <xm:sqref>C130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'August-2022'!D128:AG128</xm:f>
              <xm:sqref>C128</xm:sqref>
            </x14:sparkline>
            <x14:sparkline>
              <xm:f>'August-2022'!D127:AG127</xm:f>
              <xm:sqref>C127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'August-2022'!D124:AG124</xm:f>
              <xm:sqref>C124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'August-2022'!D22:AG22</xm:f>
              <xm:sqref>B22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workbookViewId="0">
      <selection activeCell="A17" sqref="A17:XFD18"/>
    </sheetView>
  </sheetViews>
  <sheetFormatPr defaultColWidth="8.88671875" defaultRowHeight="14.4" x14ac:dyDescent="0.3"/>
  <cols>
    <col min="2" max="2" width="17.6640625" bestFit="1" customWidth="1"/>
    <col min="3" max="4" width="11.33203125" style="269" bestFit="1" customWidth="1"/>
    <col min="5" max="5" width="11" style="262" customWidth="1"/>
    <col min="6" max="6" width="1.109375" style="262" customWidth="1"/>
    <col min="7" max="7" width="13.6640625" style="262" customWidth="1"/>
    <col min="8" max="8" width="11.44140625" style="262" bestFit="1" customWidth="1"/>
    <col min="9" max="9" width="14.6640625" style="262" bestFit="1" customWidth="1"/>
    <col min="11" max="11" width="11.33203125" style="274" bestFit="1" customWidth="1"/>
  </cols>
  <sheetData>
    <row r="3" spans="2:11" ht="15" thickBot="1" x14ac:dyDescent="0.35">
      <c r="B3" t="s">
        <v>53</v>
      </c>
    </row>
    <row r="4" spans="2:11" ht="15" thickBot="1" x14ac:dyDescent="0.35">
      <c r="B4" s="260" t="s">
        <v>10</v>
      </c>
      <c r="C4" s="270" t="s">
        <v>63</v>
      </c>
      <c r="D4" s="271" t="s">
        <v>64</v>
      </c>
      <c r="E4" s="263" t="s">
        <v>65</v>
      </c>
      <c r="F4" s="264"/>
      <c r="G4" s="264" t="s">
        <v>66</v>
      </c>
      <c r="H4" s="265" t="s">
        <v>67</v>
      </c>
      <c r="I4" s="263" t="s">
        <v>68</v>
      </c>
    </row>
    <row r="5" spans="2:11" ht="15" thickBot="1" x14ac:dyDescent="0.35">
      <c r="B5" s="261" t="s">
        <v>69</v>
      </c>
      <c r="C5" s="272">
        <f>467975.61+280037.9</f>
        <v>748013.51</v>
      </c>
      <c r="D5" s="273">
        <v>745719</v>
      </c>
      <c r="E5" s="268">
        <f t="shared" ref="E5:E19" si="0">+C5-D5</f>
        <v>2294.5100000000093</v>
      </c>
      <c r="F5" s="266"/>
      <c r="G5" s="266">
        <f>1906342.78+3421706</f>
        <v>5328048.78</v>
      </c>
      <c r="H5" s="267">
        <v>5844602</v>
      </c>
      <c r="I5" s="268">
        <f t="shared" ref="I5:I19" si="1">+G5-H5</f>
        <v>-516553.21999999974</v>
      </c>
      <c r="K5" s="274">
        <f>+C5*0.03</f>
        <v>22440.405299999999</v>
      </c>
    </row>
    <row r="6" spans="2:11" ht="15" thickBot="1" x14ac:dyDescent="0.35">
      <c r="B6" s="261" t="s">
        <v>39</v>
      </c>
      <c r="C6" s="272">
        <v>402049</v>
      </c>
      <c r="D6" s="273">
        <v>267054</v>
      </c>
      <c r="E6" s="268">
        <f t="shared" si="0"/>
        <v>134995</v>
      </c>
      <c r="F6" s="266"/>
      <c r="G6" s="266">
        <v>2528109</v>
      </c>
      <c r="H6" s="267">
        <v>1967427</v>
      </c>
      <c r="I6" s="268">
        <f t="shared" si="1"/>
        <v>560682</v>
      </c>
      <c r="K6" s="274">
        <f t="shared" ref="K6:K21" si="2">+C6*0.03</f>
        <v>12061.47</v>
      </c>
    </row>
    <row r="7" spans="2:11" ht="15" thickBot="1" x14ac:dyDescent="0.35">
      <c r="B7" s="261" t="s">
        <v>70</v>
      </c>
      <c r="C7" s="272">
        <v>334875</v>
      </c>
      <c r="D7" s="273">
        <v>361175</v>
      </c>
      <c r="E7" s="268">
        <f t="shared" si="0"/>
        <v>-26300</v>
      </c>
      <c r="F7" s="266"/>
      <c r="G7" s="266">
        <v>3134096</v>
      </c>
      <c r="H7" s="267">
        <v>2949652</v>
      </c>
      <c r="I7" s="268">
        <f t="shared" si="1"/>
        <v>184444</v>
      </c>
      <c r="K7" s="274">
        <f t="shared" si="2"/>
        <v>10046.25</v>
      </c>
    </row>
    <row r="8" spans="2:11" ht="15" thickBot="1" x14ac:dyDescent="0.35">
      <c r="B8" s="261" t="s">
        <v>41</v>
      </c>
      <c r="C8" s="272">
        <v>178744</v>
      </c>
      <c r="D8" s="273">
        <v>245810</v>
      </c>
      <c r="E8" s="268">
        <f t="shared" si="0"/>
        <v>-67066</v>
      </c>
      <c r="F8" s="266"/>
      <c r="G8" s="266">
        <v>1460357</v>
      </c>
      <c r="H8" s="267">
        <v>1667318</v>
      </c>
      <c r="I8" s="268">
        <f t="shared" si="1"/>
        <v>-206961</v>
      </c>
      <c r="K8" s="274">
        <f t="shared" si="2"/>
        <v>5362.32</v>
      </c>
    </row>
    <row r="9" spans="2:11" ht="15" thickBot="1" x14ac:dyDescent="0.35">
      <c r="B9" s="261" t="s">
        <v>45</v>
      </c>
      <c r="C9" s="272">
        <v>340524</v>
      </c>
      <c r="D9" s="273">
        <v>250224</v>
      </c>
      <c r="E9" s="268">
        <f t="shared" si="0"/>
        <v>90300</v>
      </c>
      <c r="F9" s="266"/>
      <c r="G9" s="266">
        <v>2451750</v>
      </c>
      <c r="H9" s="267">
        <v>1752862</v>
      </c>
      <c r="I9" s="268">
        <f t="shared" si="1"/>
        <v>698888</v>
      </c>
      <c r="K9" s="274">
        <f t="shared" si="2"/>
        <v>10215.719999999999</v>
      </c>
    </row>
    <row r="10" spans="2:11" ht="15" thickBot="1" x14ac:dyDescent="0.35">
      <c r="B10" s="261" t="s">
        <v>71</v>
      </c>
      <c r="C10" s="272">
        <v>434226</v>
      </c>
      <c r="D10" s="273">
        <v>471772</v>
      </c>
      <c r="E10" s="268">
        <f t="shared" si="0"/>
        <v>-37546</v>
      </c>
      <c r="F10" s="266"/>
      <c r="G10" s="266">
        <v>2746054</v>
      </c>
      <c r="H10" s="267">
        <v>2913581</v>
      </c>
      <c r="I10" s="268">
        <f t="shared" si="1"/>
        <v>-167527</v>
      </c>
      <c r="K10" s="274">
        <f t="shared" si="2"/>
        <v>13026.779999999999</v>
      </c>
    </row>
    <row r="11" spans="2:11" ht="15" thickBot="1" x14ac:dyDescent="0.35">
      <c r="B11" s="261" t="s">
        <v>72</v>
      </c>
      <c r="C11" s="272">
        <v>263904</v>
      </c>
      <c r="D11" s="273">
        <v>315908</v>
      </c>
      <c r="E11" s="268">
        <f t="shared" si="0"/>
        <v>-52004</v>
      </c>
      <c r="F11" s="266"/>
      <c r="G11" s="266">
        <v>1864976</v>
      </c>
      <c r="H11" s="267">
        <v>2024425</v>
      </c>
      <c r="I11" s="268">
        <f t="shared" si="1"/>
        <v>-159449</v>
      </c>
      <c r="K11" s="274">
        <f t="shared" si="2"/>
        <v>7917.12</v>
      </c>
    </row>
    <row r="12" spans="2:11" ht="15" thickBot="1" x14ac:dyDescent="0.35">
      <c r="B12" s="261" t="s">
        <v>73</v>
      </c>
      <c r="C12" s="272">
        <v>205759</v>
      </c>
      <c r="D12" s="273">
        <v>213486</v>
      </c>
      <c r="E12" s="268">
        <f t="shared" si="0"/>
        <v>-7727</v>
      </c>
      <c r="F12" s="266"/>
      <c r="G12" s="266">
        <v>1372141</v>
      </c>
      <c r="H12" s="267">
        <v>1422803</v>
      </c>
      <c r="I12" s="268">
        <f t="shared" si="1"/>
        <v>-50662</v>
      </c>
      <c r="K12" s="274">
        <f t="shared" si="2"/>
        <v>6172.7699999999995</v>
      </c>
    </row>
    <row r="13" spans="2:11" ht="15" thickBot="1" x14ac:dyDescent="0.35">
      <c r="B13" s="261" t="s">
        <v>37</v>
      </c>
      <c r="C13" s="272">
        <v>489682</v>
      </c>
      <c r="D13" s="273">
        <v>378829</v>
      </c>
      <c r="E13" s="268">
        <f t="shared" si="0"/>
        <v>110853</v>
      </c>
      <c r="F13" s="266"/>
      <c r="G13" s="266">
        <v>3355920</v>
      </c>
      <c r="H13" s="267">
        <v>2407275</v>
      </c>
      <c r="I13" s="268">
        <f t="shared" si="1"/>
        <v>948645</v>
      </c>
      <c r="K13" s="274">
        <f t="shared" si="2"/>
        <v>14690.46</v>
      </c>
    </row>
    <row r="14" spans="2:11" ht="15" thickBot="1" x14ac:dyDescent="0.35">
      <c r="B14" s="261" t="s">
        <v>38</v>
      </c>
      <c r="C14" s="272">
        <v>341412</v>
      </c>
      <c r="D14" s="273">
        <v>329946</v>
      </c>
      <c r="E14" s="268">
        <f t="shared" si="0"/>
        <v>11466</v>
      </c>
      <c r="F14" s="266"/>
      <c r="G14" s="266">
        <v>2625389</v>
      </c>
      <c r="H14" s="267">
        <v>2499915</v>
      </c>
      <c r="I14" s="268">
        <f t="shared" si="1"/>
        <v>125474</v>
      </c>
      <c r="K14" s="274">
        <f t="shared" si="2"/>
        <v>10242.359999999999</v>
      </c>
    </row>
    <row r="15" spans="2:11" ht="15" thickBot="1" x14ac:dyDescent="0.35">
      <c r="B15" s="261" t="s">
        <v>40</v>
      </c>
      <c r="C15" s="272">
        <v>136790</v>
      </c>
      <c r="D15" s="273">
        <v>229995</v>
      </c>
      <c r="E15" s="268">
        <f t="shared" si="0"/>
        <v>-93205</v>
      </c>
      <c r="F15" s="266"/>
      <c r="G15" s="266">
        <v>1566335</v>
      </c>
      <c r="H15" s="267">
        <v>1869896</v>
      </c>
      <c r="I15" s="268">
        <f t="shared" si="1"/>
        <v>-303561</v>
      </c>
      <c r="K15" s="274">
        <f t="shared" si="2"/>
        <v>4103.7</v>
      </c>
    </row>
    <row r="16" spans="2:11" ht="15" thickBot="1" x14ac:dyDescent="0.35">
      <c r="B16" s="261" t="s">
        <v>46</v>
      </c>
      <c r="C16" s="272">
        <v>257063</v>
      </c>
      <c r="D16" s="273">
        <v>262219</v>
      </c>
      <c r="E16" s="268">
        <f t="shared" si="0"/>
        <v>-5156</v>
      </c>
      <c r="F16" s="266"/>
      <c r="G16" s="266">
        <v>2310801</v>
      </c>
      <c r="H16" s="267">
        <v>2173551</v>
      </c>
      <c r="I16" s="268">
        <f t="shared" si="1"/>
        <v>137250</v>
      </c>
      <c r="K16" s="274">
        <f t="shared" si="2"/>
        <v>7711.8899999999994</v>
      </c>
    </row>
    <row r="17" spans="2:11" ht="15" thickBot="1" x14ac:dyDescent="0.35">
      <c r="B17" s="261" t="s">
        <v>74</v>
      </c>
      <c r="C17" s="272">
        <v>292984</v>
      </c>
      <c r="D17" s="273">
        <v>224163</v>
      </c>
      <c r="E17" s="268">
        <f t="shared" si="0"/>
        <v>68821</v>
      </c>
      <c r="F17" s="266"/>
      <c r="G17" s="266">
        <v>2624263</v>
      </c>
      <c r="H17" s="267">
        <v>2161993</v>
      </c>
      <c r="I17" s="268">
        <f t="shared" si="1"/>
        <v>462270</v>
      </c>
      <c r="K17" s="274">
        <f t="shared" si="2"/>
        <v>8789.52</v>
      </c>
    </row>
    <row r="18" spans="2:11" ht="15" thickBot="1" x14ac:dyDescent="0.35">
      <c r="B18" s="261" t="s">
        <v>75</v>
      </c>
      <c r="C18" s="272">
        <v>399692</v>
      </c>
      <c r="D18" s="273">
        <v>221918</v>
      </c>
      <c r="E18" s="268">
        <f t="shared" si="0"/>
        <v>177774</v>
      </c>
      <c r="F18" s="266"/>
      <c r="G18" s="266">
        <v>2701206</v>
      </c>
      <c r="H18" s="267">
        <v>2129346</v>
      </c>
      <c r="I18" s="268">
        <f t="shared" si="1"/>
        <v>571860</v>
      </c>
      <c r="K18" s="274">
        <f t="shared" si="2"/>
        <v>11990.76</v>
      </c>
    </row>
    <row r="19" spans="2:11" ht="15" thickBot="1" x14ac:dyDescent="0.35">
      <c r="B19" s="261" t="s">
        <v>76</v>
      </c>
      <c r="C19" s="272">
        <v>159577</v>
      </c>
      <c r="D19" s="273">
        <v>228098</v>
      </c>
      <c r="E19" s="268">
        <f t="shared" si="0"/>
        <v>-68521</v>
      </c>
      <c r="F19" s="266"/>
      <c r="G19" s="266">
        <v>1752628</v>
      </c>
      <c r="H19" s="267">
        <v>1828005</v>
      </c>
      <c r="I19" s="268">
        <f t="shared" si="1"/>
        <v>-75377</v>
      </c>
      <c r="K19" s="274">
        <f t="shared" si="2"/>
        <v>4787.3099999999995</v>
      </c>
    </row>
    <row r="20" spans="2:11" ht="15" thickBot="1" x14ac:dyDescent="0.35">
      <c r="B20" s="261" t="s">
        <v>25</v>
      </c>
      <c r="C20" s="272">
        <v>278177</v>
      </c>
      <c r="D20" s="273">
        <v>282802</v>
      </c>
      <c r="E20" s="268">
        <f>+C20-D20</f>
        <v>-4625</v>
      </c>
      <c r="F20" s="266"/>
      <c r="G20" s="266">
        <v>2590426</v>
      </c>
      <c r="H20" s="267">
        <v>2150125</v>
      </c>
      <c r="I20" s="268">
        <f>+G20-H20</f>
        <v>440301</v>
      </c>
      <c r="K20" s="274">
        <f t="shared" si="2"/>
        <v>8345.31</v>
      </c>
    </row>
    <row r="21" spans="2:11" ht="15" thickBot="1" x14ac:dyDescent="0.35">
      <c r="B21" s="261" t="s">
        <v>26</v>
      </c>
      <c r="C21" s="272">
        <v>335266</v>
      </c>
      <c r="D21" s="273">
        <v>280476</v>
      </c>
      <c r="E21" s="268">
        <f>+C21-D21</f>
        <v>54790</v>
      </c>
      <c r="F21" s="266"/>
      <c r="G21" s="266">
        <v>2799436</v>
      </c>
      <c r="H21" s="267">
        <v>2417302</v>
      </c>
      <c r="I21" s="268">
        <f>+G21-H21</f>
        <v>382134</v>
      </c>
      <c r="K21" s="274">
        <f t="shared" si="2"/>
        <v>10057.98</v>
      </c>
    </row>
    <row r="22" spans="2:11" ht="15" thickBot="1" x14ac:dyDescent="0.35">
      <c r="B22" s="261" t="s">
        <v>12</v>
      </c>
      <c r="C22" s="272">
        <f>SUM(C5:C21)</f>
        <v>5598737.5099999998</v>
      </c>
      <c r="D22" s="272">
        <f>SUM(D5:D21)</f>
        <v>5309594</v>
      </c>
      <c r="E22" s="266">
        <f>SUM(E5:E21)</f>
        <v>289143.51</v>
      </c>
      <c r="F22" s="266"/>
      <c r="G22" s="266">
        <f>SUM(G5:G21)</f>
        <v>43211935.780000001</v>
      </c>
      <c r="H22" s="266">
        <f>SUM(H5:H21)</f>
        <v>40180078</v>
      </c>
      <c r="I22" s="266">
        <f>SUM(I5:I21)</f>
        <v>3031857.7800000003</v>
      </c>
      <c r="K22" s="274">
        <f>SUM(K5:K21)</f>
        <v>167962.12530000001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0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8" sqref="D18"/>
    </sheetView>
  </sheetViews>
  <sheetFormatPr defaultColWidth="8.88671875" defaultRowHeight="14.4" x14ac:dyDescent="0.3"/>
  <cols>
    <col min="1" max="1" width="8.88671875" style="239"/>
    <col min="2" max="2" width="30.44140625" style="239" bestFit="1" customWidth="1"/>
    <col min="3" max="3" width="16.33203125" style="239" bestFit="1" customWidth="1"/>
    <col min="4" max="4" width="11.88671875" style="239" bestFit="1" customWidth="1"/>
    <col min="5" max="5" width="11.33203125" style="239" bestFit="1" customWidth="1"/>
    <col min="6" max="6" width="11.44140625" style="239" bestFit="1" customWidth="1"/>
    <col min="7" max="7" width="11.109375" style="239" bestFit="1" customWidth="1"/>
    <col min="8" max="8" width="10" style="239" customWidth="1"/>
    <col min="9" max="9" width="12" style="239" bestFit="1" customWidth="1"/>
    <col min="10" max="10" width="11.33203125" style="239" bestFit="1" customWidth="1"/>
    <col min="11" max="11" width="11.88671875" style="239" bestFit="1" customWidth="1"/>
    <col min="12" max="12" width="10" style="239" customWidth="1"/>
    <col min="13" max="13" width="10.88671875" style="239" bestFit="1" customWidth="1"/>
    <col min="14" max="14" width="11.109375" style="239" bestFit="1" customWidth="1"/>
    <col min="15" max="34" width="10" style="239" customWidth="1"/>
    <col min="35" max="35" width="13.33203125" style="239" bestFit="1" customWidth="1"/>
    <col min="36" max="36" width="19.33203125" style="239" bestFit="1" customWidth="1"/>
    <col min="37" max="16384" width="8.88671875" style="239"/>
  </cols>
  <sheetData>
    <row r="1" spans="1:37" x14ac:dyDescent="0.3">
      <c r="A1" s="1">
        <v>1</v>
      </c>
      <c r="B1" s="203" t="s">
        <v>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186">
        <f>+AI14+AI23+AI32+AI38+AI44+AI50+AI64+AI72+AI77+AI83+AI92+AI98+AI104+AI110+AI116+AI122+AI134+AI128</f>
        <v>4343618.2300000004</v>
      </c>
      <c r="AJ1" s="235">
        <f>+AI1/$A$1</f>
        <v>4343618.2300000004</v>
      </c>
      <c r="AK1" s="239">
        <v>31</v>
      </c>
    </row>
    <row r="2" spans="1:37" x14ac:dyDescent="0.3">
      <c r="A2" s="203"/>
      <c r="B2" s="203"/>
      <c r="C2" s="240"/>
      <c r="D2" s="236" t="s">
        <v>8</v>
      </c>
      <c r="E2" s="236" t="s">
        <v>2</v>
      </c>
      <c r="F2" s="236" t="s">
        <v>3</v>
      </c>
      <c r="G2" s="236" t="s">
        <v>4</v>
      </c>
      <c r="H2" s="236" t="s">
        <v>5</v>
      </c>
      <c r="I2" s="236" t="s">
        <v>6</v>
      </c>
      <c r="J2" s="236" t="s">
        <v>7</v>
      </c>
      <c r="K2" s="236" t="s">
        <v>8</v>
      </c>
      <c r="L2" s="236" t="s">
        <v>2</v>
      </c>
      <c r="M2" s="236" t="s">
        <v>3</v>
      </c>
      <c r="N2" s="236" t="s">
        <v>4</v>
      </c>
      <c r="O2" s="236" t="s">
        <v>5</v>
      </c>
      <c r="P2" s="236" t="s">
        <v>6</v>
      </c>
      <c r="Q2" s="236" t="s">
        <v>7</v>
      </c>
      <c r="R2" s="236" t="s">
        <v>8</v>
      </c>
      <c r="S2" s="236" t="s">
        <v>2</v>
      </c>
      <c r="T2" s="236" t="s">
        <v>3</v>
      </c>
      <c r="U2" s="236" t="s">
        <v>4</v>
      </c>
      <c r="V2" s="236" t="s">
        <v>5</v>
      </c>
      <c r="W2" s="236" t="s">
        <v>6</v>
      </c>
      <c r="X2" s="236" t="s">
        <v>7</v>
      </c>
      <c r="Y2" s="236" t="s">
        <v>8</v>
      </c>
      <c r="Z2" s="236" t="s">
        <v>2</v>
      </c>
      <c r="AA2" s="236" t="s">
        <v>3</v>
      </c>
      <c r="AB2" s="236" t="s">
        <v>4</v>
      </c>
      <c r="AC2" s="236" t="s">
        <v>5</v>
      </c>
      <c r="AD2" s="236" t="s">
        <v>6</v>
      </c>
      <c r="AE2" s="236" t="s">
        <v>7</v>
      </c>
      <c r="AF2" s="236" t="s">
        <v>8</v>
      </c>
      <c r="AG2" s="236" t="s">
        <v>2</v>
      </c>
      <c r="AH2" s="236" t="s">
        <v>3</v>
      </c>
      <c r="AI2" s="241" t="s">
        <v>9</v>
      </c>
      <c r="AJ2" s="193">
        <f>+AJ1*31</f>
        <v>134652165.13000003</v>
      </c>
    </row>
    <row r="3" spans="1:37" ht="15" thickBot="1" x14ac:dyDescent="0.35">
      <c r="A3" s="203"/>
      <c r="B3" s="203" t="s">
        <v>10</v>
      </c>
      <c r="C3" s="240" t="s">
        <v>11</v>
      </c>
      <c r="D3" s="242">
        <v>1</v>
      </c>
      <c r="E3" s="242">
        <f>+D3+1</f>
        <v>2</v>
      </c>
      <c r="F3" s="242">
        <f t="shared" ref="F3:AH3" si="0">+E3+1</f>
        <v>3</v>
      </c>
      <c r="G3" s="242">
        <f t="shared" si="0"/>
        <v>4</v>
      </c>
      <c r="H3" s="242">
        <f t="shared" si="0"/>
        <v>5</v>
      </c>
      <c r="I3" s="242">
        <f t="shared" si="0"/>
        <v>6</v>
      </c>
      <c r="J3" s="242">
        <f t="shared" si="0"/>
        <v>7</v>
      </c>
      <c r="K3" s="242">
        <f t="shared" si="0"/>
        <v>8</v>
      </c>
      <c r="L3" s="242">
        <f t="shared" si="0"/>
        <v>9</v>
      </c>
      <c r="M3" s="242">
        <f t="shared" si="0"/>
        <v>10</v>
      </c>
      <c r="N3" s="242">
        <f t="shared" si="0"/>
        <v>11</v>
      </c>
      <c r="O3" s="242">
        <f t="shared" si="0"/>
        <v>12</v>
      </c>
      <c r="P3" s="242">
        <f t="shared" si="0"/>
        <v>13</v>
      </c>
      <c r="Q3" s="242">
        <f t="shared" si="0"/>
        <v>14</v>
      </c>
      <c r="R3" s="242">
        <f t="shared" si="0"/>
        <v>15</v>
      </c>
      <c r="S3" s="242">
        <f t="shared" si="0"/>
        <v>16</v>
      </c>
      <c r="T3" s="242">
        <f t="shared" si="0"/>
        <v>17</v>
      </c>
      <c r="U3" s="242">
        <f t="shared" si="0"/>
        <v>18</v>
      </c>
      <c r="V3" s="242">
        <f t="shared" si="0"/>
        <v>19</v>
      </c>
      <c r="W3" s="242">
        <f t="shared" si="0"/>
        <v>20</v>
      </c>
      <c r="X3" s="242">
        <f t="shared" si="0"/>
        <v>21</v>
      </c>
      <c r="Y3" s="242">
        <f t="shared" si="0"/>
        <v>22</v>
      </c>
      <c r="Z3" s="242">
        <f t="shared" si="0"/>
        <v>23</v>
      </c>
      <c r="AA3" s="242">
        <f t="shared" si="0"/>
        <v>24</v>
      </c>
      <c r="AB3" s="242">
        <f t="shared" si="0"/>
        <v>25</v>
      </c>
      <c r="AC3" s="242">
        <f t="shared" si="0"/>
        <v>26</v>
      </c>
      <c r="AD3" s="242">
        <f t="shared" si="0"/>
        <v>27</v>
      </c>
      <c r="AE3" s="242">
        <f t="shared" si="0"/>
        <v>28</v>
      </c>
      <c r="AF3" s="242">
        <f t="shared" si="0"/>
        <v>29</v>
      </c>
      <c r="AG3" s="242">
        <f t="shared" si="0"/>
        <v>30</v>
      </c>
      <c r="AH3" s="242">
        <f t="shared" si="0"/>
        <v>31</v>
      </c>
      <c r="AI3" s="241" t="s">
        <v>12</v>
      </c>
      <c r="AJ3" s="193" t="s">
        <v>13</v>
      </c>
    </row>
    <row r="4" spans="1:37" ht="15" thickTop="1" x14ac:dyDescent="0.3">
      <c r="A4" s="203">
        <f>+A10+A19+A28+A34+A40+A46+A64+A68+A73+A79+A88+A94+A100+A106+A112+A118+A130+A124</f>
        <v>2079</v>
      </c>
      <c r="B4" s="28" t="s">
        <v>14</v>
      </c>
      <c r="C4" s="29" t="s">
        <v>15</v>
      </c>
      <c r="D4" s="30">
        <f t="shared" ref="D4:W4" si="1">+D10+D19+D28+D34+D40+D59+D54+D68+D73+D79+D88+D94+D46+D106+D112+D118+D130+D124+D100</f>
        <v>1495</v>
      </c>
      <c r="E4" s="30">
        <f t="shared" si="1"/>
        <v>1058</v>
      </c>
      <c r="F4" s="30">
        <f t="shared" si="1"/>
        <v>1180</v>
      </c>
      <c r="G4" s="30">
        <f t="shared" si="1"/>
        <v>1153</v>
      </c>
      <c r="H4" s="30">
        <f t="shared" si="1"/>
        <v>1257</v>
      </c>
      <c r="I4" s="30">
        <f t="shared" si="1"/>
        <v>1397</v>
      </c>
      <c r="J4" s="30">
        <f t="shared" si="1"/>
        <v>1566</v>
      </c>
      <c r="K4" s="30">
        <f t="shared" si="1"/>
        <v>1604</v>
      </c>
      <c r="L4" s="30">
        <f t="shared" si="1"/>
        <v>1059</v>
      </c>
      <c r="M4" s="30">
        <f t="shared" si="1"/>
        <v>1313</v>
      </c>
      <c r="N4" s="30">
        <f t="shared" si="1"/>
        <v>1377</v>
      </c>
      <c r="O4" s="30">
        <f t="shared" si="1"/>
        <v>1378</v>
      </c>
      <c r="P4" s="30">
        <f t="shared" si="1"/>
        <v>1393</v>
      </c>
      <c r="Q4" s="30">
        <f t="shared" si="1"/>
        <v>1587</v>
      </c>
      <c r="R4" s="30">
        <f t="shared" si="1"/>
        <v>1707</v>
      </c>
      <c r="S4" s="30">
        <f t="shared" si="1"/>
        <v>1119</v>
      </c>
      <c r="T4" s="30">
        <f t="shared" si="1"/>
        <v>1182</v>
      </c>
      <c r="U4" s="30">
        <f t="shared" si="1"/>
        <v>1283</v>
      </c>
      <c r="V4" s="30">
        <f t="shared" si="1"/>
        <v>1286</v>
      </c>
      <c r="W4" s="30">
        <f t="shared" si="1"/>
        <v>1400</v>
      </c>
      <c r="X4" s="30">
        <f t="shared" ref="X4:AE4" si="2">+X10+X19+X28+X34+X40+X59+X54+X68+X73+X79+X88+X94+X46+X106+X112+X118+X130+X124+X100</f>
        <v>1583</v>
      </c>
      <c r="Y4" s="30">
        <f t="shared" si="2"/>
        <v>1708</v>
      </c>
      <c r="Z4" s="30">
        <f t="shared" si="2"/>
        <v>1092</v>
      </c>
      <c r="AA4" s="30">
        <f t="shared" si="2"/>
        <v>1178</v>
      </c>
      <c r="AB4" s="30">
        <f t="shared" si="2"/>
        <v>1230</v>
      </c>
      <c r="AC4" s="30">
        <f t="shared" si="2"/>
        <v>1295</v>
      </c>
      <c r="AD4" s="30">
        <f t="shared" si="2"/>
        <v>1314</v>
      </c>
      <c r="AE4" s="30">
        <f t="shared" si="2"/>
        <v>1623</v>
      </c>
      <c r="AF4" s="30">
        <f t="shared" ref="AF4:AG4" si="3">+AF10+AF19+AF28+AF34+AF40+AF59+AF54+AF68+AF73+AF79+AF88+AF94+AF46+AF106+AF112+AF118+AF130+AF124+AF100</f>
        <v>1802</v>
      </c>
      <c r="AG4" s="30">
        <f t="shared" si="3"/>
        <v>1454</v>
      </c>
      <c r="AH4" s="30">
        <f t="shared" ref="AH4" si="4">+AH10+AH19+AH28+AH34+AH40+AH59+AH54+AH68+AH73+AH79+AH88+AH94+AH46+AH106+AH112+AH118+AH130+AH124+AH100</f>
        <v>1011</v>
      </c>
      <c r="AI4" s="186">
        <f>SUM(D4:AG4)</f>
        <v>41073</v>
      </c>
      <c r="AJ4" s="204">
        <f>+AI4/$A$1*$AK$1</f>
        <v>1273263</v>
      </c>
    </row>
    <row r="5" spans="1:37" x14ac:dyDescent="0.3">
      <c r="A5" s="203"/>
      <c r="B5" s="33"/>
      <c r="C5" s="34" t="s">
        <v>16</v>
      </c>
      <c r="D5" s="35">
        <f>+D4/$A$4</f>
        <v>0.71909571909571912</v>
      </c>
      <c r="E5" s="35">
        <f>+E4/$A$4</f>
        <v>0.50889850889850885</v>
      </c>
      <c r="F5" s="35">
        <f t="shared" ref="F5" si="5">+F4/$A$4</f>
        <v>0.56758056758056763</v>
      </c>
      <c r="G5" s="35">
        <f t="shared" ref="G5:M5" si="6">+G4/$A$4</f>
        <v>0.55459355459355464</v>
      </c>
      <c r="H5" s="35">
        <f t="shared" si="6"/>
        <v>0.60461760461760461</v>
      </c>
      <c r="I5" s="35">
        <f t="shared" si="6"/>
        <v>0.67195767195767198</v>
      </c>
      <c r="J5" s="35">
        <f t="shared" si="6"/>
        <v>0.75324675324675328</v>
      </c>
      <c r="K5" s="35">
        <f t="shared" si="6"/>
        <v>0.7715247715247715</v>
      </c>
      <c r="L5" s="35">
        <f t="shared" si="6"/>
        <v>0.50937950937950938</v>
      </c>
      <c r="M5" s="35">
        <f t="shared" si="6"/>
        <v>0.63155363155363153</v>
      </c>
      <c r="N5" s="35">
        <v>0.69600769600769596</v>
      </c>
      <c r="O5" s="35">
        <v>0.69600769600769596</v>
      </c>
      <c r="P5" s="35">
        <v>0.69600769600769596</v>
      </c>
      <c r="Q5" s="35">
        <v>0.69600769600769596</v>
      </c>
      <c r="R5" s="35">
        <v>0.69600769600769596</v>
      </c>
      <c r="S5" s="35">
        <v>0.69600769600769596</v>
      </c>
      <c r="T5" s="35">
        <v>0.69600769600769596</v>
      </c>
      <c r="U5" s="35">
        <f t="shared" ref="U5:V5" si="7">+U4/$A$4</f>
        <v>0.61712361712361707</v>
      </c>
      <c r="V5" s="35">
        <f t="shared" si="7"/>
        <v>0.61856661856661854</v>
      </c>
      <c r="W5" s="35">
        <f t="shared" ref="W5:X5" si="8">+W4/$A$4</f>
        <v>0.67340067340067344</v>
      </c>
      <c r="X5" s="35">
        <f t="shared" si="8"/>
        <v>0.76142376142376145</v>
      </c>
      <c r="Y5" s="35">
        <f t="shared" ref="Y5:Z5" si="9">+Y4/$A$4</f>
        <v>0.82154882154882158</v>
      </c>
      <c r="Z5" s="35">
        <f t="shared" si="9"/>
        <v>0.5252525252525253</v>
      </c>
      <c r="AA5" s="35">
        <f t="shared" ref="AA5:AB5" si="10">+AA4/$A$4</f>
        <v>0.56661856661856658</v>
      </c>
      <c r="AB5" s="35">
        <f t="shared" si="10"/>
        <v>0.59163059163059162</v>
      </c>
      <c r="AC5" s="35">
        <f t="shared" ref="AC5:AD5" si="11">+AC4/$A$4</f>
        <v>0.62289562289562295</v>
      </c>
      <c r="AD5" s="35">
        <f t="shared" si="11"/>
        <v>0.63203463203463206</v>
      </c>
      <c r="AE5" s="35">
        <f t="shared" ref="AE5:AF5" si="12">+AE4/$A$4</f>
        <v>0.78066378066378062</v>
      </c>
      <c r="AF5" s="35">
        <f t="shared" si="12"/>
        <v>0.86676286676286673</v>
      </c>
      <c r="AG5" s="35">
        <f t="shared" ref="AG5:AH5" si="13">+AG4/$A$4</f>
        <v>0.69937469937469943</v>
      </c>
      <c r="AH5" s="35">
        <f t="shared" si="13"/>
        <v>0.48629148629148627</v>
      </c>
      <c r="AI5" s="172">
        <f>AI4/(A4*A$1)</f>
        <v>19.756132756132757</v>
      </c>
      <c r="AJ5" s="192">
        <f>+AJ4/(A4*AK1)</f>
        <v>19.756132756132757</v>
      </c>
    </row>
    <row r="6" spans="1:37" x14ac:dyDescent="0.3">
      <c r="A6" s="203"/>
      <c r="B6" s="33"/>
      <c r="C6" s="34" t="s">
        <v>17</v>
      </c>
      <c r="D6" s="37">
        <f t="shared" ref="D6" si="14">+IFERROR(D8/D4,0)</f>
        <v>104.5010033444816</v>
      </c>
      <c r="E6" s="37">
        <f t="shared" ref="E6:L6" si="15">+IFERROR(E8/E4,0)</f>
        <v>93.961247637051045</v>
      </c>
      <c r="F6" s="37">
        <f t="shared" si="15"/>
        <v>99.503466101694912</v>
      </c>
      <c r="G6" s="37">
        <f t="shared" si="15"/>
        <v>99.007727666955773</v>
      </c>
      <c r="H6" s="37">
        <f t="shared" si="15"/>
        <v>106.74303898170247</v>
      </c>
      <c r="I6" s="37">
        <f t="shared" si="15"/>
        <v>116.56191839656407</v>
      </c>
      <c r="J6" s="37">
        <f t="shared" si="15"/>
        <v>126.01532567049809</v>
      </c>
      <c r="K6" s="37">
        <f t="shared" si="15"/>
        <v>123.45448877805487</v>
      </c>
      <c r="L6" s="37">
        <f t="shared" si="15"/>
        <v>98.197355996222853</v>
      </c>
      <c r="M6" s="37">
        <f t="shared" ref="M6" si="16">+IFERROR(M8/M4,0)</f>
        <v>97.065498857578064</v>
      </c>
      <c r="N6" s="37">
        <v>106.07941948859708</v>
      </c>
      <c r="O6" s="37">
        <v>106.07941948859708</v>
      </c>
      <c r="P6" s="37">
        <v>106.07941948859708</v>
      </c>
      <c r="Q6" s="37">
        <v>106.07941948859708</v>
      </c>
      <c r="R6" s="37">
        <v>106.07941948859708</v>
      </c>
      <c r="S6" s="37">
        <v>106.07941948859708</v>
      </c>
      <c r="T6" s="37">
        <v>106.07941948859708</v>
      </c>
      <c r="U6" s="37">
        <f t="shared" ref="U6:V6" si="17">+IFERROR(U8/U4,0)</f>
        <v>99.651473109898674</v>
      </c>
      <c r="V6" s="37">
        <f t="shared" si="17"/>
        <v>97.533475894245711</v>
      </c>
      <c r="W6" s="37">
        <f t="shared" ref="W6:X6" si="18">+IFERROR(W8/W4,0)</f>
        <v>103.24071428571429</v>
      </c>
      <c r="X6" s="37">
        <f t="shared" si="18"/>
        <v>107.70490208464939</v>
      </c>
      <c r="Y6" s="37">
        <f t="shared" ref="Y6:Z6" si="19">+IFERROR(Y8/Y4,0)</f>
        <v>109.3360655737705</v>
      </c>
      <c r="Z6" s="37">
        <f t="shared" si="19"/>
        <v>93.952261904761897</v>
      </c>
      <c r="AA6" s="37">
        <f t="shared" ref="AA6:AB6" si="20">+IFERROR(AA8/AA4,0)</f>
        <v>103.02968590831918</v>
      </c>
      <c r="AB6" s="37">
        <f t="shared" si="20"/>
        <v>100.51082113821138</v>
      </c>
      <c r="AC6" s="37">
        <f t="shared" ref="AC6:AD6" si="21">+IFERROR(AC8/AC4,0)</f>
        <v>97.603861003860999</v>
      </c>
      <c r="AD6" s="37">
        <f t="shared" si="21"/>
        <v>97.607305936073061</v>
      </c>
      <c r="AE6" s="37">
        <f t="shared" ref="AE6:AF6" si="22">+IFERROR(AE8/AE4,0)</f>
        <v>112.44423906346272</v>
      </c>
      <c r="AF6" s="37">
        <f t="shared" si="22"/>
        <v>116.71587125416204</v>
      </c>
      <c r="AG6" s="37">
        <f t="shared" ref="AG6:AH6" si="23">+IFERROR(AG8/AG4,0)</f>
        <v>100.14993122420908</v>
      </c>
      <c r="AH6" s="37">
        <f t="shared" si="23"/>
        <v>100.55786350148368</v>
      </c>
      <c r="AI6" s="173">
        <f>AI8/AI4</f>
        <v>105.04810386385215</v>
      </c>
      <c r="AJ6" s="193">
        <f>+AJ8/AJ4</f>
        <v>105.04810386385216</v>
      </c>
    </row>
    <row r="7" spans="1:37" x14ac:dyDescent="0.3">
      <c r="A7" s="203"/>
      <c r="B7" s="33"/>
      <c r="C7" s="34" t="s">
        <v>18</v>
      </c>
      <c r="D7" s="37">
        <f t="shared" ref="D7" si="24">+IFERROR(D6*D5,0)</f>
        <v>75.146224146224142</v>
      </c>
      <c r="E7" s="37">
        <f t="shared" ref="E7:M7" si="25">+IFERROR(E6*E5,0)</f>
        <v>47.816738816738813</v>
      </c>
      <c r="F7" s="37">
        <f t="shared" si="25"/>
        <v>56.476233766233769</v>
      </c>
      <c r="G7" s="37">
        <f t="shared" si="25"/>
        <v>54.909047619047627</v>
      </c>
      <c r="H7" s="37">
        <f t="shared" si="25"/>
        <v>64.53872053872054</v>
      </c>
      <c r="I7" s="37">
        <f t="shared" si="25"/>
        <v>78.324675324675326</v>
      </c>
      <c r="J7" s="37">
        <f t="shared" si="25"/>
        <v>94.920634920634924</v>
      </c>
      <c r="K7" s="37">
        <f t="shared" si="25"/>
        <v>95.248196248196251</v>
      </c>
      <c r="L7" s="37">
        <f t="shared" si="25"/>
        <v>50.019721019721018</v>
      </c>
      <c r="M7" s="37">
        <f t="shared" si="25"/>
        <v>61.302068302068299</v>
      </c>
      <c r="N7" s="37">
        <v>73.832092352092332</v>
      </c>
      <c r="O7" s="37">
        <v>73.832092352092332</v>
      </c>
      <c r="P7" s="37">
        <v>73.832092352092332</v>
      </c>
      <c r="Q7" s="37">
        <v>73.832092352092332</v>
      </c>
      <c r="R7" s="37">
        <v>73.832092352092332</v>
      </c>
      <c r="S7" s="37">
        <v>73.832092352092332</v>
      </c>
      <c r="T7" s="37">
        <v>73.832092352092332</v>
      </c>
      <c r="U7" s="37">
        <f t="shared" ref="U7:V7" si="26">+IFERROR(U6*U5,0)</f>
        <v>61.497277537277533</v>
      </c>
      <c r="V7" s="37">
        <f t="shared" si="26"/>
        <v>60.330952380952368</v>
      </c>
      <c r="W7" s="37">
        <f t="shared" ref="W7:X7" si="27">+IFERROR(W6*W5,0)</f>
        <v>69.522366522366525</v>
      </c>
      <c r="X7" s="37">
        <f t="shared" si="27"/>
        <v>82.009071669071659</v>
      </c>
      <c r="Y7" s="37">
        <f t="shared" ref="Y7:Z7" si="28">+IFERROR(Y6*Y5,0)</f>
        <v>89.824915824915834</v>
      </c>
      <c r="Z7" s="37">
        <f t="shared" si="28"/>
        <v>49.348662818662817</v>
      </c>
      <c r="AA7" s="37">
        <f t="shared" ref="AA7:AB7" si="29">+IFERROR(AA6*AA5,0)</f>
        <v>58.378532948532943</v>
      </c>
      <c r="AB7" s="37">
        <f t="shared" si="29"/>
        <v>59.465276575276576</v>
      </c>
      <c r="AC7" s="37">
        <f t="shared" ref="AC7:AD7" si="30">+IFERROR(AC6*AC5,0)</f>
        <v>60.797017797017801</v>
      </c>
      <c r="AD7" s="37">
        <f t="shared" si="30"/>
        <v>61.691197691197694</v>
      </c>
      <c r="AE7" s="37">
        <f t="shared" ref="AE7:AF7" si="31">+IFERROR(AE6*AE5,0)</f>
        <v>87.781144781144775</v>
      </c>
      <c r="AF7" s="37">
        <f t="shared" si="31"/>
        <v>101.16498316498316</v>
      </c>
      <c r="AG7" s="37">
        <f t="shared" ref="AG7:AH7" si="32">+IFERROR(AG6*AG5,0)</f>
        <v>70.042328042328052</v>
      </c>
      <c r="AH7" s="37">
        <f t="shared" si="32"/>
        <v>48.900432900432897</v>
      </c>
      <c r="AI7" s="173">
        <f>AI6*AI5</f>
        <v>2075.3442857142854</v>
      </c>
      <c r="AJ7" s="193">
        <f>+AJ5*AJ6</f>
        <v>2075.3442857142859</v>
      </c>
    </row>
    <row r="8" spans="1:37" x14ac:dyDescent="0.3">
      <c r="A8" s="203"/>
      <c r="B8" s="33"/>
      <c r="C8" s="34" t="s">
        <v>19</v>
      </c>
      <c r="D8" s="158">
        <f t="shared" ref="D8:I8" si="33">+D14+D23+D32+D44+D38+D50+D66+D72+D77+D83+D92+D98+D104+D110+D116+D122+D128+D134</f>
        <v>156229</v>
      </c>
      <c r="E8" s="158">
        <f t="shared" si="33"/>
        <v>99411</v>
      </c>
      <c r="F8" s="158">
        <f t="shared" si="33"/>
        <v>117414.09</v>
      </c>
      <c r="G8" s="158">
        <f t="shared" si="33"/>
        <v>114155.91</v>
      </c>
      <c r="H8" s="158">
        <f t="shared" si="33"/>
        <v>134176</v>
      </c>
      <c r="I8" s="158">
        <f t="shared" si="33"/>
        <v>162837</v>
      </c>
      <c r="J8" s="158">
        <f t="shared" ref="J8:K8" si="34">+J14+J23+J32+J44+J38+J50+J66+J72+J77+J83+J92+J98+J104+J110+J116+J122+J128+J134</f>
        <v>197340</v>
      </c>
      <c r="K8" s="158">
        <f t="shared" si="34"/>
        <v>198021</v>
      </c>
      <c r="L8" s="158">
        <f t="shared" ref="L8:N8" si="35">+L14+L23+L32+L44+L38+L50+L66+L72+L77+L83+L92+L98+L104+L110+L116+L122+L128+L134</f>
        <v>103991</v>
      </c>
      <c r="M8" s="158">
        <f t="shared" si="35"/>
        <v>127447</v>
      </c>
      <c r="N8" s="158">
        <f t="shared" si="35"/>
        <v>142785.91999999998</v>
      </c>
      <c r="O8" s="158">
        <f t="shared" ref="O8:P8" si="36">+O14+O23+O32+O44+O38+O50+O66+O72+O77+O83+O92+O98+O104+O110+O116+O122+O128+O134</f>
        <v>139859</v>
      </c>
      <c r="P8" s="158">
        <f t="shared" si="36"/>
        <v>143979</v>
      </c>
      <c r="Q8" s="158">
        <f t="shared" ref="Q8:R8" si="37">+Q14+Q23+Q32+Q44+Q38+Q50+Q66+Q72+Q77+Q83+Q92+Q98+Q104+Q110+Q116+Q122+Q128+Q134</f>
        <v>173155</v>
      </c>
      <c r="R8" s="158">
        <f t="shared" si="37"/>
        <v>184072</v>
      </c>
      <c r="S8" s="158">
        <f t="shared" ref="S8:U8" si="38">+S14+S23+S32+S44+S38+S50+S66+S72+S77+S83+S92+S98+S104+S110+S116+S122+S128+S134</f>
        <v>107218</v>
      </c>
      <c r="T8" s="158">
        <f t="shared" si="38"/>
        <v>116805.95</v>
      </c>
      <c r="U8" s="158">
        <f t="shared" si="38"/>
        <v>127852.84</v>
      </c>
      <c r="V8" s="158">
        <f t="shared" ref="V8:W8" si="39">+V14+V23+V32+V44+V38+V50+V66+V72+V77+V83+V92+V98+V104+V110+V116+V122+V128+V134</f>
        <v>125428.04999999999</v>
      </c>
      <c r="W8" s="158">
        <f t="shared" si="39"/>
        <v>144537</v>
      </c>
      <c r="X8" s="158">
        <f t="shared" ref="X8:AE8" si="40">+X14+X23+X32+X44+X38+X50+X66+X72+X77+X83+X92+X98+X104+X110+X116+X122+X128+X134</f>
        <v>170496.86</v>
      </c>
      <c r="Y8" s="158">
        <f t="shared" si="40"/>
        <v>186746</v>
      </c>
      <c r="Z8" s="158">
        <f t="shared" si="40"/>
        <v>102595.87</v>
      </c>
      <c r="AA8" s="158">
        <f t="shared" si="40"/>
        <v>121368.97</v>
      </c>
      <c r="AB8" s="158">
        <f t="shared" si="40"/>
        <v>123628.31</v>
      </c>
      <c r="AC8" s="158">
        <f t="shared" si="40"/>
        <v>126397</v>
      </c>
      <c r="AD8" s="158">
        <f t="shared" si="40"/>
        <v>128256</v>
      </c>
      <c r="AE8" s="158">
        <f t="shared" si="40"/>
        <v>182497</v>
      </c>
      <c r="AF8" s="158">
        <f t="shared" ref="AF8:AG8" si="41">+AF14+AF23+AF32+AF44+AF38+AF50+AF66+AF72+AF77+AF83+AF92+AF98+AF104+AF110+AF116+AF122+AF128+AF134</f>
        <v>210322</v>
      </c>
      <c r="AG8" s="158">
        <f t="shared" si="41"/>
        <v>145618</v>
      </c>
      <c r="AH8" s="158">
        <f t="shared" ref="AH8" si="42">+AH14+AH23+AH32+AH44+AH38+AH50+AH66+AH72+AH77+AH83+AH92+AH98+AH104+AH110+AH116+AH122+AH128+AH134</f>
        <v>101664</v>
      </c>
      <c r="AI8" s="174">
        <f>SUM(D8:AG8)</f>
        <v>4314640.7699999996</v>
      </c>
      <c r="AJ8" s="191">
        <f>+AI8/A1*AK1</f>
        <v>133753863.86999999</v>
      </c>
    </row>
    <row r="9" spans="1:37" ht="15" thickBot="1" x14ac:dyDescent="0.35">
      <c r="A9" s="237"/>
      <c r="B9" s="48"/>
      <c r="C9" s="41" t="s">
        <v>20</v>
      </c>
      <c r="D9" s="49">
        <f>IFERROR(AVERAGE(D15,D24,D33,D39,D45,D51,D67,D78,D84,D93,D99,D105,D111,D117,D123,D129,D135),0)</f>
        <v>0</v>
      </c>
      <c r="E9" s="49">
        <f t="shared" ref="E9:AA9" si="43">IFERROR(AVERAGE(E15,E24,E33,E39,E45,E51,E67,E78,E84,E93,E99,E105,E111,E117,E123,E129,E135),0)</f>
        <v>0</v>
      </c>
      <c r="F9" s="49">
        <f t="shared" si="43"/>
        <v>0</v>
      </c>
      <c r="G9" s="49">
        <f t="shared" si="43"/>
        <v>0</v>
      </c>
      <c r="H9" s="49">
        <f t="shared" si="43"/>
        <v>0</v>
      </c>
      <c r="I9" s="49">
        <f t="shared" si="43"/>
        <v>0</v>
      </c>
      <c r="J9" s="49">
        <f t="shared" si="43"/>
        <v>0</v>
      </c>
      <c r="K9" s="49">
        <f t="shared" si="43"/>
        <v>0</v>
      </c>
      <c r="L9" s="49">
        <f t="shared" si="43"/>
        <v>0</v>
      </c>
      <c r="M9" s="49">
        <f t="shared" si="43"/>
        <v>0</v>
      </c>
      <c r="N9" s="49">
        <f t="shared" si="43"/>
        <v>0</v>
      </c>
      <c r="O9" s="49">
        <f t="shared" si="43"/>
        <v>0</v>
      </c>
      <c r="P9" s="49">
        <f t="shared" si="43"/>
        <v>0</v>
      </c>
      <c r="Q9" s="49">
        <f t="shared" si="43"/>
        <v>0</v>
      </c>
      <c r="R9" s="49">
        <f t="shared" si="43"/>
        <v>0</v>
      </c>
      <c r="S9" s="49">
        <f t="shared" si="43"/>
        <v>0</v>
      </c>
      <c r="T9" s="49">
        <f t="shared" si="43"/>
        <v>0</v>
      </c>
      <c r="U9" s="49">
        <f t="shared" si="43"/>
        <v>0</v>
      </c>
      <c r="V9" s="49">
        <f t="shared" si="43"/>
        <v>0</v>
      </c>
      <c r="W9" s="49">
        <f t="shared" si="43"/>
        <v>0</v>
      </c>
      <c r="X9" s="49">
        <f t="shared" si="43"/>
        <v>0</v>
      </c>
      <c r="Y9" s="49">
        <f t="shared" si="43"/>
        <v>0</v>
      </c>
      <c r="Z9" s="49">
        <f t="shared" si="43"/>
        <v>0</v>
      </c>
      <c r="AA9" s="49">
        <f t="shared" si="43"/>
        <v>0</v>
      </c>
      <c r="AB9" s="49">
        <f t="shared" ref="AB9:AH9" si="44">IFERROR(AVERAGE(AB15,AB24,AB33,AB39,AB45,AB51,AB67,AB78,AB84,AB93,AB99,AB105,AB111,AB117,AB123,AB129,AB135),0)</f>
        <v>0</v>
      </c>
      <c r="AC9" s="49">
        <f t="shared" si="44"/>
        <v>0</v>
      </c>
      <c r="AD9" s="49">
        <f t="shared" si="44"/>
        <v>0</v>
      </c>
      <c r="AE9" s="49">
        <f t="shared" si="44"/>
        <v>0</v>
      </c>
      <c r="AF9" s="49">
        <f t="shared" si="44"/>
        <v>0</v>
      </c>
      <c r="AG9" s="49">
        <f t="shared" si="44"/>
        <v>0</v>
      </c>
      <c r="AH9" s="49">
        <f t="shared" si="44"/>
        <v>0</v>
      </c>
      <c r="AI9" s="187">
        <f>AVERAGE(D9:AE9)</f>
        <v>0</v>
      </c>
      <c r="AJ9" s="227"/>
    </row>
    <row r="10" spans="1:37" ht="15" thickTop="1" x14ac:dyDescent="0.3">
      <c r="A10" s="203">
        <v>103</v>
      </c>
      <c r="B10" s="159" t="s">
        <v>21</v>
      </c>
      <c r="C10" s="160" t="s">
        <v>15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89">
        <f>SUM(D10:AH10)</f>
        <v>0</v>
      </c>
      <c r="AJ10" s="217">
        <f>+$AI10/$A$1*$AK$1</f>
        <v>0</v>
      </c>
    </row>
    <row r="11" spans="1:37" x14ac:dyDescent="0.3">
      <c r="A11" s="203"/>
      <c r="B11" s="162"/>
      <c r="C11" s="163" t="s">
        <v>16</v>
      </c>
      <c r="D11" s="164">
        <f>+D10/$A10</f>
        <v>0</v>
      </c>
      <c r="E11" s="164">
        <f t="shared" ref="E11:AG11" si="45">+E10/$A10</f>
        <v>0</v>
      </c>
      <c r="F11" s="164">
        <f t="shared" si="45"/>
        <v>0</v>
      </c>
      <c r="G11" s="164">
        <f t="shared" si="45"/>
        <v>0</v>
      </c>
      <c r="H11" s="164">
        <f t="shared" si="45"/>
        <v>0</v>
      </c>
      <c r="I11" s="164">
        <f t="shared" si="45"/>
        <v>0</v>
      </c>
      <c r="J11" s="164">
        <f t="shared" si="45"/>
        <v>0</v>
      </c>
      <c r="K11" s="164">
        <f t="shared" si="45"/>
        <v>0</v>
      </c>
      <c r="L11" s="164">
        <f t="shared" si="45"/>
        <v>0</v>
      </c>
      <c r="M11" s="164">
        <f t="shared" si="45"/>
        <v>0</v>
      </c>
      <c r="N11" s="164">
        <v>0.970873786407767</v>
      </c>
      <c r="O11" s="164">
        <f t="shared" si="45"/>
        <v>0</v>
      </c>
      <c r="P11" s="164">
        <f t="shared" si="45"/>
        <v>0</v>
      </c>
      <c r="Q11" s="164">
        <f t="shared" si="45"/>
        <v>0</v>
      </c>
      <c r="R11" s="164">
        <f t="shared" si="45"/>
        <v>0</v>
      </c>
      <c r="S11" s="164">
        <f t="shared" si="45"/>
        <v>0</v>
      </c>
      <c r="T11" s="164">
        <f t="shared" si="45"/>
        <v>0</v>
      </c>
      <c r="U11" s="164">
        <f t="shared" si="45"/>
        <v>0</v>
      </c>
      <c r="V11" s="164">
        <f t="shared" si="45"/>
        <v>0</v>
      </c>
      <c r="W11" s="164">
        <f t="shared" si="45"/>
        <v>0</v>
      </c>
      <c r="X11" s="164">
        <f t="shared" si="45"/>
        <v>0</v>
      </c>
      <c r="Y11" s="164">
        <f t="shared" si="45"/>
        <v>0</v>
      </c>
      <c r="Z11" s="164">
        <f t="shared" si="45"/>
        <v>0</v>
      </c>
      <c r="AA11" s="164">
        <f t="shared" si="45"/>
        <v>0</v>
      </c>
      <c r="AB11" s="164">
        <f t="shared" si="45"/>
        <v>0</v>
      </c>
      <c r="AC11" s="164">
        <f t="shared" si="45"/>
        <v>0</v>
      </c>
      <c r="AD11" s="164">
        <f t="shared" si="45"/>
        <v>0</v>
      </c>
      <c r="AE11" s="164">
        <f t="shared" si="45"/>
        <v>0</v>
      </c>
      <c r="AF11" s="164">
        <f t="shared" si="45"/>
        <v>0</v>
      </c>
      <c r="AG11" s="164">
        <f t="shared" si="45"/>
        <v>0</v>
      </c>
      <c r="AH11" s="164">
        <f t="shared" ref="AH11" si="46">+AH10/$A10</f>
        <v>0</v>
      </c>
      <c r="AI11" s="177">
        <f>+AI10/(A10*A$1)</f>
        <v>0</v>
      </c>
      <c r="AJ11" s="197">
        <f>AJ10/($A10*31)</f>
        <v>0</v>
      </c>
    </row>
    <row r="12" spans="1:37" x14ac:dyDescent="0.3">
      <c r="A12" s="203"/>
      <c r="B12" s="162"/>
      <c r="C12" s="163" t="s">
        <v>17</v>
      </c>
      <c r="D12" s="165">
        <f t="shared" ref="D12:AG12" si="47">+IFERROR(D14/D10,0)</f>
        <v>0</v>
      </c>
      <c r="E12" s="165">
        <f t="shared" si="47"/>
        <v>0</v>
      </c>
      <c r="F12" s="165">
        <f t="shared" si="47"/>
        <v>0</v>
      </c>
      <c r="G12" s="165">
        <f t="shared" si="47"/>
        <v>0</v>
      </c>
      <c r="H12" s="165">
        <f t="shared" si="47"/>
        <v>0</v>
      </c>
      <c r="I12" s="165">
        <f t="shared" si="47"/>
        <v>0</v>
      </c>
      <c r="J12" s="165">
        <f t="shared" si="47"/>
        <v>0</v>
      </c>
      <c r="K12" s="165">
        <f t="shared" si="47"/>
        <v>0</v>
      </c>
      <c r="L12" s="165">
        <f t="shared" si="47"/>
        <v>0</v>
      </c>
      <c r="M12" s="165">
        <f t="shared" si="47"/>
        <v>0</v>
      </c>
      <c r="N12" s="165">
        <v>135.63</v>
      </c>
      <c r="O12" s="165">
        <f t="shared" si="47"/>
        <v>0</v>
      </c>
      <c r="P12" s="165">
        <f t="shared" si="47"/>
        <v>0</v>
      </c>
      <c r="Q12" s="165">
        <f t="shared" si="47"/>
        <v>0</v>
      </c>
      <c r="R12" s="165">
        <f t="shared" si="47"/>
        <v>0</v>
      </c>
      <c r="S12" s="165">
        <f t="shared" si="47"/>
        <v>0</v>
      </c>
      <c r="T12" s="165">
        <f t="shared" si="47"/>
        <v>0</v>
      </c>
      <c r="U12" s="165">
        <f t="shared" si="47"/>
        <v>0</v>
      </c>
      <c r="V12" s="165">
        <f t="shared" si="47"/>
        <v>0</v>
      </c>
      <c r="W12" s="165">
        <f t="shared" si="47"/>
        <v>0</v>
      </c>
      <c r="X12" s="165">
        <f t="shared" si="47"/>
        <v>0</v>
      </c>
      <c r="Y12" s="165">
        <f t="shared" si="47"/>
        <v>0</v>
      </c>
      <c r="Z12" s="165">
        <f t="shared" si="47"/>
        <v>0</v>
      </c>
      <c r="AA12" s="165">
        <f t="shared" si="47"/>
        <v>0</v>
      </c>
      <c r="AB12" s="165">
        <f t="shared" si="47"/>
        <v>0</v>
      </c>
      <c r="AC12" s="165">
        <f t="shared" si="47"/>
        <v>0</v>
      </c>
      <c r="AD12" s="165">
        <f t="shared" si="47"/>
        <v>0</v>
      </c>
      <c r="AE12" s="165">
        <f t="shared" si="47"/>
        <v>0</v>
      </c>
      <c r="AF12" s="165">
        <f t="shared" si="47"/>
        <v>0</v>
      </c>
      <c r="AG12" s="165">
        <f t="shared" si="47"/>
        <v>0</v>
      </c>
      <c r="AH12" s="165">
        <f t="shared" ref="AH12" si="48">+IFERROR(AH14/AH10,0)</f>
        <v>0</v>
      </c>
      <c r="AI12" s="178">
        <f>+IFERROR(AI14/AI10,0)</f>
        <v>0</v>
      </c>
      <c r="AJ12" s="198" t="e">
        <f>+AJ14/AJ10</f>
        <v>#DIV/0!</v>
      </c>
    </row>
    <row r="13" spans="1:37" x14ac:dyDescent="0.3">
      <c r="A13" s="203"/>
      <c r="B13" s="162"/>
      <c r="C13" s="163" t="s">
        <v>18</v>
      </c>
      <c r="D13" s="165">
        <f>+D11*D12</f>
        <v>0</v>
      </c>
      <c r="E13" s="165">
        <f t="shared" ref="E13:AG13" si="49">+E11*E12</f>
        <v>0</v>
      </c>
      <c r="F13" s="165">
        <f t="shared" si="49"/>
        <v>0</v>
      </c>
      <c r="G13" s="165">
        <f t="shared" si="49"/>
        <v>0</v>
      </c>
      <c r="H13" s="165">
        <f t="shared" si="49"/>
        <v>0</v>
      </c>
      <c r="I13" s="165">
        <f t="shared" si="49"/>
        <v>0</v>
      </c>
      <c r="J13" s="165">
        <f t="shared" si="49"/>
        <v>0</v>
      </c>
      <c r="K13" s="165">
        <f t="shared" si="49"/>
        <v>0</v>
      </c>
      <c r="L13" s="165">
        <f t="shared" si="49"/>
        <v>0</v>
      </c>
      <c r="M13" s="165">
        <f t="shared" si="49"/>
        <v>0</v>
      </c>
      <c r="N13" s="165">
        <v>131.67961165048544</v>
      </c>
      <c r="O13" s="165">
        <f t="shared" si="49"/>
        <v>0</v>
      </c>
      <c r="P13" s="165">
        <f t="shared" si="49"/>
        <v>0</v>
      </c>
      <c r="Q13" s="165">
        <f t="shared" si="49"/>
        <v>0</v>
      </c>
      <c r="R13" s="165">
        <f t="shared" si="49"/>
        <v>0</v>
      </c>
      <c r="S13" s="165">
        <f t="shared" si="49"/>
        <v>0</v>
      </c>
      <c r="T13" s="165">
        <f t="shared" si="49"/>
        <v>0</v>
      </c>
      <c r="U13" s="165">
        <f t="shared" si="49"/>
        <v>0</v>
      </c>
      <c r="V13" s="165">
        <f t="shared" si="49"/>
        <v>0</v>
      </c>
      <c r="W13" s="165">
        <f t="shared" si="49"/>
        <v>0</v>
      </c>
      <c r="X13" s="165">
        <f t="shared" si="49"/>
        <v>0</v>
      </c>
      <c r="Y13" s="165">
        <f t="shared" si="49"/>
        <v>0</v>
      </c>
      <c r="Z13" s="165">
        <f t="shared" si="49"/>
        <v>0</v>
      </c>
      <c r="AA13" s="165">
        <f t="shared" si="49"/>
        <v>0</v>
      </c>
      <c r="AB13" s="165">
        <f t="shared" si="49"/>
        <v>0</v>
      </c>
      <c r="AC13" s="165">
        <f t="shared" si="49"/>
        <v>0</v>
      </c>
      <c r="AD13" s="165">
        <f t="shared" si="49"/>
        <v>0</v>
      </c>
      <c r="AE13" s="165">
        <f t="shared" si="49"/>
        <v>0</v>
      </c>
      <c r="AF13" s="165">
        <f t="shared" si="49"/>
        <v>0</v>
      </c>
      <c r="AG13" s="165">
        <f t="shared" si="49"/>
        <v>0</v>
      </c>
      <c r="AH13" s="165">
        <f t="shared" ref="AH13" si="50">+AH11*AH12</f>
        <v>0</v>
      </c>
      <c r="AI13" s="178">
        <f>+AI12*AI11</f>
        <v>0</v>
      </c>
      <c r="AJ13" s="198" t="e">
        <f>+AJ11*AJ12</f>
        <v>#DIV/0!</v>
      </c>
    </row>
    <row r="14" spans="1:37" x14ac:dyDescent="0.3">
      <c r="A14" s="203"/>
      <c r="B14" s="162"/>
      <c r="C14" s="163" t="s">
        <v>19</v>
      </c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79">
        <f>SUM(D14:AH14)</f>
        <v>0</v>
      </c>
      <c r="AJ14" s="196">
        <f>+AI14/A1*AK1</f>
        <v>0</v>
      </c>
    </row>
    <row r="15" spans="1:37" x14ac:dyDescent="0.3">
      <c r="A15" s="237"/>
      <c r="B15" s="167"/>
      <c r="C15" s="163" t="s">
        <v>20</v>
      </c>
      <c r="D15" s="168" t="e">
        <f>1011.89/D14</f>
        <v>#DIV/0!</v>
      </c>
      <c r="E15" s="168" t="e">
        <f>824.78/E14</f>
        <v>#DIV/0!</v>
      </c>
      <c r="F15" s="168" t="e">
        <f>1304.72/F14</f>
        <v>#DIV/0!</v>
      </c>
      <c r="G15" s="168" t="e">
        <f>1585.58/G14</f>
        <v>#DIV/0!</v>
      </c>
      <c r="H15" s="168" t="e">
        <f>1464.61/H14</f>
        <v>#DIV/0!</v>
      </c>
      <c r="I15" s="168" t="e">
        <f>1435.47/I14</f>
        <v>#DIV/0!</v>
      </c>
      <c r="J15" s="168" t="e">
        <f>1283.27/J14</f>
        <v>#DIV/0!</v>
      </c>
      <c r="K15" s="168" t="e">
        <f>570.41/K14</f>
        <v>#DIV/0!</v>
      </c>
      <c r="L15" s="168" t="e">
        <f>636.41/L14</f>
        <v>#DIV/0!</v>
      </c>
      <c r="M15" s="168" t="e">
        <f>1472.88/M14</f>
        <v>#DIV/0!</v>
      </c>
      <c r="N15" s="168" t="e">
        <f>1502.03/N14</f>
        <v>#DIV/0!</v>
      </c>
      <c r="O15" s="168" t="e">
        <f>1755.87/O14</f>
        <v>#DIV/0!</v>
      </c>
      <c r="P15" s="168" t="e">
        <f>1464.07/P14</f>
        <v>#DIV/0!</v>
      </c>
      <c r="Q15" s="168" t="e">
        <f>1697.84/Q14</f>
        <v>#DIV/0!</v>
      </c>
      <c r="R15" s="168" t="e">
        <f>1612.8/R14</f>
        <v>#DIV/0!</v>
      </c>
      <c r="S15" s="168" t="e">
        <f>670.26/S14</f>
        <v>#DIV/0!</v>
      </c>
      <c r="T15" s="168" t="e">
        <f>1798.07/T14</f>
        <v>#DIV/0!</v>
      </c>
      <c r="U15" s="168" t="e">
        <f>1788.41/U14</f>
        <v>#DIV/0!</v>
      </c>
      <c r="V15" s="168" t="e">
        <f>1329.87/V14</f>
        <v>#DIV/0!</v>
      </c>
      <c r="W15" s="168" t="e">
        <f>1347.51/W14</f>
        <v>#DIV/0!</v>
      </c>
      <c r="X15" s="168" t="e">
        <f>1324.85/X14</f>
        <v>#DIV/0!</v>
      </c>
      <c r="Y15" s="168" t="e">
        <f>734.23/Y14</f>
        <v>#DIV/0!</v>
      </c>
      <c r="Z15" s="168" t="e">
        <f>1324.85/Z14</f>
        <v>#DIV/0!</v>
      </c>
      <c r="AA15" s="168" t="e">
        <f>1531.37/AA14</f>
        <v>#DIV/0!</v>
      </c>
      <c r="AB15" s="168" t="e">
        <f>1715.9/AB14</f>
        <v>#DIV/0!</v>
      </c>
      <c r="AC15" s="168" t="e">
        <f>1509.71/AC14</f>
        <v>#DIV/0!</v>
      </c>
      <c r="AD15" s="168" t="e">
        <f>1538.4/AD14</f>
        <v>#DIV/0!</v>
      </c>
      <c r="AE15" s="168" t="e">
        <f>1424.83/AE14</f>
        <v>#DIV/0!</v>
      </c>
      <c r="AF15" s="168" t="e">
        <f>677.88/AF14</f>
        <v>#DIV/0!</v>
      </c>
      <c r="AG15" s="168" t="e">
        <f>747.03/AG14</f>
        <v>#DIV/0!</v>
      </c>
      <c r="AH15" s="168" t="e">
        <f>2442.39/AH14</f>
        <v>#DIV/0!</v>
      </c>
      <c r="AI15" s="180">
        <f>IFERROR(AVERAGE(D15:AG15),0)</f>
        <v>0</v>
      </c>
      <c r="AJ15" s="198"/>
    </row>
    <row r="16" spans="1:37" x14ac:dyDescent="0.3">
      <c r="A16" s="237"/>
      <c r="B16" s="167"/>
      <c r="C16" s="163" t="s">
        <v>22</v>
      </c>
      <c r="D16" s="169">
        <v>58.25</v>
      </c>
      <c r="E16" s="169">
        <v>64.08</v>
      </c>
      <c r="F16" s="169">
        <v>67.959999999999994</v>
      </c>
      <c r="G16" s="169">
        <v>68.930000000000007</v>
      </c>
      <c r="H16" s="169">
        <v>68.930000000000007</v>
      </c>
      <c r="I16" s="169">
        <v>56.31</v>
      </c>
      <c r="J16" s="169">
        <v>56.31</v>
      </c>
      <c r="K16" s="169">
        <v>56.31</v>
      </c>
      <c r="L16" s="169">
        <v>63.11</v>
      </c>
      <c r="M16" s="169">
        <v>660.2</v>
      </c>
      <c r="N16" s="169"/>
      <c r="O16" s="169">
        <v>64.08</v>
      </c>
      <c r="P16" s="169">
        <v>67.959999999999994</v>
      </c>
      <c r="Q16" s="169">
        <v>57.28</v>
      </c>
      <c r="R16" s="169">
        <v>47.57</v>
      </c>
      <c r="S16" s="169">
        <v>63.11</v>
      </c>
      <c r="T16" s="169">
        <v>66.989999999999995</v>
      </c>
      <c r="U16" s="169">
        <v>66.02</v>
      </c>
      <c r="V16" s="169">
        <v>65.05</v>
      </c>
      <c r="W16" s="169">
        <v>51.46</v>
      </c>
      <c r="X16" s="169">
        <v>56.31</v>
      </c>
      <c r="Y16" s="169">
        <v>53.4</v>
      </c>
      <c r="Z16" s="169">
        <v>61.17</v>
      </c>
      <c r="AA16" s="169">
        <v>66.02</v>
      </c>
      <c r="AB16" s="169">
        <v>66.02</v>
      </c>
      <c r="AC16" s="169">
        <v>66.02</v>
      </c>
      <c r="AD16" s="169">
        <v>70.87</v>
      </c>
      <c r="AE16" s="169">
        <v>52.43</v>
      </c>
      <c r="AF16" s="169">
        <v>55.34</v>
      </c>
      <c r="AG16" s="169">
        <v>58.25</v>
      </c>
      <c r="AH16" s="169">
        <v>62.14</v>
      </c>
      <c r="AI16" s="180"/>
      <c r="AJ16" s="198"/>
    </row>
    <row r="17" spans="1:36" x14ac:dyDescent="0.3">
      <c r="A17" s="237"/>
      <c r="B17" s="167"/>
      <c r="C17" s="163" t="s">
        <v>23</v>
      </c>
      <c r="D17" s="169">
        <v>104.39</v>
      </c>
      <c r="E17" s="169">
        <v>104.96</v>
      </c>
      <c r="F17" s="169">
        <v>106.11</v>
      </c>
      <c r="G17" s="169">
        <v>105.61</v>
      </c>
      <c r="H17" s="169">
        <v>105.3</v>
      </c>
      <c r="I17" s="169">
        <v>105.28</v>
      </c>
      <c r="J17" s="169">
        <v>106.07</v>
      </c>
      <c r="K17" s="169">
        <v>106.76</v>
      </c>
      <c r="L17" s="169">
        <v>106.95</v>
      </c>
      <c r="M17" s="169">
        <v>107.92</v>
      </c>
      <c r="N17" s="169"/>
      <c r="O17" s="169">
        <v>113.23</v>
      </c>
      <c r="P17" s="169">
        <v>113.76</v>
      </c>
      <c r="Q17" s="169">
        <v>105.97</v>
      </c>
      <c r="R17" s="169">
        <v>129.27000000000001</v>
      </c>
      <c r="S17" s="169">
        <v>106.47</v>
      </c>
      <c r="T17" s="169">
        <v>107.92</v>
      </c>
      <c r="U17" s="169">
        <v>107.83</v>
      </c>
      <c r="V17" s="169">
        <v>105.41</v>
      </c>
      <c r="W17" s="169">
        <v>108.74</v>
      </c>
      <c r="X17" s="169">
        <v>109.54</v>
      </c>
      <c r="Y17" s="169">
        <v>108.39</v>
      </c>
      <c r="Z17" s="169">
        <v>108.73</v>
      </c>
      <c r="AA17" s="169">
        <v>109.78</v>
      </c>
      <c r="AB17" s="169">
        <v>111.36</v>
      </c>
      <c r="AC17" s="169">
        <v>113.7</v>
      </c>
      <c r="AD17" s="169">
        <v>109.13</v>
      </c>
      <c r="AE17" s="169">
        <v>87.47</v>
      </c>
      <c r="AF17" s="169">
        <v>104.92</v>
      </c>
      <c r="AG17" s="169">
        <v>105.06</v>
      </c>
      <c r="AH17" s="169">
        <v>107.57</v>
      </c>
      <c r="AI17" s="180"/>
      <c r="AJ17" s="198"/>
    </row>
    <row r="18" spans="1:36" ht="15" thickBot="1" x14ac:dyDescent="0.35">
      <c r="A18" s="237"/>
      <c r="B18" s="167"/>
      <c r="C18" s="163" t="s">
        <v>24</v>
      </c>
      <c r="D18" s="169">
        <v>60.81</v>
      </c>
      <c r="E18" s="169">
        <v>67.260000000000005</v>
      </c>
      <c r="F18" s="169">
        <v>72.11</v>
      </c>
      <c r="G18" s="169">
        <v>72.8</v>
      </c>
      <c r="H18" s="169">
        <v>72.58</v>
      </c>
      <c r="I18" s="169">
        <v>59.28</v>
      </c>
      <c r="J18" s="169">
        <v>59.73</v>
      </c>
      <c r="K18" s="169">
        <v>60.12</v>
      </c>
      <c r="L18" s="169">
        <v>67.5</v>
      </c>
      <c r="M18" s="169">
        <v>71.25</v>
      </c>
      <c r="N18" s="169"/>
      <c r="O18" s="169">
        <v>72.56</v>
      </c>
      <c r="P18" s="169">
        <v>77.31</v>
      </c>
      <c r="Q18" s="169">
        <v>60.7</v>
      </c>
      <c r="R18" s="169">
        <v>61.49</v>
      </c>
      <c r="S18" s="169">
        <v>67.19</v>
      </c>
      <c r="T18" s="169">
        <v>72.3</v>
      </c>
      <c r="U18" s="169">
        <v>71.19</v>
      </c>
      <c r="V18" s="169">
        <v>68.569999999999993</v>
      </c>
      <c r="W18" s="169">
        <v>55.96</v>
      </c>
      <c r="X18" s="169">
        <v>61.68</v>
      </c>
      <c r="Y18" s="169">
        <v>57.88</v>
      </c>
      <c r="Z18" s="169">
        <v>66.510000000000005</v>
      </c>
      <c r="AA18" s="169">
        <v>72.48</v>
      </c>
      <c r="AB18" s="169">
        <v>73.52</v>
      </c>
      <c r="AC18" s="169">
        <v>75.06</v>
      </c>
      <c r="AD18" s="169">
        <v>77.34</v>
      </c>
      <c r="AE18" s="169">
        <v>45.86</v>
      </c>
      <c r="AF18" s="169">
        <v>58.06</v>
      </c>
      <c r="AG18" s="169">
        <v>61.2</v>
      </c>
      <c r="AH18" s="169">
        <v>66.84</v>
      </c>
      <c r="AI18" s="190"/>
      <c r="AJ18" s="230"/>
    </row>
    <row r="19" spans="1:36" ht="15" thickTop="1" x14ac:dyDescent="0.3">
      <c r="A19" s="203">
        <v>118</v>
      </c>
      <c r="B19" s="28" t="s">
        <v>25</v>
      </c>
      <c r="C19" s="29" t="s">
        <v>15</v>
      </c>
      <c r="D19" s="30">
        <v>110</v>
      </c>
      <c r="E19" s="30">
        <v>82</v>
      </c>
      <c r="F19" s="30">
        <v>89</v>
      </c>
      <c r="G19" s="30">
        <v>86</v>
      </c>
      <c r="H19" s="30">
        <v>88</v>
      </c>
      <c r="I19" s="30">
        <v>112</v>
      </c>
      <c r="J19" s="30">
        <v>113</v>
      </c>
      <c r="K19" s="30">
        <v>107</v>
      </c>
      <c r="L19" s="30">
        <v>89</v>
      </c>
      <c r="M19" s="30">
        <v>103</v>
      </c>
      <c r="N19" s="30">
        <v>111</v>
      </c>
      <c r="O19" s="30">
        <v>113</v>
      </c>
      <c r="P19" s="30">
        <v>98</v>
      </c>
      <c r="Q19" s="30">
        <v>106</v>
      </c>
      <c r="R19" s="30">
        <v>113</v>
      </c>
      <c r="S19" s="30">
        <v>78</v>
      </c>
      <c r="T19" s="30">
        <v>79</v>
      </c>
      <c r="U19" s="30">
        <v>79</v>
      </c>
      <c r="V19" s="30">
        <v>82</v>
      </c>
      <c r="W19" s="30">
        <v>116</v>
      </c>
      <c r="X19" s="30">
        <v>114</v>
      </c>
      <c r="Y19" s="30">
        <v>116</v>
      </c>
      <c r="Z19" s="30">
        <v>71</v>
      </c>
      <c r="AA19" s="30">
        <v>82</v>
      </c>
      <c r="AB19" s="30">
        <v>85</v>
      </c>
      <c r="AC19" s="30">
        <v>87</v>
      </c>
      <c r="AD19" s="30">
        <v>94</v>
      </c>
      <c r="AE19" s="30">
        <v>103</v>
      </c>
      <c r="AF19" s="30">
        <v>110</v>
      </c>
      <c r="AG19" s="30">
        <v>100</v>
      </c>
      <c r="AH19" s="30">
        <v>84</v>
      </c>
      <c r="AI19" s="188">
        <f>SUM(D19:AH19)</f>
        <v>3000</v>
      </c>
      <c r="AJ19" s="191">
        <f>+$AI19/$A$1*$AK$1</f>
        <v>93000</v>
      </c>
    </row>
    <row r="20" spans="1:36" x14ac:dyDescent="0.3">
      <c r="A20" s="203"/>
      <c r="B20" s="33"/>
      <c r="C20" s="34" t="s">
        <v>16</v>
      </c>
      <c r="D20" s="35">
        <f>+D19/$A19</f>
        <v>0.93220338983050843</v>
      </c>
      <c r="E20" s="35">
        <f t="shared" ref="E20:AG20" si="51">+E19/$A19</f>
        <v>0.69491525423728817</v>
      </c>
      <c r="F20" s="35">
        <f t="shared" si="51"/>
        <v>0.75423728813559321</v>
      </c>
      <c r="G20" s="35">
        <f t="shared" si="51"/>
        <v>0.72881355932203384</v>
      </c>
      <c r="H20" s="35">
        <f t="shared" si="51"/>
        <v>0.74576271186440679</v>
      </c>
      <c r="I20" s="35">
        <f t="shared" si="51"/>
        <v>0.94915254237288138</v>
      </c>
      <c r="J20" s="35">
        <f t="shared" si="51"/>
        <v>0.9576271186440678</v>
      </c>
      <c r="K20" s="35">
        <f t="shared" si="51"/>
        <v>0.90677966101694918</v>
      </c>
      <c r="L20" s="35">
        <f t="shared" si="51"/>
        <v>0.75423728813559321</v>
      </c>
      <c r="M20" s="35">
        <f t="shared" si="51"/>
        <v>0.8728813559322034</v>
      </c>
      <c r="N20" s="35">
        <v>0.94067796610169496</v>
      </c>
      <c r="O20" s="35">
        <f t="shared" si="51"/>
        <v>0.9576271186440678</v>
      </c>
      <c r="P20" s="35">
        <f t="shared" si="51"/>
        <v>0.83050847457627119</v>
      </c>
      <c r="Q20" s="35">
        <f t="shared" si="51"/>
        <v>0.89830508474576276</v>
      </c>
      <c r="R20" s="35">
        <f t="shared" si="51"/>
        <v>0.9576271186440678</v>
      </c>
      <c r="S20" s="35">
        <f t="shared" si="51"/>
        <v>0.66101694915254239</v>
      </c>
      <c r="T20" s="35">
        <f t="shared" si="51"/>
        <v>0.66949152542372881</v>
      </c>
      <c r="U20" s="35">
        <f t="shared" si="51"/>
        <v>0.66949152542372881</v>
      </c>
      <c r="V20" s="35">
        <f t="shared" si="51"/>
        <v>0.69491525423728817</v>
      </c>
      <c r="W20" s="35">
        <f t="shared" si="51"/>
        <v>0.98305084745762716</v>
      </c>
      <c r="X20" s="35">
        <f t="shared" si="51"/>
        <v>0.96610169491525422</v>
      </c>
      <c r="Y20" s="35">
        <f t="shared" si="51"/>
        <v>0.98305084745762716</v>
      </c>
      <c r="Z20" s="35">
        <f t="shared" si="51"/>
        <v>0.60169491525423724</v>
      </c>
      <c r="AA20" s="35">
        <f t="shared" si="51"/>
        <v>0.69491525423728817</v>
      </c>
      <c r="AB20" s="35">
        <f t="shared" si="51"/>
        <v>0.72033898305084743</v>
      </c>
      <c r="AC20" s="35">
        <f t="shared" si="51"/>
        <v>0.73728813559322037</v>
      </c>
      <c r="AD20" s="35">
        <f t="shared" si="51"/>
        <v>0.79661016949152541</v>
      </c>
      <c r="AE20" s="35">
        <f t="shared" si="51"/>
        <v>0.8728813559322034</v>
      </c>
      <c r="AF20" s="35">
        <f t="shared" si="51"/>
        <v>0.93220338983050843</v>
      </c>
      <c r="AG20" s="35">
        <f t="shared" si="51"/>
        <v>0.84745762711864403</v>
      </c>
      <c r="AH20" s="35">
        <f t="shared" ref="AH20" si="52">+AH19/$A19</f>
        <v>0.71186440677966101</v>
      </c>
      <c r="AI20" s="172">
        <f>+AI19/(A19*A$1)</f>
        <v>25.423728813559322</v>
      </c>
      <c r="AJ20" s="192">
        <f>AJ19/($A19*31)</f>
        <v>25.423728813559322</v>
      </c>
    </row>
    <row r="21" spans="1:36" x14ac:dyDescent="0.3">
      <c r="A21" s="203"/>
      <c r="B21" s="33"/>
      <c r="C21" s="34" t="s">
        <v>17</v>
      </c>
      <c r="D21" s="37">
        <f t="shared" ref="D21:AG21" si="53">+IFERROR(D23/D19,0)</f>
        <v>94.781818181818181</v>
      </c>
      <c r="E21" s="37">
        <f t="shared" si="53"/>
        <v>85.426829268292678</v>
      </c>
      <c r="F21" s="37">
        <f t="shared" si="53"/>
        <v>86.584269662921344</v>
      </c>
      <c r="G21" s="37">
        <f t="shared" si="53"/>
        <v>86.616279069767444</v>
      </c>
      <c r="H21" s="37">
        <f t="shared" si="53"/>
        <v>88.159090909090907</v>
      </c>
      <c r="I21" s="37">
        <f t="shared" si="53"/>
        <v>87.348214285714292</v>
      </c>
      <c r="J21" s="37">
        <f t="shared" si="53"/>
        <v>96.592920353982308</v>
      </c>
      <c r="K21" s="37">
        <f t="shared" si="53"/>
        <v>95.065420560747668</v>
      </c>
      <c r="L21" s="37">
        <f t="shared" si="53"/>
        <v>90.359550561797747</v>
      </c>
      <c r="M21" s="37">
        <f t="shared" si="53"/>
        <v>85.932038834951456</v>
      </c>
      <c r="N21" s="37">
        <v>88.684684684684683</v>
      </c>
      <c r="O21" s="37">
        <f t="shared" si="53"/>
        <v>83.946902654867259</v>
      </c>
      <c r="P21" s="37">
        <f t="shared" si="53"/>
        <v>84.265306122448976</v>
      </c>
      <c r="Q21" s="37">
        <f t="shared" si="53"/>
        <v>91.254716981132077</v>
      </c>
      <c r="R21" s="37">
        <f t="shared" si="53"/>
        <v>90.637168141592923</v>
      </c>
      <c r="S21" s="37">
        <f t="shared" si="53"/>
        <v>82.34615384615384</v>
      </c>
      <c r="T21" s="37">
        <f t="shared" si="53"/>
        <v>87.683544303797461</v>
      </c>
      <c r="U21" s="37">
        <f t="shared" si="53"/>
        <v>87.265822784810126</v>
      </c>
      <c r="V21" s="37">
        <f t="shared" si="53"/>
        <v>91.817073170731703</v>
      </c>
      <c r="W21" s="37">
        <f t="shared" si="53"/>
        <v>88.508620689655174</v>
      </c>
      <c r="X21" s="37">
        <f t="shared" si="53"/>
        <v>88.359649122807014</v>
      </c>
      <c r="Y21" s="37">
        <f t="shared" si="53"/>
        <v>96.41379310344827</v>
      </c>
      <c r="Z21" s="37">
        <f t="shared" si="53"/>
        <v>82.663380281690152</v>
      </c>
      <c r="AA21" s="37">
        <f t="shared" si="53"/>
        <v>89.719512195121951</v>
      </c>
      <c r="AB21" s="37">
        <f t="shared" si="53"/>
        <v>89.23894117647059</v>
      </c>
      <c r="AC21" s="37">
        <f t="shared" si="53"/>
        <v>87.919540229885058</v>
      </c>
      <c r="AD21" s="37">
        <f t="shared" si="53"/>
        <v>88.680851063829792</v>
      </c>
      <c r="AE21" s="37">
        <f t="shared" si="53"/>
        <v>101.58252427184466</v>
      </c>
      <c r="AF21" s="37">
        <f t="shared" si="53"/>
        <v>101.19090909090909</v>
      </c>
      <c r="AG21" s="37">
        <f t="shared" si="53"/>
        <v>95.66</v>
      </c>
      <c r="AH21" s="37">
        <f t="shared" ref="AH21" si="54">+IFERROR(AH23/AH19,0)</f>
        <v>84.226190476190482</v>
      </c>
      <c r="AI21" s="173">
        <f>+IFERROR(AI23/AI19,0)</f>
        <v>89.979470000000006</v>
      </c>
      <c r="AJ21" s="193">
        <f>+AJ23/AJ19</f>
        <v>89.979470000000006</v>
      </c>
    </row>
    <row r="22" spans="1:36" x14ac:dyDescent="0.3">
      <c r="A22" s="203"/>
      <c r="B22" s="33"/>
      <c r="C22" s="34" t="s">
        <v>18</v>
      </c>
      <c r="D22" s="37">
        <f>+D20*D21</f>
        <v>88.355932203389827</v>
      </c>
      <c r="E22" s="37">
        <f t="shared" ref="E22:AG22" si="55">+E20*E21</f>
        <v>59.364406779661017</v>
      </c>
      <c r="F22" s="37">
        <f t="shared" si="55"/>
        <v>65.305084745762713</v>
      </c>
      <c r="G22" s="37">
        <f t="shared" si="55"/>
        <v>63.127118644067792</v>
      </c>
      <c r="H22" s="37">
        <f t="shared" si="55"/>
        <v>65.745762711864401</v>
      </c>
      <c r="I22" s="37">
        <f t="shared" si="55"/>
        <v>82.906779661016955</v>
      </c>
      <c r="J22" s="37">
        <f t="shared" si="55"/>
        <v>92.5</v>
      </c>
      <c r="K22" s="37">
        <f t="shared" si="55"/>
        <v>86.203389830508485</v>
      </c>
      <c r="L22" s="37">
        <f t="shared" si="55"/>
        <v>68.152542372881356</v>
      </c>
      <c r="M22" s="37">
        <f t="shared" si="55"/>
        <v>75.008474576271183</v>
      </c>
      <c r="N22" s="37">
        <v>83.423728813559322</v>
      </c>
      <c r="O22" s="37">
        <f t="shared" si="55"/>
        <v>80.389830508474574</v>
      </c>
      <c r="P22" s="37">
        <f t="shared" si="55"/>
        <v>69.983050847457619</v>
      </c>
      <c r="Q22" s="37">
        <f t="shared" si="55"/>
        <v>81.97457627118645</v>
      </c>
      <c r="R22" s="37">
        <f t="shared" si="55"/>
        <v>86.79661016949153</v>
      </c>
      <c r="S22" s="37">
        <f t="shared" si="55"/>
        <v>54.432203389830505</v>
      </c>
      <c r="T22" s="37">
        <f t="shared" si="55"/>
        <v>58.70338983050847</v>
      </c>
      <c r="U22" s="37">
        <f t="shared" si="55"/>
        <v>58.423728813559322</v>
      </c>
      <c r="V22" s="37">
        <f t="shared" si="55"/>
        <v>63.805084745762713</v>
      </c>
      <c r="W22" s="37">
        <f t="shared" si="55"/>
        <v>87.008474576271198</v>
      </c>
      <c r="X22" s="37">
        <f t="shared" si="55"/>
        <v>85.36440677966101</v>
      </c>
      <c r="Y22" s="37">
        <f t="shared" si="55"/>
        <v>94.779661016949149</v>
      </c>
      <c r="Z22" s="37">
        <f t="shared" si="55"/>
        <v>49.738135593220342</v>
      </c>
      <c r="AA22" s="37">
        <f t="shared" si="55"/>
        <v>62.347457627118644</v>
      </c>
      <c r="AB22" s="37">
        <f t="shared" si="55"/>
        <v>64.28228813559322</v>
      </c>
      <c r="AC22" s="37">
        <f t="shared" si="55"/>
        <v>64.822033898305094</v>
      </c>
      <c r="AD22" s="37">
        <f t="shared" si="55"/>
        <v>70.644067796610173</v>
      </c>
      <c r="AE22" s="37">
        <f t="shared" si="55"/>
        <v>88.669491525423737</v>
      </c>
      <c r="AF22" s="37">
        <f t="shared" si="55"/>
        <v>94.330508474576263</v>
      </c>
      <c r="AG22" s="37">
        <f t="shared" si="55"/>
        <v>81.067796610169481</v>
      </c>
      <c r="AH22" s="37">
        <f t="shared" ref="AH22" si="56">+AH20*AH21</f>
        <v>59.957627118644069</v>
      </c>
      <c r="AI22" s="173">
        <f>+AI21*AI20</f>
        <v>2287.6136440677969</v>
      </c>
      <c r="AJ22" s="193">
        <f>+AJ20*AJ21</f>
        <v>2287.6136440677969</v>
      </c>
    </row>
    <row r="23" spans="1:36" x14ac:dyDescent="0.3">
      <c r="A23" s="203"/>
      <c r="B23" s="33"/>
      <c r="C23" s="34" t="s">
        <v>19</v>
      </c>
      <c r="D23" s="158">
        <v>10426</v>
      </c>
      <c r="E23" s="158">
        <v>7005</v>
      </c>
      <c r="F23" s="158">
        <v>7706</v>
      </c>
      <c r="G23" s="158">
        <v>7449</v>
      </c>
      <c r="H23" s="158">
        <v>7758</v>
      </c>
      <c r="I23" s="158">
        <v>9783</v>
      </c>
      <c r="J23" s="158">
        <v>10915</v>
      </c>
      <c r="K23" s="158">
        <v>10172</v>
      </c>
      <c r="L23" s="158">
        <v>8042</v>
      </c>
      <c r="M23" s="158">
        <v>8851</v>
      </c>
      <c r="N23" s="158">
        <v>9844</v>
      </c>
      <c r="O23" s="158">
        <v>9486</v>
      </c>
      <c r="P23" s="158">
        <v>8258</v>
      </c>
      <c r="Q23" s="158">
        <v>9673</v>
      </c>
      <c r="R23" s="158">
        <v>10242</v>
      </c>
      <c r="S23" s="158">
        <v>6423</v>
      </c>
      <c r="T23" s="158">
        <v>6927</v>
      </c>
      <c r="U23" s="158">
        <v>6894</v>
      </c>
      <c r="V23" s="158">
        <v>7529</v>
      </c>
      <c r="W23" s="158">
        <v>10267</v>
      </c>
      <c r="X23" s="158">
        <v>10073</v>
      </c>
      <c r="Y23" s="158">
        <v>11184</v>
      </c>
      <c r="Z23" s="158">
        <v>5869.1</v>
      </c>
      <c r="AA23" s="158">
        <v>7357</v>
      </c>
      <c r="AB23" s="158">
        <v>7585.31</v>
      </c>
      <c r="AC23" s="158">
        <v>7649</v>
      </c>
      <c r="AD23" s="158">
        <v>8336</v>
      </c>
      <c r="AE23" s="158">
        <v>10463</v>
      </c>
      <c r="AF23" s="158">
        <v>11131</v>
      </c>
      <c r="AG23" s="158">
        <v>9566</v>
      </c>
      <c r="AH23" s="158">
        <v>7075</v>
      </c>
      <c r="AI23" s="174">
        <f>SUM(D23:AH23)</f>
        <v>269938.41000000003</v>
      </c>
      <c r="AJ23" s="191">
        <f>+AI23/$A$1*$AK$1</f>
        <v>8368090.7100000009</v>
      </c>
    </row>
    <row r="24" spans="1:36" ht="16.350000000000001" customHeight="1" x14ac:dyDescent="0.3">
      <c r="A24" s="237"/>
      <c r="B24" s="40"/>
      <c r="C24" s="34" t="s">
        <v>20</v>
      </c>
      <c r="D24" s="42">
        <f>1427.58/D23</f>
        <v>0.13692499520429693</v>
      </c>
      <c r="E24" s="42">
        <f>1289.14/E23</f>
        <v>0.18403140613847255</v>
      </c>
      <c r="F24" s="42">
        <f>1311.14/F23</f>
        <v>0.17014534129249936</v>
      </c>
      <c r="G24" s="42">
        <f>1195.07/G23</f>
        <v>0.16043361525036917</v>
      </c>
      <c r="H24" s="42">
        <f>1198.6/H23</f>
        <v>0.15449858210879092</v>
      </c>
      <c r="I24" s="42">
        <f>1209.1/I23</f>
        <v>0.12359194521108044</v>
      </c>
      <c r="J24" s="42">
        <f>1237.62/J23</f>
        <v>0.11338708199725148</v>
      </c>
      <c r="K24" s="42">
        <f>1171.88/K23</f>
        <v>0.11520644907589463</v>
      </c>
      <c r="L24" s="42">
        <f>1135.67/L23</f>
        <v>0.14121735886595374</v>
      </c>
      <c r="M24" s="42">
        <f>1117.34/M23</f>
        <v>0.12623884306857983</v>
      </c>
      <c r="N24" s="42">
        <f>1378.98/N23</f>
        <v>0.14008329947175946</v>
      </c>
      <c r="O24" s="42">
        <f>1089.65/O23</f>
        <v>0.11486928104575164</v>
      </c>
      <c r="P24" s="42">
        <f>1452.93/P23</f>
        <v>0.17594211673528701</v>
      </c>
      <c r="Q24" s="42">
        <f>1497.75/Q23</f>
        <v>0.15483820944898169</v>
      </c>
      <c r="R24" s="42">
        <f>1089.65/R23</f>
        <v>0.10639035344659246</v>
      </c>
      <c r="S24" s="42">
        <f>1547.8/S23</f>
        <v>0.24097773626031449</v>
      </c>
      <c r="T24" s="42">
        <f>1172.71/T23</f>
        <v>0.16929551032192869</v>
      </c>
      <c r="U24" s="42">
        <f>1091.65/U23</f>
        <v>0.15834783870031913</v>
      </c>
      <c r="V24" s="42">
        <f>1081.57/V23</f>
        <v>0.14365387169610838</v>
      </c>
      <c r="W24" s="42">
        <f>1083.64/W23</f>
        <v>0.10554592383364178</v>
      </c>
      <c r="X24" s="42">
        <f>1372.53/X23</f>
        <v>0.13625831430556934</v>
      </c>
      <c r="Y24" s="42">
        <f>953.04/Y23</f>
        <v>8.5214592274678105E-2</v>
      </c>
      <c r="Z24" s="42">
        <f>1372.53/Z23</f>
        <v>0.23385697977543404</v>
      </c>
      <c r="AA24" s="42">
        <f>1070.13/AA23</f>
        <v>0.14545738752208781</v>
      </c>
      <c r="AB24" s="42">
        <f>790.36/AB23</f>
        <v>0.10419613700692522</v>
      </c>
      <c r="AC24" s="42">
        <f>964.41/AC23</f>
        <v>0.12608314812393775</v>
      </c>
      <c r="AD24" s="42">
        <f>1322.08/AD23</f>
        <v>0.15859884836852206</v>
      </c>
      <c r="AE24" s="42">
        <f>1493.43/AE23</f>
        <v>0.1427343974003632</v>
      </c>
      <c r="AF24" s="42">
        <f>1159.55/AF23</f>
        <v>0.10417303027580631</v>
      </c>
      <c r="AG24" s="42">
        <f>905.79/AG23</f>
        <v>9.4688480033451802E-2</v>
      </c>
      <c r="AH24" s="42">
        <f>2871.92/AH23</f>
        <v>0.40592508833922264</v>
      </c>
      <c r="AI24" s="234">
        <f>AVERAGE(D24:AH24)</f>
        <v>0.15073568266451201</v>
      </c>
      <c r="AJ24" s="193"/>
    </row>
    <row r="25" spans="1:36" ht="16.350000000000001" customHeight="1" x14ac:dyDescent="0.3">
      <c r="A25" s="237"/>
      <c r="B25" s="40"/>
      <c r="C25" s="34" t="s">
        <v>22</v>
      </c>
      <c r="D25" s="194">
        <v>52.54</v>
      </c>
      <c r="E25" s="194">
        <v>50</v>
      </c>
      <c r="F25" s="194">
        <v>47.46</v>
      </c>
      <c r="G25" s="194">
        <v>50</v>
      </c>
      <c r="H25" s="194">
        <v>47.46</v>
      </c>
      <c r="I25" s="194">
        <v>47.46</v>
      </c>
      <c r="J25" s="194">
        <v>47.46</v>
      </c>
      <c r="K25" s="194">
        <v>55.08</v>
      </c>
      <c r="L25" s="195">
        <v>55.93</v>
      </c>
      <c r="M25" s="194">
        <v>61.02</v>
      </c>
      <c r="N25" s="194">
        <v>59.32</v>
      </c>
      <c r="O25" s="194">
        <v>59.32</v>
      </c>
      <c r="P25" s="194">
        <v>54.24</v>
      </c>
      <c r="Q25" s="194">
        <v>49.15</v>
      </c>
      <c r="R25" s="194">
        <v>50</v>
      </c>
      <c r="S25" s="194">
        <v>52.54</v>
      </c>
      <c r="T25" s="194">
        <v>50.85</v>
      </c>
      <c r="U25" s="194">
        <v>48.31</v>
      </c>
      <c r="V25" s="194">
        <v>48.31</v>
      </c>
      <c r="W25" s="194">
        <v>46.61</v>
      </c>
      <c r="X25" s="194">
        <v>47.46</v>
      </c>
      <c r="Y25" s="194">
        <v>44.07</v>
      </c>
      <c r="Z25" s="194">
        <v>50</v>
      </c>
      <c r="AA25" s="194">
        <v>45.76</v>
      </c>
      <c r="AB25" s="194">
        <v>52.54</v>
      </c>
      <c r="AC25" s="194">
        <v>52.54</v>
      </c>
      <c r="AD25" s="194">
        <v>57.63</v>
      </c>
      <c r="AE25" s="194">
        <v>49.15</v>
      </c>
      <c r="AF25" s="194">
        <v>51.69</v>
      </c>
      <c r="AG25" s="194">
        <v>50.85</v>
      </c>
      <c r="AH25" s="194">
        <v>49.15</v>
      </c>
      <c r="AI25" s="174"/>
      <c r="AJ25" s="193"/>
    </row>
    <row r="26" spans="1:36" ht="16.350000000000001" customHeight="1" x14ac:dyDescent="0.3">
      <c r="A26" s="237"/>
      <c r="B26" s="40"/>
      <c r="C26" s="34" t="s">
        <v>23</v>
      </c>
      <c r="D26" s="194">
        <v>93.33</v>
      </c>
      <c r="E26" s="194">
        <v>85.66</v>
      </c>
      <c r="F26" s="194">
        <v>88.74</v>
      </c>
      <c r="G26" s="194">
        <v>89.75</v>
      </c>
      <c r="H26" s="194">
        <v>89.32</v>
      </c>
      <c r="I26" s="194">
        <v>86.42</v>
      </c>
      <c r="J26" s="194">
        <v>95.55</v>
      </c>
      <c r="K26" s="194">
        <v>96.95</v>
      </c>
      <c r="L26" s="194">
        <v>86.11</v>
      </c>
      <c r="M26" s="194">
        <v>88.1</v>
      </c>
      <c r="N26" s="194">
        <v>87.44</v>
      </c>
      <c r="O26" s="194">
        <v>87.26</v>
      </c>
      <c r="P26" s="194">
        <v>86.02</v>
      </c>
      <c r="Q26" s="194">
        <v>94.34</v>
      </c>
      <c r="R26" s="194">
        <v>92.75</v>
      </c>
      <c r="S26" s="194">
        <v>85.9</v>
      </c>
      <c r="T26" s="194">
        <v>87.71</v>
      </c>
      <c r="U26" s="194">
        <v>87.04</v>
      </c>
      <c r="V26" s="194">
        <v>89.73</v>
      </c>
      <c r="W26" s="194">
        <v>85.81</v>
      </c>
      <c r="X26" s="194">
        <v>97.87</v>
      </c>
      <c r="Y26" s="194">
        <v>97.85</v>
      </c>
      <c r="Z26" s="194">
        <v>86.62</v>
      </c>
      <c r="AA26" s="194">
        <v>97.88</v>
      </c>
      <c r="AB26" s="194">
        <v>88.54</v>
      </c>
      <c r="AC26" s="194">
        <v>88.41</v>
      </c>
      <c r="AD26" s="194">
        <v>87.44</v>
      </c>
      <c r="AE26" s="194">
        <v>89.52</v>
      </c>
      <c r="AF26" s="194">
        <v>90.71</v>
      </c>
      <c r="AG26" s="194">
        <v>87.02</v>
      </c>
      <c r="AH26" s="194">
        <v>90.02</v>
      </c>
      <c r="AI26" s="174"/>
      <c r="AJ26" s="193"/>
    </row>
    <row r="27" spans="1:36" ht="16.350000000000001" customHeight="1" thickBot="1" x14ac:dyDescent="0.35">
      <c r="A27" s="237"/>
      <c r="B27" s="40"/>
      <c r="C27" s="34" t="s">
        <v>24</v>
      </c>
      <c r="D27" s="194">
        <v>49.04</v>
      </c>
      <c r="E27" s="194">
        <v>42.93</v>
      </c>
      <c r="F27" s="194">
        <v>42.12</v>
      </c>
      <c r="G27" s="194">
        <v>44.88</v>
      </c>
      <c r="H27" s="194">
        <v>42.39</v>
      </c>
      <c r="I27" s="194">
        <v>41.01</v>
      </c>
      <c r="J27" s="194">
        <v>45.35</v>
      </c>
      <c r="K27" s="194">
        <v>53.4</v>
      </c>
      <c r="L27" s="194">
        <v>48.16</v>
      </c>
      <c r="M27" s="194">
        <v>53.76</v>
      </c>
      <c r="N27" s="194">
        <v>51.87</v>
      </c>
      <c r="O27" s="194">
        <v>51.76</v>
      </c>
      <c r="P27" s="194">
        <v>46.66</v>
      </c>
      <c r="Q27" s="194">
        <v>46.37</v>
      </c>
      <c r="R27" s="194">
        <v>46.38</v>
      </c>
      <c r="S27" s="194">
        <v>45.13</v>
      </c>
      <c r="T27" s="194">
        <v>44.6</v>
      </c>
      <c r="U27" s="194">
        <v>42.05</v>
      </c>
      <c r="V27" s="194">
        <v>43.35</v>
      </c>
      <c r="W27" s="194">
        <v>40</v>
      </c>
      <c r="X27" s="194">
        <v>46.45</v>
      </c>
      <c r="Y27" s="194">
        <v>43.12</v>
      </c>
      <c r="Z27" s="194">
        <v>43.31</v>
      </c>
      <c r="AA27" s="194">
        <v>44.79</v>
      </c>
      <c r="AB27" s="194">
        <v>46.52</v>
      </c>
      <c r="AC27" s="194">
        <v>46.45</v>
      </c>
      <c r="AD27" s="194">
        <v>50.39</v>
      </c>
      <c r="AE27" s="194">
        <v>44</v>
      </c>
      <c r="AF27" s="194">
        <v>46.89</v>
      </c>
      <c r="AG27" s="194">
        <v>44.25</v>
      </c>
      <c r="AH27" s="194">
        <v>44.24</v>
      </c>
      <c r="AI27" s="174"/>
      <c r="AJ27" s="193"/>
    </row>
    <row r="28" spans="1:36" ht="15" thickTop="1" x14ac:dyDescent="0.3">
      <c r="A28" s="203">
        <v>99</v>
      </c>
      <c r="B28" s="170" t="s">
        <v>26</v>
      </c>
      <c r="C28" s="171" t="s">
        <v>15</v>
      </c>
      <c r="D28" s="161">
        <v>92</v>
      </c>
      <c r="E28" s="161">
        <v>69</v>
      </c>
      <c r="F28" s="161">
        <v>65</v>
      </c>
      <c r="G28" s="161">
        <v>67</v>
      </c>
      <c r="H28" s="161">
        <v>62</v>
      </c>
      <c r="I28" s="161">
        <v>66</v>
      </c>
      <c r="J28" s="161">
        <v>82</v>
      </c>
      <c r="K28" s="161">
        <v>82</v>
      </c>
      <c r="L28" s="161">
        <v>64</v>
      </c>
      <c r="M28" s="161">
        <v>76</v>
      </c>
      <c r="N28" s="161">
        <v>82</v>
      </c>
      <c r="O28" s="161">
        <v>79</v>
      </c>
      <c r="P28" s="161">
        <v>76</v>
      </c>
      <c r="Q28" s="161">
        <v>96</v>
      </c>
      <c r="R28" s="161">
        <v>96</v>
      </c>
      <c r="S28" s="161">
        <v>82</v>
      </c>
      <c r="T28" s="161">
        <v>83</v>
      </c>
      <c r="U28" s="161">
        <v>85</v>
      </c>
      <c r="V28" s="161">
        <v>84</v>
      </c>
      <c r="W28" s="161">
        <v>89</v>
      </c>
      <c r="X28" s="161">
        <v>89</v>
      </c>
      <c r="Y28" s="161">
        <v>95</v>
      </c>
      <c r="Z28" s="161">
        <v>85</v>
      </c>
      <c r="AA28" s="161">
        <v>86</v>
      </c>
      <c r="AB28" s="161">
        <v>91</v>
      </c>
      <c r="AC28" s="161">
        <v>90</v>
      </c>
      <c r="AD28" s="161">
        <v>86</v>
      </c>
      <c r="AE28" s="161">
        <v>91</v>
      </c>
      <c r="AF28" s="161">
        <v>95</v>
      </c>
      <c r="AG28" s="161">
        <v>82</v>
      </c>
      <c r="AH28" s="161">
        <v>84</v>
      </c>
      <c r="AI28" s="176">
        <f>SUM(D28:AH28)</f>
        <v>2551</v>
      </c>
      <c r="AJ28" s="217">
        <f>+$AI28/$A$1*$AK$1</f>
        <v>79081</v>
      </c>
    </row>
    <row r="29" spans="1:36" x14ac:dyDescent="0.3">
      <c r="A29" s="203"/>
      <c r="B29" s="162"/>
      <c r="C29" s="163" t="s">
        <v>16</v>
      </c>
      <c r="D29" s="164">
        <f t="shared" ref="D29:AG29" si="57">+D28/$A28</f>
        <v>0.92929292929292928</v>
      </c>
      <c r="E29" s="164">
        <f t="shared" si="57"/>
        <v>0.69696969696969702</v>
      </c>
      <c r="F29" s="164">
        <f t="shared" si="57"/>
        <v>0.65656565656565657</v>
      </c>
      <c r="G29" s="164">
        <f t="shared" si="57"/>
        <v>0.6767676767676768</v>
      </c>
      <c r="H29" s="164">
        <f t="shared" si="57"/>
        <v>0.6262626262626263</v>
      </c>
      <c r="I29" s="164">
        <f t="shared" si="57"/>
        <v>0.66666666666666663</v>
      </c>
      <c r="J29" s="164">
        <f t="shared" si="57"/>
        <v>0.82828282828282829</v>
      </c>
      <c r="K29" s="164">
        <f t="shared" si="57"/>
        <v>0.82828282828282829</v>
      </c>
      <c r="L29" s="164">
        <f t="shared" si="57"/>
        <v>0.64646464646464652</v>
      </c>
      <c r="M29" s="164">
        <f t="shared" si="57"/>
        <v>0.76767676767676762</v>
      </c>
      <c r="N29" s="164">
        <v>0.82828282828282829</v>
      </c>
      <c r="O29" s="164">
        <f t="shared" si="57"/>
        <v>0.79797979797979801</v>
      </c>
      <c r="P29" s="164">
        <f t="shared" si="57"/>
        <v>0.76767676767676762</v>
      </c>
      <c r="Q29" s="164">
        <f t="shared" si="57"/>
        <v>0.96969696969696972</v>
      </c>
      <c r="R29" s="164">
        <f t="shared" si="57"/>
        <v>0.96969696969696972</v>
      </c>
      <c r="S29" s="164">
        <f t="shared" si="57"/>
        <v>0.82828282828282829</v>
      </c>
      <c r="T29" s="164">
        <f t="shared" si="57"/>
        <v>0.83838383838383834</v>
      </c>
      <c r="U29" s="164">
        <f t="shared" si="57"/>
        <v>0.85858585858585856</v>
      </c>
      <c r="V29" s="164">
        <f t="shared" si="57"/>
        <v>0.84848484848484851</v>
      </c>
      <c r="W29" s="164">
        <f t="shared" si="57"/>
        <v>0.89898989898989901</v>
      </c>
      <c r="X29" s="164">
        <f t="shared" si="57"/>
        <v>0.89898989898989901</v>
      </c>
      <c r="Y29" s="164">
        <f t="shared" si="57"/>
        <v>0.95959595959595956</v>
      </c>
      <c r="Z29" s="164">
        <f t="shared" si="57"/>
        <v>0.85858585858585856</v>
      </c>
      <c r="AA29" s="164">
        <f t="shared" si="57"/>
        <v>0.86868686868686873</v>
      </c>
      <c r="AB29" s="164">
        <f t="shared" si="57"/>
        <v>0.91919191919191923</v>
      </c>
      <c r="AC29" s="164">
        <f t="shared" si="57"/>
        <v>0.90909090909090906</v>
      </c>
      <c r="AD29" s="164">
        <f t="shared" si="57"/>
        <v>0.86868686868686873</v>
      </c>
      <c r="AE29" s="164">
        <f t="shared" si="57"/>
        <v>0.91919191919191923</v>
      </c>
      <c r="AF29" s="164">
        <f t="shared" si="57"/>
        <v>0.95959595959595956</v>
      </c>
      <c r="AG29" s="164">
        <f t="shared" si="57"/>
        <v>0.82828282828282829</v>
      </c>
      <c r="AH29" s="164">
        <f t="shared" ref="AH29" si="58">+AH28/$A28</f>
        <v>0.84848484848484851</v>
      </c>
      <c r="AI29" s="177">
        <f>+AI28/(A28*A$1)</f>
        <v>25.767676767676768</v>
      </c>
      <c r="AJ29" s="197">
        <f>AJ28/($A28*31)</f>
        <v>25.767676767676768</v>
      </c>
    </row>
    <row r="30" spans="1:36" x14ac:dyDescent="0.3">
      <c r="A30" s="203"/>
      <c r="B30" s="162"/>
      <c r="C30" s="163" t="s">
        <v>17</v>
      </c>
      <c r="D30" s="165">
        <f t="shared" ref="D30:AG30" si="59">+IFERROR(D32/D28,0)</f>
        <v>110.04347826086956</v>
      </c>
      <c r="E30" s="165">
        <f t="shared" si="59"/>
        <v>110.8840579710145</v>
      </c>
      <c r="F30" s="165">
        <f t="shared" si="59"/>
        <v>112.58461538461539</v>
      </c>
      <c r="G30" s="165">
        <f t="shared" si="59"/>
        <v>114.05970149253731</v>
      </c>
      <c r="H30" s="165">
        <f t="shared" si="59"/>
        <v>113.61290322580645</v>
      </c>
      <c r="I30" s="165">
        <f t="shared" si="59"/>
        <v>109.71212121212122</v>
      </c>
      <c r="J30" s="165">
        <f t="shared" si="59"/>
        <v>106.70731707317073</v>
      </c>
      <c r="K30" s="165">
        <f t="shared" si="59"/>
        <v>109.1829268292683</v>
      </c>
      <c r="L30" s="165">
        <f t="shared" si="59"/>
        <v>110.125</v>
      </c>
      <c r="M30" s="165">
        <f t="shared" si="59"/>
        <v>108.38157894736842</v>
      </c>
      <c r="N30" s="165">
        <v>111.1829268292683</v>
      </c>
      <c r="O30" s="165">
        <f t="shared" si="59"/>
        <v>106.55696202531645</v>
      </c>
      <c r="P30" s="165">
        <f t="shared" si="59"/>
        <v>107.80263157894737</v>
      </c>
      <c r="Q30" s="165">
        <f t="shared" si="59"/>
        <v>109.94791666666667</v>
      </c>
      <c r="R30" s="165">
        <f t="shared" si="59"/>
        <v>113.58333333333333</v>
      </c>
      <c r="S30" s="165">
        <f t="shared" si="59"/>
        <v>108.53658536585365</v>
      </c>
      <c r="T30" s="165">
        <f t="shared" si="59"/>
        <v>106.8566265060241</v>
      </c>
      <c r="U30" s="165">
        <f t="shared" si="59"/>
        <v>106.18823529411765</v>
      </c>
      <c r="V30" s="165">
        <f t="shared" si="59"/>
        <v>104.95238095238095</v>
      </c>
      <c r="W30" s="165">
        <f t="shared" si="59"/>
        <v>102.58426966292134</v>
      </c>
      <c r="X30" s="165">
        <f t="shared" si="59"/>
        <v>105.92134831460675</v>
      </c>
      <c r="Y30" s="165">
        <f t="shared" si="59"/>
        <v>116.48421052631579</v>
      </c>
      <c r="Z30" s="165">
        <f t="shared" si="59"/>
        <v>107.91764705882353</v>
      </c>
      <c r="AA30" s="165">
        <f t="shared" si="59"/>
        <v>108.55813953488372</v>
      </c>
      <c r="AB30" s="165">
        <f t="shared" si="59"/>
        <v>110.09890109890109</v>
      </c>
      <c r="AC30" s="165">
        <f t="shared" si="59"/>
        <v>109.21111111111111</v>
      </c>
      <c r="AD30" s="165">
        <f t="shared" si="59"/>
        <v>106.8953488372093</v>
      </c>
      <c r="AE30" s="165">
        <f t="shared" si="59"/>
        <v>110.67032967032966</v>
      </c>
      <c r="AF30" s="165">
        <f t="shared" si="59"/>
        <v>109.58947368421053</v>
      </c>
      <c r="AG30" s="165">
        <f t="shared" si="59"/>
        <v>107.39024390243902</v>
      </c>
      <c r="AH30" s="165">
        <f t="shared" ref="AH30" si="60">+IFERROR(AH32/AH28,0)</f>
        <v>107.45238095238095</v>
      </c>
      <c r="AI30" s="178">
        <f>+AI32/AI28</f>
        <v>109.09176793414346</v>
      </c>
      <c r="AJ30" s="198">
        <f>+AJ32/AJ28</f>
        <v>109.09176793414346</v>
      </c>
    </row>
    <row r="31" spans="1:36" x14ac:dyDescent="0.3">
      <c r="A31" s="203"/>
      <c r="B31" s="162"/>
      <c r="C31" s="163" t="s">
        <v>18</v>
      </c>
      <c r="D31" s="165">
        <f t="shared" ref="D31:AG31" si="61">+D29*D30</f>
        <v>102.26262626262626</v>
      </c>
      <c r="E31" s="165">
        <f t="shared" si="61"/>
        <v>77.282828282828291</v>
      </c>
      <c r="F31" s="165">
        <f t="shared" si="61"/>
        <v>73.919191919191917</v>
      </c>
      <c r="G31" s="165">
        <f t="shared" si="61"/>
        <v>77.191919191919197</v>
      </c>
      <c r="H31" s="165">
        <f t="shared" si="61"/>
        <v>71.151515151515156</v>
      </c>
      <c r="I31" s="165">
        <f t="shared" si="61"/>
        <v>73.141414141414145</v>
      </c>
      <c r="J31" s="165">
        <f t="shared" si="61"/>
        <v>88.383838383838381</v>
      </c>
      <c r="K31" s="165">
        <f t="shared" si="61"/>
        <v>90.434343434343432</v>
      </c>
      <c r="L31" s="165">
        <f t="shared" si="61"/>
        <v>71.191919191919197</v>
      </c>
      <c r="M31" s="165">
        <f t="shared" si="61"/>
        <v>83.202020202020194</v>
      </c>
      <c r="N31" s="165">
        <v>92.090909090909093</v>
      </c>
      <c r="O31" s="165">
        <f t="shared" si="61"/>
        <v>85.030303030303031</v>
      </c>
      <c r="P31" s="165">
        <f t="shared" si="61"/>
        <v>82.757575757575751</v>
      </c>
      <c r="Q31" s="165">
        <f t="shared" si="61"/>
        <v>106.61616161616162</v>
      </c>
      <c r="R31" s="165">
        <f t="shared" si="61"/>
        <v>110.14141414141415</v>
      </c>
      <c r="S31" s="165">
        <f t="shared" si="61"/>
        <v>89.898989898989896</v>
      </c>
      <c r="T31" s="165">
        <f t="shared" si="61"/>
        <v>89.586868686868684</v>
      </c>
      <c r="U31" s="165">
        <f t="shared" si="61"/>
        <v>91.171717171717162</v>
      </c>
      <c r="V31" s="165">
        <f t="shared" si="61"/>
        <v>89.050505050505052</v>
      </c>
      <c r="W31" s="165">
        <f t="shared" si="61"/>
        <v>92.222222222222214</v>
      </c>
      <c r="X31" s="165">
        <f t="shared" si="61"/>
        <v>95.222222222222229</v>
      </c>
      <c r="Y31" s="165">
        <f t="shared" si="61"/>
        <v>111.77777777777777</v>
      </c>
      <c r="Z31" s="165">
        <f t="shared" si="61"/>
        <v>92.656565656565661</v>
      </c>
      <c r="AA31" s="165">
        <f t="shared" si="61"/>
        <v>94.303030303030312</v>
      </c>
      <c r="AB31" s="165">
        <f t="shared" si="61"/>
        <v>101.20202020202021</v>
      </c>
      <c r="AC31" s="165">
        <f t="shared" si="61"/>
        <v>99.282828282828277</v>
      </c>
      <c r="AD31" s="165">
        <f t="shared" si="61"/>
        <v>92.858585858585855</v>
      </c>
      <c r="AE31" s="165">
        <f t="shared" si="61"/>
        <v>101.72727272727272</v>
      </c>
      <c r="AF31" s="165">
        <f t="shared" si="61"/>
        <v>105.16161616161617</v>
      </c>
      <c r="AG31" s="165">
        <f t="shared" si="61"/>
        <v>88.949494949494948</v>
      </c>
      <c r="AH31" s="165">
        <f t="shared" ref="AH31" si="62">+AH29*AH30</f>
        <v>91.171717171717177</v>
      </c>
      <c r="AI31" s="178">
        <f>+AI30*AI29</f>
        <v>2811.041414141414</v>
      </c>
      <c r="AJ31" s="198">
        <f>+AJ29*AJ30</f>
        <v>2811.041414141414</v>
      </c>
    </row>
    <row r="32" spans="1:36" x14ac:dyDescent="0.3">
      <c r="A32" s="203"/>
      <c r="B32" s="162"/>
      <c r="C32" s="163" t="s">
        <v>19</v>
      </c>
      <c r="D32" s="166">
        <v>10124</v>
      </c>
      <c r="E32" s="166">
        <v>7651</v>
      </c>
      <c r="F32" s="166">
        <v>7318</v>
      </c>
      <c r="G32" s="166">
        <v>7642</v>
      </c>
      <c r="H32" s="166">
        <v>7044</v>
      </c>
      <c r="I32" s="166">
        <v>7241</v>
      </c>
      <c r="J32" s="166">
        <v>8750</v>
      </c>
      <c r="K32" s="166">
        <v>8953</v>
      </c>
      <c r="L32" s="166">
        <v>7048</v>
      </c>
      <c r="M32" s="166">
        <v>8237</v>
      </c>
      <c r="N32" s="166">
        <v>9117</v>
      </c>
      <c r="O32" s="166">
        <v>8418</v>
      </c>
      <c r="P32" s="166">
        <v>8193</v>
      </c>
      <c r="Q32" s="166">
        <v>10555</v>
      </c>
      <c r="R32" s="166">
        <v>10904</v>
      </c>
      <c r="S32" s="166">
        <v>8900</v>
      </c>
      <c r="T32" s="166">
        <v>8869.1</v>
      </c>
      <c r="U32" s="166">
        <v>9026</v>
      </c>
      <c r="V32" s="166">
        <v>8816</v>
      </c>
      <c r="W32" s="166">
        <v>9130</v>
      </c>
      <c r="X32" s="166">
        <v>9427</v>
      </c>
      <c r="Y32" s="166">
        <v>11066</v>
      </c>
      <c r="Z32" s="166">
        <v>9173</v>
      </c>
      <c r="AA32" s="166">
        <v>9336</v>
      </c>
      <c r="AB32" s="166">
        <v>10019</v>
      </c>
      <c r="AC32" s="166">
        <v>9829</v>
      </c>
      <c r="AD32" s="166">
        <v>9193</v>
      </c>
      <c r="AE32" s="166">
        <v>10071</v>
      </c>
      <c r="AF32" s="166">
        <v>10411</v>
      </c>
      <c r="AG32" s="166">
        <v>8806</v>
      </c>
      <c r="AH32" s="166">
        <v>9026</v>
      </c>
      <c r="AI32" s="179">
        <f>SUM(D32:AH32)</f>
        <v>278293.09999999998</v>
      </c>
      <c r="AJ32" s="196">
        <f>+AI32/$A$1*$AK$1</f>
        <v>8627086.0999999996</v>
      </c>
    </row>
    <row r="33" spans="1:36" ht="15" thickBot="1" x14ac:dyDescent="0.35">
      <c r="A33" s="237"/>
      <c r="B33" s="167"/>
      <c r="C33" s="163" t="s">
        <v>20</v>
      </c>
      <c r="D33" s="168">
        <f>661.16/D32</f>
        <v>6.5306203081785849E-2</v>
      </c>
      <c r="E33" s="168">
        <f>850.38/E32</f>
        <v>0.11114625539145209</v>
      </c>
      <c r="F33" s="168">
        <f>1012.47/F32</f>
        <v>0.13835337523913638</v>
      </c>
      <c r="G33" s="168">
        <f>1076.28/G32</f>
        <v>0.14083747710023553</v>
      </c>
      <c r="H33" s="168">
        <f>1386.85/H32</f>
        <v>0.19688387279954569</v>
      </c>
      <c r="I33" s="168">
        <f>1089.59/I32</f>
        <v>0.1504750725037978</v>
      </c>
      <c r="J33" s="168">
        <f>962.07/J32</f>
        <v>0.10995085714285714</v>
      </c>
      <c r="K33" s="168">
        <f>700.29/K32</f>
        <v>7.8218474254439854E-2</v>
      </c>
      <c r="L33" s="168">
        <f>751.79/L32</f>
        <v>0.10666713961407491</v>
      </c>
      <c r="M33" s="168">
        <f>1123.23/M32</f>
        <v>0.13636396746388249</v>
      </c>
      <c r="N33" s="168">
        <f>865.79/N32</f>
        <v>9.4964352308873526E-2</v>
      </c>
      <c r="O33" s="168">
        <f>1279.86/O32</f>
        <v>0.15203848895224517</v>
      </c>
      <c r="P33" s="168">
        <f>1406.2/P32</f>
        <v>0.17163432198217993</v>
      </c>
      <c r="Q33" s="168">
        <f>1098.49/Q32</f>
        <v>0.10407295120795831</v>
      </c>
      <c r="R33" s="168">
        <f>1218.7/R32</f>
        <v>0.11176632428466618</v>
      </c>
      <c r="S33" s="168">
        <f>580.65/S32</f>
        <v>6.5241573033707867E-2</v>
      </c>
      <c r="T33" s="168">
        <f>1334.13/T32</f>
        <v>0.15042450755995534</v>
      </c>
      <c r="U33" s="168">
        <f>923.73/U32</f>
        <v>0.10234101484600044</v>
      </c>
      <c r="V33" s="168">
        <f>1303.12/V32</f>
        <v>0.14781306715063519</v>
      </c>
      <c r="W33" s="168">
        <f>1430.47/W32</f>
        <v>0.15667798466593647</v>
      </c>
      <c r="X33" s="168">
        <f>1297.97/X32</f>
        <v>0.13768643258724939</v>
      </c>
      <c r="Y33" s="168">
        <f>669.21/Y32</f>
        <v>6.0474426170251221E-2</v>
      </c>
      <c r="Z33" s="168">
        <f>1297.97/Z32</f>
        <v>0.14149896435190232</v>
      </c>
      <c r="AA33" s="168">
        <f>1374.1/AA32</f>
        <v>0.14718294772922022</v>
      </c>
      <c r="AB33" s="168">
        <f>1503.51/AB32</f>
        <v>0.15006587483780817</v>
      </c>
      <c r="AC33" s="168">
        <f>1593.96/AC32</f>
        <v>0.16216909146403499</v>
      </c>
      <c r="AD33" s="168">
        <f>1604.04/AD32</f>
        <v>0.17448493418905689</v>
      </c>
      <c r="AE33" s="168">
        <f>1165.16/AE32</f>
        <v>0.11569456856320127</v>
      </c>
      <c r="AF33" s="168">
        <f>570.03/AF32</f>
        <v>5.4752665450004803E-2</v>
      </c>
      <c r="AG33" s="168">
        <f>711.35/AG32</f>
        <v>8.0780149897796957E-2</v>
      </c>
      <c r="AH33" s="168">
        <f>2187.84/AH32</f>
        <v>0.24239308663859963</v>
      </c>
      <c r="AI33" s="180">
        <f>IFERROR(AVERAGE(D33:AG33),0)</f>
        <v>0.12386557786079644</v>
      </c>
      <c r="AJ33" s="230"/>
    </row>
    <row r="34" spans="1:36" ht="15" thickTop="1" x14ac:dyDescent="0.3">
      <c r="A34" s="203">
        <v>151</v>
      </c>
      <c r="B34" s="28" t="s">
        <v>27</v>
      </c>
      <c r="C34" s="29" t="s">
        <v>15</v>
      </c>
      <c r="D34" s="30">
        <v>95</v>
      </c>
      <c r="E34" s="30">
        <v>64</v>
      </c>
      <c r="F34" s="30">
        <v>61</v>
      </c>
      <c r="G34" s="30">
        <v>68</v>
      </c>
      <c r="H34" s="30">
        <v>80</v>
      </c>
      <c r="I34" s="30">
        <v>122</v>
      </c>
      <c r="J34" s="30">
        <v>115</v>
      </c>
      <c r="K34" s="30">
        <v>107</v>
      </c>
      <c r="L34" s="30">
        <v>74</v>
      </c>
      <c r="M34" s="30">
        <v>74</v>
      </c>
      <c r="N34" s="30">
        <v>75</v>
      </c>
      <c r="O34" s="30">
        <v>66</v>
      </c>
      <c r="P34" s="30">
        <v>77</v>
      </c>
      <c r="Q34" s="30">
        <v>82</v>
      </c>
      <c r="R34" s="30">
        <v>125</v>
      </c>
      <c r="S34" s="30">
        <v>75</v>
      </c>
      <c r="T34" s="30">
        <v>71</v>
      </c>
      <c r="U34" s="30">
        <v>70</v>
      </c>
      <c r="V34" s="30">
        <v>72</v>
      </c>
      <c r="W34" s="30">
        <v>94</v>
      </c>
      <c r="X34" s="30">
        <v>92</v>
      </c>
      <c r="Y34" s="30">
        <v>109</v>
      </c>
      <c r="Z34" s="30">
        <v>76</v>
      </c>
      <c r="AA34" s="30">
        <v>71</v>
      </c>
      <c r="AB34" s="30">
        <v>71</v>
      </c>
      <c r="AC34" s="30">
        <v>60</v>
      </c>
      <c r="AD34" s="30">
        <v>58</v>
      </c>
      <c r="AE34" s="30">
        <v>55</v>
      </c>
      <c r="AF34" s="30">
        <v>87</v>
      </c>
      <c r="AG34" s="30">
        <v>53</v>
      </c>
      <c r="AH34" s="30">
        <v>45</v>
      </c>
      <c r="AI34" s="181">
        <f>SUM(D34:AH34)</f>
        <v>2444</v>
      </c>
      <c r="AJ34" s="204">
        <f>+$AI34/$A$1*$AK$1</f>
        <v>75764</v>
      </c>
    </row>
    <row r="35" spans="1:36" x14ac:dyDescent="0.3">
      <c r="A35" s="203"/>
      <c r="B35" s="33"/>
      <c r="C35" s="34" t="s">
        <v>16</v>
      </c>
      <c r="D35" s="35">
        <f t="shared" ref="D35:AG35" si="63">+D34/$A34</f>
        <v>0.62913907284768211</v>
      </c>
      <c r="E35" s="35">
        <f t="shared" si="63"/>
        <v>0.42384105960264901</v>
      </c>
      <c r="F35" s="35">
        <f t="shared" si="63"/>
        <v>0.40397350993377484</v>
      </c>
      <c r="G35" s="35">
        <f t="shared" si="63"/>
        <v>0.45033112582781459</v>
      </c>
      <c r="H35" s="35">
        <f t="shared" si="63"/>
        <v>0.5298013245033113</v>
      </c>
      <c r="I35" s="35">
        <f t="shared" si="63"/>
        <v>0.80794701986754969</v>
      </c>
      <c r="J35" s="35">
        <f t="shared" si="63"/>
        <v>0.76158940397350994</v>
      </c>
      <c r="K35" s="35">
        <f t="shared" si="63"/>
        <v>0.70860927152317876</v>
      </c>
      <c r="L35" s="35">
        <f t="shared" si="63"/>
        <v>0.49006622516556292</v>
      </c>
      <c r="M35" s="35">
        <f t="shared" si="63"/>
        <v>0.49006622516556292</v>
      </c>
      <c r="N35" s="35">
        <v>0.49668874172185429</v>
      </c>
      <c r="O35" s="35">
        <f t="shared" si="63"/>
        <v>0.4370860927152318</v>
      </c>
      <c r="P35" s="35">
        <f t="shared" si="63"/>
        <v>0.50993377483443714</v>
      </c>
      <c r="Q35" s="35">
        <f t="shared" si="63"/>
        <v>0.54304635761589404</v>
      </c>
      <c r="R35" s="35">
        <f t="shared" si="63"/>
        <v>0.82781456953642385</v>
      </c>
      <c r="S35" s="35">
        <f t="shared" si="63"/>
        <v>0.49668874172185429</v>
      </c>
      <c r="T35" s="35">
        <f t="shared" si="63"/>
        <v>0.47019867549668876</v>
      </c>
      <c r="U35" s="35">
        <f t="shared" si="63"/>
        <v>0.46357615894039733</v>
      </c>
      <c r="V35" s="35">
        <f t="shared" si="63"/>
        <v>0.47682119205298013</v>
      </c>
      <c r="W35" s="35">
        <f t="shared" si="63"/>
        <v>0.62251655629139069</v>
      </c>
      <c r="X35" s="35">
        <f t="shared" si="63"/>
        <v>0.60927152317880795</v>
      </c>
      <c r="Y35" s="35">
        <f t="shared" si="63"/>
        <v>0.72185430463576161</v>
      </c>
      <c r="Z35" s="35">
        <f t="shared" si="63"/>
        <v>0.50331125827814571</v>
      </c>
      <c r="AA35" s="35">
        <f t="shared" si="63"/>
        <v>0.47019867549668876</v>
      </c>
      <c r="AB35" s="35">
        <f t="shared" si="63"/>
        <v>0.47019867549668876</v>
      </c>
      <c r="AC35" s="35">
        <f t="shared" si="63"/>
        <v>0.39735099337748342</v>
      </c>
      <c r="AD35" s="35">
        <f t="shared" si="63"/>
        <v>0.38410596026490068</v>
      </c>
      <c r="AE35" s="35">
        <f t="shared" si="63"/>
        <v>0.36423841059602646</v>
      </c>
      <c r="AF35" s="35">
        <f t="shared" si="63"/>
        <v>0.57615894039735094</v>
      </c>
      <c r="AG35" s="35">
        <f t="shared" si="63"/>
        <v>0.35099337748344372</v>
      </c>
      <c r="AH35" s="35">
        <f t="shared" ref="AH35" si="64">+AH34/$A34</f>
        <v>0.29801324503311261</v>
      </c>
      <c r="AI35" s="172">
        <f>+AI34/(A34*A$1)</f>
        <v>16.185430463576157</v>
      </c>
      <c r="AJ35" s="192">
        <f>AJ34/($A34*31)</f>
        <v>16.185430463576157</v>
      </c>
    </row>
    <row r="36" spans="1:36" x14ac:dyDescent="0.3">
      <c r="A36" s="203"/>
      <c r="B36" s="33"/>
      <c r="C36" s="34" t="s">
        <v>17</v>
      </c>
      <c r="D36" s="37">
        <f>+IFERROR(D38/D34,0)</f>
        <v>110.85263157894737</v>
      </c>
      <c r="E36" s="37">
        <f t="shared" ref="E36:AG36" si="65">+IFERROR(E38/E34,0)</f>
        <v>100.3125</v>
      </c>
      <c r="F36" s="37">
        <f t="shared" si="65"/>
        <v>107.59016393442623</v>
      </c>
      <c r="G36" s="37">
        <f t="shared" si="65"/>
        <v>105.14705882352941</v>
      </c>
      <c r="H36" s="37">
        <f t="shared" si="65"/>
        <v>96</v>
      </c>
      <c r="I36" s="37">
        <f t="shared" si="65"/>
        <v>100.68852459016394</v>
      </c>
      <c r="J36" s="37">
        <f t="shared" si="65"/>
        <v>105.53043478260869</v>
      </c>
      <c r="K36" s="37">
        <f t="shared" si="65"/>
        <v>112.49532710280374</v>
      </c>
      <c r="L36" s="37">
        <f t="shared" si="65"/>
        <v>105.18918918918919</v>
      </c>
      <c r="M36" s="37">
        <f t="shared" si="65"/>
        <v>97.175675675675677</v>
      </c>
      <c r="N36" s="37">
        <v>105.90666666666667</v>
      </c>
      <c r="O36" s="37">
        <f t="shared" si="65"/>
        <v>102.95454545454545</v>
      </c>
      <c r="P36" s="37">
        <f t="shared" si="65"/>
        <v>98.15584415584415</v>
      </c>
      <c r="Q36" s="37">
        <f t="shared" si="65"/>
        <v>119.85365853658537</v>
      </c>
      <c r="R36" s="37">
        <f t="shared" si="65"/>
        <v>115.584</v>
      </c>
      <c r="S36" s="37">
        <f t="shared" si="65"/>
        <v>103.86666666666666</v>
      </c>
      <c r="T36" s="37">
        <f t="shared" si="65"/>
        <v>108.7605633802817</v>
      </c>
      <c r="U36" s="37">
        <f t="shared" si="65"/>
        <v>110.48342857142858</v>
      </c>
      <c r="V36" s="37">
        <f t="shared" si="65"/>
        <v>111.31944444444444</v>
      </c>
      <c r="W36" s="37">
        <f t="shared" si="65"/>
        <v>110.25531914893617</v>
      </c>
      <c r="X36" s="37">
        <f t="shared" si="65"/>
        <v>115.02173913043478</v>
      </c>
      <c r="Y36" s="37">
        <f t="shared" si="65"/>
        <v>113.08256880733946</v>
      </c>
      <c r="Z36" s="37">
        <f t="shared" si="65"/>
        <v>103.02631578947368</v>
      </c>
      <c r="AA36" s="37">
        <f t="shared" si="65"/>
        <v>107.59154929577464</v>
      </c>
      <c r="AB36" s="37">
        <f t="shared" si="65"/>
        <v>110.12676056338029</v>
      </c>
      <c r="AC36" s="37">
        <f t="shared" si="65"/>
        <v>103.41666666666667</v>
      </c>
      <c r="AD36" s="37">
        <f t="shared" si="65"/>
        <v>91.206896551724142</v>
      </c>
      <c r="AE36" s="37">
        <f t="shared" si="65"/>
        <v>106.49090909090908</v>
      </c>
      <c r="AF36" s="37">
        <f t="shared" si="65"/>
        <v>115.05747126436782</v>
      </c>
      <c r="AG36" s="37">
        <f t="shared" si="65"/>
        <v>100.62264150943396</v>
      </c>
      <c r="AH36" s="37">
        <f t="shared" ref="AH36" si="66">+IFERROR(AH38/AH34,0)</f>
        <v>98.511111111111106</v>
      </c>
      <c r="AI36" s="173">
        <f>+AI38/AI34</f>
        <v>106.91360065466448</v>
      </c>
      <c r="AJ36" s="193">
        <f>+AJ38/AJ34</f>
        <v>106.91360065466448</v>
      </c>
    </row>
    <row r="37" spans="1:36" x14ac:dyDescent="0.3">
      <c r="A37" s="203"/>
      <c r="B37" s="33"/>
      <c r="C37" s="34" t="s">
        <v>18</v>
      </c>
      <c r="D37" s="37">
        <f>+D35*D36</f>
        <v>69.741721854304629</v>
      </c>
      <c r="E37" s="37">
        <f t="shared" ref="E37:AG37" si="67">+E35*E36</f>
        <v>42.516556291390728</v>
      </c>
      <c r="F37" s="37">
        <f t="shared" si="67"/>
        <v>43.463576158940398</v>
      </c>
      <c r="G37" s="37">
        <f t="shared" si="67"/>
        <v>47.350993377483441</v>
      </c>
      <c r="H37" s="37">
        <f t="shared" si="67"/>
        <v>50.860927152317885</v>
      </c>
      <c r="I37" s="37">
        <f t="shared" si="67"/>
        <v>81.350993377483448</v>
      </c>
      <c r="J37" s="37">
        <f t="shared" si="67"/>
        <v>80.370860927152322</v>
      </c>
      <c r="K37" s="37">
        <f t="shared" si="67"/>
        <v>79.715231788079464</v>
      </c>
      <c r="L37" s="37">
        <f t="shared" si="67"/>
        <v>51.549668874172191</v>
      </c>
      <c r="M37" s="37">
        <f t="shared" si="67"/>
        <v>47.622516556291394</v>
      </c>
      <c r="N37" s="37">
        <v>52.602649006622514</v>
      </c>
      <c r="O37" s="37">
        <f t="shared" si="67"/>
        <v>45</v>
      </c>
      <c r="P37" s="37">
        <f t="shared" si="67"/>
        <v>50.052980132450337</v>
      </c>
      <c r="Q37" s="37">
        <f t="shared" si="67"/>
        <v>65.086092715231786</v>
      </c>
      <c r="R37" s="37">
        <f t="shared" si="67"/>
        <v>95.682119205298022</v>
      </c>
      <c r="S37" s="37">
        <f t="shared" si="67"/>
        <v>51.589403973509931</v>
      </c>
      <c r="T37" s="37">
        <f t="shared" si="67"/>
        <v>51.139072847682122</v>
      </c>
      <c r="U37" s="37">
        <f t="shared" si="67"/>
        <v>51.217483443708609</v>
      </c>
      <c r="V37" s="37">
        <f t="shared" si="67"/>
        <v>53.079470198675494</v>
      </c>
      <c r="W37" s="37">
        <f t="shared" si="67"/>
        <v>68.63576158940397</v>
      </c>
      <c r="X37" s="37">
        <f t="shared" si="67"/>
        <v>70.079470198675494</v>
      </c>
      <c r="Y37" s="37">
        <f t="shared" si="67"/>
        <v>81.629139072847693</v>
      </c>
      <c r="Z37" s="37">
        <f t="shared" si="67"/>
        <v>51.854304635761594</v>
      </c>
      <c r="AA37" s="37">
        <f t="shared" si="67"/>
        <v>50.589403973509931</v>
      </c>
      <c r="AB37" s="37">
        <f t="shared" si="67"/>
        <v>51.78145695364239</v>
      </c>
      <c r="AC37" s="37">
        <f t="shared" si="67"/>
        <v>41.092715231788077</v>
      </c>
      <c r="AD37" s="37">
        <f t="shared" si="67"/>
        <v>35.033112582781463</v>
      </c>
      <c r="AE37" s="37">
        <f t="shared" si="67"/>
        <v>38.788079470198667</v>
      </c>
      <c r="AF37" s="37">
        <f t="shared" si="67"/>
        <v>66.291390728476813</v>
      </c>
      <c r="AG37" s="37">
        <f t="shared" si="67"/>
        <v>35.317880794701985</v>
      </c>
      <c r="AH37" s="37">
        <f t="shared" ref="AH37" si="68">+AH35*AH36</f>
        <v>29.357615894039736</v>
      </c>
      <c r="AI37" s="173">
        <f>+AI36*AI35</f>
        <v>1730.4426490066223</v>
      </c>
      <c r="AJ37" s="193">
        <f>+AJ35*AJ36</f>
        <v>1730.4426490066223</v>
      </c>
    </row>
    <row r="38" spans="1:36" x14ac:dyDescent="0.3">
      <c r="A38" s="203"/>
      <c r="B38" s="33"/>
      <c r="C38" s="34" t="s">
        <v>19</v>
      </c>
      <c r="D38" s="158">
        <v>10531</v>
      </c>
      <c r="E38" s="158">
        <v>6420</v>
      </c>
      <c r="F38" s="158">
        <v>6563</v>
      </c>
      <c r="G38" s="158">
        <v>7150</v>
      </c>
      <c r="H38" s="158">
        <v>7680</v>
      </c>
      <c r="I38" s="158">
        <v>12284</v>
      </c>
      <c r="J38" s="158">
        <v>12136</v>
      </c>
      <c r="K38" s="158">
        <v>12037</v>
      </c>
      <c r="L38" s="158">
        <v>7784</v>
      </c>
      <c r="M38" s="158">
        <v>7191</v>
      </c>
      <c r="N38" s="158">
        <v>7943</v>
      </c>
      <c r="O38" s="158">
        <v>6795</v>
      </c>
      <c r="P38" s="158">
        <v>7558</v>
      </c>
      <c r="Q38" s="158">
        <v>9828</v>
      </c>
      <c r="R38" s="158">
        <v>14448</v>
      </c>
      <c r="S38" s="158">
        <v>7790</v>
      </c>
      <c r="T38" s="158">
        <v>7722</v>
      </c>
      <c r="U38" s="158">
        <v>7733.84</v>
      </c>
      <c r="V38" s="158">
        <v>8015</v>
      </c>
      <c r="W38" s="158">
        <v>10364</v>
      </c>
      <c r="X38" s="158">
        <v>10582</v>
      </c>
      <c r="Y38" s="158">
        <v>12326</v>
      </c>
      <c r="Z38" s="158">
        <v>7830</v>
      </c>
      <c r="AA38" s="158">
        <v>7639</v>
      </c>
      <c r="AB38" s="158">
        <v>7819</v>
      </c>
      <c r="AC38" s="158">
        <v>6205</v>
      </c>
      <c r="AD38" s="158">
        <v>5290</v>
      </c>
      <c r="AE38" s="158">
        <v>5857</v>
      </c>
      <c r="AF38" s="158">
        <v>10010</v>
      </c>
      <c r="AG38" s="158">
        <v>5333</v>
      </c>
      <c r="AH38" s="158">
        <v>4433</v>
      </c>
      <c r="AI38" s="174">
        <f>SUM(D38:AH38)</f>
        <v>261296.84</v>
      </c>
      <c r="AJ38" s="191">
        <f>+AI38/$A$1*$AK$1</f>
        <v>8100202.04</v>
      </c>
    </row>
    <row r="39" spans="1:36" ht="15" thickBot="1" x14ac:dyDescent="0.35">
      <c r="A39" s="237"/>
      <c r="B39" s="48"/>
      <c r="C39" s="34" t="s">
        <v>20</v>
      </c>
      <c r="D39" s="49">
        <f>1164.74/D38</f>
        <v>0.11060108251827937</v>
      </c>
      <c r="E39" s="49">
        <f>897.48/E38</f>
        <v>0.13979439252336448</v>
      </c>
      <c r="F39" s="49">
        <f>1613.02/F38</f>
        <v>0.24577479811062014</v>
      </c>
      <c r="G39" s="49">
        <f>1114.44/G38</f>
        <v>0.15586573426573427</v>
      </c>
      <c r="H39" s="49">
        <f>1283.57/H38</f>
        <v>0.16713151041666666</v>
      </c>
      <c r="I39" s="49">
        <f>1812.43/I38</f>
        <v>0.14754395962227287</v>
      </c>
      <c r="J39" s="49">
        <f>1676.77/J38</f>
        <v>0.13816496374423204</v>
      </c>
      <c r="K39" s="49">
        <f>1098.19/K38</f>
        <v>9.123452687546732E-2</v>
      </c>
      <c r="L39" s="49">
        <f>542.47/L38</f>
        <v>6.969039054470709E-2</v>
      </c>
      <c r="M39" s="49">
        <f>1545.07/M38</f>
        <v>0.21486163259630092</v>
      </c>
      <c r="N39" s="49">
        <f>1243.08/N38</f>
        <v>0.1565000629485081</v>
      </c>
      <c r="O39" s="49">
        <f>1641.8/O38</f>
        <v>0.24161883738042678</v>
      </c>
      <c r="P39" s="49">
        <f>1665.33/P38</f>
        <v>0.22034003704683777</v>
      </c>
      <c r="Q39" s="49">
        <f>1532.47/Q38</f>
        <v>0.15592897842897843</v>
      </c>
      <c r="R39" s="49">
        <f>1542.26/R38</f>
        <v>0.10674557032115171</v>
      </c>
      <c r="S39" s="49">
        <f>1218.95/S38</f>
        <v>0.15647625160462131</v>
      </c>
      <c r="T39" s="49">
        <f>1470.25/T38</f>
        <v>0.19039756539756539</v>
      </c>
      <c r="U39" s="49">
        <f>1288.22/U38</f>
        <v>0.16656925925542809</v>
      </c>
      <c r="V39" s="49">
        <f>1555.64/V38</f>
        <v>0.19409107922645041</v>
      </c>
      <c r="W39" s="49">
        <f>1775.94/W38</f>
        <v>0.1713566190659977</v>
      </c>
      <c r="X39" s="49">
        <f>1871.53/X38</f>
        <v>0.17685976185976185</v>
      </c>
      <c r="Y39" s="49">
        <f>972.99/Y38</f>
        <v>7.8938017199415872E-2</v>
      </c>
      <c r="Z39" s="49">
        <f>1871.53/Z38</f>
        <v>0.23902043422733077</v>
      </c>
      <c r="AA39" s="49">
        <f>1523.57/AA38</f>
        <v>0.19944626259981671</v>
      </c>
      <c r="AB39" s="49">
        <f>1665.72/AB38</f>
        <v>0.21303491495076096</v>
      </c>
      <c r="AC39" s="49">
        <f>1357.5/AC38</f>
        <v>0.21877518130539886</v>
      </c>
      <c r="AD39" s="49">
        <f>1806.86/AD38</f>
        <v>0.34156143667296784</v>
      </c>
      <c r="AE39" s="49">
        <f>1488.03/AE38</f>
        <v>0.25406009902680554</v>
      </c>
      <c r="AF39" s="49">
        <f>992.63/AF38</f>
        <v>9.9163836163836158E-2</v>
      </c>
      <c r="AG39" s="49">
        <f>1017.37/AG38</f>
        <v>0.19076879804987812</v>
      </c>
      <c r="AH39" s="49">
        <f>2649.49/AH38</f>
        <v>0.59767426122264822</v>
      </c>
      <c r="AI39" s="175">
        <f>AVERAGE(D39:AG39)</f>
        <v>0.17507719979831946</v>
      </c>
      <c r="AJ39" s="227"/>
    </row>
    <row r="40" spans="1:36" ht="15" thickTop="1" x14ac:dyDescent="0.3">
      <c r="A40" s="203">
        <v>96</v>
      </c>
      <c r="B40" s="170" t="s">
        <v>28</v>
      </c>
      <c r="C40" s="171" t="s">
        <v>15</v>
      </c>
      <c r="D40" s="161">
        <v>34</v>
      </c>
      <c r="E40" s="161">
        <v>28</v>
      </c>
      <c r="F40" s="161">
        <v>19</v>
      </c>
      <c r="G40" s="161">
        <v>17</v>
      </c>
      <c r="H40" s="161">
        <v>19</v>
      </c>
      <c r="I40" s="161">
        <v>28</v>
      </c>
      <c r="J40" s="161">
        <v>61</v>
      </c>
      <c r="K40" s="161">
        <v>87</v>
      </c>
      <c r="L40" s="161">
        <v>25</v>
      </c>
      <c r="M40" s="161">
        <v>32</v>
      </c>
      <c r="N40" s="161">
        <v>30</v>
      </c>
      <c r="O40" s="161">
        <v>25</v>
      </c>
      <c r="P40" s="161">
        <v>34</v>
      </c>
      <c r="Q40" s="161">
        <v>60</v>
      </c>
      <c r="R40" s="161">
        <v>96</v>
      </c>
      <c r="S40" s="161">
        <v>27</v>
      </c>
      <c r="T40" s="161">
        <v>40</v>
      </c>
      <c r="U40" s="161">
        <v>45</v>
      </c>
      <c r="V40" s="161">
        <v>44</v>
      </c>
      <c r="W40" s="161">
        <v>45</v>
      </c>
      <c r="X40" s="161">
        <v>72</v>
      </c>
      <c r="Y40" s="161">
        <v>87</v>
      </c>
      <c r="Z40" s="161">
        <v>43</v>
      </c>
      <c r="AA40" s="161">
        <v>52</v>
      </c>
      <c r="AB40" s="161">
        <v>55</v>
      </c>
      <c r="AC40" s="161">
        <v>68</v>
      </c>
      <c r="AD40" s="161">
        <v>64</v>
      </c>
      <c r="AE40" s="161">
        <v>79</v>
      </c>
      <c r="AF40" s="161">
        <v>94</v>
      </c>
      <c r="AG40" s="161">
        <v>70</v>
      </c>
      <c r="AH40" s="161">
        <v>40</v>
      </c>
      <c r="AI40" s="176">
        <f>SUM(D40:AH40)</f>
        <v>1520</v>
      </c>
      <c r="AJ40" s="217">
        <f>+$AI40/$A$1*$AK$1</f>
        <v>47120</v>
      </c>
    </row>
    <row r="41" spans="1:36" x14ac:dyDescent="0.3">
      <c r="A41" s="203"/>
      <c r="B41" s="162"/>
      <c r="C41" s="163" t="s">
        <v>16</v>
      </c>
      <c r="D41" s="164">
        <f t="shared" ref="D41:AG41" si="69">+D40/$A40</f>
        <v>0.35416666666666669</v>
      </c>
      <c r="E41" s="164">
        <f t="shared" si="69"/>
        <v>0.29166666666666669</v>
      </c>
      <c r="F41" s="164">
        <f t="shared" si="69"/>
        <v>0.19791666666666666</v>
      </c>
      <c r="G41" s="164">
        <f t="shared" si="69"/>
        <v>0.17708333333333334</v>
      </c>
      <c r="H41" s="164">
        <f t="shared" si="69"/>
        <v>0.19791666666666666</v>
      </c>
      <c r="I41" s="164">
        <f t="shared" si="69"/>
        <v>0.29166666666666669</v>
      </c>
      <c r="J41" s="164">
        <f t="shared" si="69"/>
        <v>0.63541666666666663</v>
      </c>
      <c r="K41" s="164">
        <f t="shared" si="69"/>
        <v>0.90625</v>
      </c>
      <c r="L41" s="164">
        <f t="shared" si="69"/>
        <v>0.26041666666666669</v>
      </c>
      <c r="M41" s="164">
        <f t="shared" si="69"/>
        <v>0.33333333333333331</v>
      </c>
      <c r="N41" s="164">
        <v>0.3125</v>
      </c>
      <c r="O41" s="164">
        <f t="shared" si="69"/>
        <v>0.26041666666666669</v>
      </c>
      <c r="P41" s="164">
        <f t="shared" si="69"/>
        <v>0.35416666666666669</v>
      </c>
      <c r="Q41" s="164">
        <f t="shared" si="69"/>
        <v>0.625</v>
      </c>
      <c r="R41" s="164">
        <f t="shared" si="69"/>
        <v>1</v>
      </c>
      <c r="S41" s="164">
        <f t="shared" si="69"/>
        <v>0.28125</v>
      </c>
      <c r="T41" s="164">
        <f t="shared" si="69"/>
        <v>0.41666666666666669</v>
      </c>
      <c r="U41" s="164">
        <f t="shared" si="69"/>
        <v>0.46875</v>
      </c>
      <c r="V41" s="164">
        <f t="shared" si="69"/>
        <v>0.45833333333333331</v>
      </c>
      <c r="W41" s="164">
        <f t="shared" si="69"/>
        <v>0.46875</v>
      </c>
      <c r="X41" s="164">
        <f t="shared" si="69"/>
        <v>0.75</v>
      </c>
      <c r="Y41" s="164">
        <f t="shared" si="69"/>
        <v>0.90625</v>
      </c>
      <c r="Z41" s="164">
        <f t="shared" si="69"/>
        <v>0.44791666666666669</v>
      </c>
      <c r="AA41" s="164">
        <f t="shared" si="69"/>
        <v>0.54166666666666663</v>
      </c>
      <c r="AB41" s="164">
        <f t="shared" si="69"/>
        <v>0.57291666666666663</v>
      </c>
      <c r="AC41" s="164">
        <f t="shared" si="69"/>
        <v>0.70833333333333337</v>
      </c>
      <c r="AD41" s="164">
        <f t="shared" si="69"/>
        <v>0.66666666666666663</v>
      </c>
      <c r="AE41" s="164">
        <f t="shared" si="69"/>
        <v>0.82291666666666663</v>
      </c>
      <c r="AF41" s="164">
        <f t="shared" si="69"/>
        <v>0.97916666666666663</v>
      </c>
      <c r="AG41" s="164">
        <f t="shared" si="69"/>
        <v>0.72916666666666663</v>
      </c>
      <c r="AH41" s="164">
        <f t="shared" ref="AH41" si="70">+AH40/$A40</f>
        <v>0.41666666666666669</v>
      </c>
      <c r="AI41" s="177">
        <f>+AI40/(A40*A$1)</f>
        <v>15.833333333333334</v>
      </c>
      <c r="AJ41" s="197">
        <f>AJ40/($A40*31)</f>
        <v>15.833333333333334</v>
      </c>
    </row>
    <row r="42" spans="1:36" x14ac:dyDescent="0.3">
      <c r="A42" s="203"/>
      <c r="B42" s="162"/>
      <c r="C42" s="163" t="s">
        <v>17</v>
      </c>
      <c r="D42" s="165">
        <f t="shared" ref="D42:AG42" si="71">+IFERROR(D44/D40,0)</f>
        <v>87</v>
      </c>
      <c r="E42" s="165">
        <f t="shared" si="71"/>
        <v>91.642857142857139</v>
      </c>
      <c r="F42" s="165">
        <f t="shared" si="71"/>
        <v>102.21052631578948</v>
      </c>
      <c r="G42" s="165">
        <f t="shared" si="71"/>
        <v>75.588235294117652</v>
      </c>
      <c r="H42" s="165">
        <f t="shared" si="71"/>
        <v>95.315789473684205</v>
      </c>
      <c r="I42" s="165">
        <f t="shared" si="71"/>
        <v>57.535714285714285</v>
      </c>
      <c r="J42" s="165">
        <f t="shared" si="71"/>
        <v>88.901639344262293</v>
      </c>
      <c r="K42" s="165">
        <f t="shared" si="71"/>
        <v>91.022988505747122</v>
      </c>
      <c r="L42" s="165">
        <f t="shared" si="71"/>
        <v>92.72</v>
      </c>
      <c r="M42" s="165">
        <f t="shared" si="71"/>
        <v>79.21875</v>
      </c>
      <c r="N42" s="165">
        <v>118.6</v>
      </c>
      <c r="O42" s="165">
        <f t="shared" si="71"/>
        <v>111.12</v>
      </c>
      <c r="P42" s="165">
        <f t="shared" si="71"/>
        <v>89.794117647058826</v>
      </c>
      <c r="Q42" s="165">
        <f t="shared" si="71"/>
        <v>90.7</v>
      </c>
      <c r="R42" s="165">
        <f t="shared" si="71"/>
        <v>84.5</v>
      </c>
      <c r="S42" s="165">
        <f t="shared" si="71"/>
        <v>73.222222222222229</v>
      </c>
      <c r="T42" s="165">
        <f t="shared" si="71"/>
        <v>70.375</v>
      </c>
      <c r="U42" s="165">
        <f t="shared" si="71"/>
        <v>71.599999999999994</v>
      </c>
      <c r="V42" s="165">
        <f t="shared" si="71"/>
        <v>72.909090909090907</v>
      </c>
      <c r="W42" s="165">
        <f t="shared" si="71"/>
        <v>72.355555555555554</v>
      </c>
      <c r="X42" s="165">
        <f t="shared" si="71"/>
        <v>91.805555555555557</v>
      </c>
      <c r="Y42" s="165">
        <f t="shared" si="71"/>
        <v>92.298850574712645</v>
      </c>
      <c r="Z42" s="165">
        <f t="shared" si="71"/>
        <v>79.465116279069761</v>
      </c>
      <c r="AA42" s="165">
        <f t="shared" si="71"/>
        <v>81.422499999999999</v>
      </c>
      <c r="AB42" s="165">
        <f t="shared" si="71"/>
        <v>85.490909090909085</v>
      </c>
      <c r="AC42" s="165">
        <f t="shared" si="71"/>
        <v>73.279411764705884</v>
      </c>
      <c r="AD42" s="165">
        <f t="shared" si="71"/>
        <v>80.5625</v>
      </c>
      <c r="AE42" s="165">
        <f t="shared" si="71"/>
        <v>97.101265822784811</v>
      </c>
      <c r="AF42" s="165">
        <f t="shared" si="71"/>
        <v>104.24468085106383</v>
      </c>
      <c r="AG42" s="165">
        <f t="shared" si="71"/>
        <v>81.085714285714289</v>
      </c>
      <c r="AH42" s="165">
        <f t="shared" ref="AH42" si="72">+IFERROR(AH44/AH40,0)</f>
        <v>85.85</v>
      </c>
      <c r="AI42" s="178">
        <f>+AI44/AI40</f>
        <v>86.513796052631577</v>
      </c>
      <c r="AJ42" s="198">
        <f>+AJ44/AJ40</f>
        <v>86.513796052631577</v>
      </c>
    </row>
    <row r="43" spans="1:36" x14ac:dyDescent="0.3">
      <c r="A43" s="203"/>
      <c r="B43" s="162"/>
      <c r="C43" s="163" t="s">
        <v>18</v>
      </c>
      <c r="D43" s="165">
        <f t="shared" ref="D43:AG43" si="73">+D41*D42</f>
        <v>30.8125</v>
      </c>
      <c r="E43" s="165">
        <f t="shared" si="73"/>
        <v>26.729166666666668</v>
      </c>
      <c r="F43" s="165">
        <f t="shared" si="73"/>
        <v>20.229166666666668</v>
      </c>
      <c r="G43" s="165">
        <f t="shared" si="73"/>
        <v>13.385416666666668</v>
      </c>
      <c r="H43" s="165">
        <f t="shared" si="73"/>
        <v>18.864583333333332</v>
      </c>
      <c r="I43" s="165">
        <f t="shared" si="73"/>
        <v>16.78125</v>
      </c>
      <c r="J43" s="165">
        <f t="shared" si="73"/>
        <v>56.489583333333329</v>
      </c>
      <c r="K43" s="165">
        <f t="shared" si="73"/>
        <v>82.489583333333329</v>
      </c>
      <c r="L43" s="165">
        <f t="shared" si="73"/>
        <v>24.145833333333336</v>
      </c>
      <c r="M43" s="165">
        <f t="shared" si="73"/>
        <v>26.40625</v>
      </c>
      <c r="N43" s="165">
        <v>37.0625</v>
      </c>
      <c r="O43" s="165">
        <f t="shared" si="73"/>
        <v>28.937500000000004</v>
      </c>
      <c r="P43" s="165">
        <f t="shared" si="73"/>
        <v>31.802083333333336</v>
      </c>
      <c r="Q43" s="165">
        <f t="shared" si="73"/>
        <v>56.6875</v>
      </c>
      <c r="R43" s="165">
        <f t="shared" si="73"/>
        <v>84.5</v>
      </c>
      <c r="S43" s="165">
        <f t="shared" si="73"/>
        <v>20.59375</v>
      </c>
      <c r="T43" s="165">
        <f t="shared" si="73"/>
        <v>29.322916666666668</v>
      </c>
      <c r="U43" s="165">
        <f t="shared" si="73"/>
        <v>33.5625</v>
      </c>
      <c r="V43" s="165">
        <f t="shared" si="73"/>
        <v>33.416666666666664</v>
      </c>
      <c r="W43" s="165">
        <f t="shared" si="73"/>
        <v>33.916666666666664</v>
      </c>
      <c r="X43" s="165">
        <f t="shared" si="73"/>
        <v>68.854166666666671</v>
      </c>
      <c r="Y43" s="165">
        <f t="shared" si="73"/>
        <v>83.645833333333329</v>
      </c>
      <c r="Z43" s="165">
        <f t="shared" si="73"/>
        <v>35.59375</v>
      </c>
      <c r="AA43" s="165">
        <f t="shared" si="73"/>
        <v>44.103854166666665</v>
      </c>
      <c r="AB43" s="165">
        <f t="shared" si="73"/>
        <v>48.979166666666657</v>
      </c>
      <c r="AC43" s="165">
        <f t="shared" si="73"/>
        <v>51.906250000000007</v>
      </c>
      <c r="AD43" s="165">
        <f t="shared" si="73"/>
        <v>53.708333333333329</v>
      </c>
      <c r="AE43" s="165">
        <f t="shared" si="73"/>
        <v>79.90625</v>
      </c>
      <c r="AF43" s="165">
        <f t="shared" si="73"/>
        <v>102.07291666666667</v>
      </c>
      <c r="AG43" s="165">
        <f t="shared" si="73"/>
        <v>59.125</v>
      </c>
      <c r="AH43" s="165">
        <f t="shared" ref="AH43" si="74">+AH41*AH42</f>
        <v>35.770833333333336</v>
      </c>
      <c r="AI43" s="178">
        <f>+AI42*AI41</f>
        <v>1369.8017708333334</v>
      </c>
      <c r="AJ43" s="198">
        <f>+AJ41*AJ42</f>
        <v>1369.8017708333334</v>
      </c>
    </row>
    <row r="44" spans="1:36" x14ac:dyDescent="0.3">
      <c r="A44" s="203"/>
      <c r="B44" s="162"/>
      <c r="C44" s="163" t="s">
        <v>19</v>
      </c>
      <c r="D44" s="166">
        <v>2958</v>
      </c>
      <c r="E44" s="166">
        <v>2566</v>
      </c>
      <c r="F44" s="166">
        <v>1942</v>
      </c>
      <c r="G44" s="166">
        <v>1285</v>
      </c>
      <c r="H44" s="166">
        <v>1811</v>
      </c>
      <c r="I44" s="166">
        <v>1611</v>
      </c>
      <c r="J44" s="166">
        <v>5423</v>
      </c>
      <c r="K44" s="166">
        <v>7919</v>
      </c>
      <c r="L44" s="166">
        <v>2318</v>
      </c>
      <c r="M44" s="166">
        <v>2535</v>
      </c>
      <c r="N44" s="166">
        <v>3558</v>
      </c>
      <c r="O44" s="166">
        <v>2778</v>
      </c>
      <c r="P44" s="166">
        <v>3053</v>
      </c>
      <c r="Q44" s="166">
        <v>5442</v>
      </c>
      <c r="R44" s="166">
        <v>8112</v>
      </c>
      <c r="S44" s="166">
        <v>1977</v>
      </c>
      <c r="T44" s="166">
        <v>2815</v>
      </c>
      <c r="U44" s="166">
        <v>3222</v>
      </c>
      <c r="V44" s="166">
        <v>3208</v>
      </c>
      <c r="W44" s="166">
        <v>3256</v>
      </c>
      <c r="X44" s="166">
        <v>6610</v>
      </c>
      <c r="Y44" s="166">
        <v>8030</v>
      </c>
      <c r="Z44" s="166">
        <v>3417</v>
      </c>
      <c r="AA44" s="166">
        <v>4233.97</v>
      </c>
      <c r="AB44" s="166">
        <v>4702</v>
      </c>
      <c r="AC44" s="166">
        <v>4983</v>
      </c>
      <c r="AD44" s="166">
        <v>5156</v>
      </c>
      <c r="AE44" s="166">
        <v>7671</v>
      </c>
      <c r="AF44" s="166">
        <v>9799</v>
      </c>
      <c r="AG44" s="166">
        <v>5676</v>
      </c>
      <c r="AH44" s="166">
        <v>3434</v>
      </c>
      <c r="AI44" s="179">
        <f>SUM(D44:AH44)</f>
        <v>131500.97</v>
      </c>
      <c r="AJ44" s="196">
        <f>+AI44/$A$1*$AK$1</f>
        <v>4076530.07</v>
      </c>
    </row>
    <row r="45" spans="1:36" ht="15" thickBot="1" x14ac:dyDescent="0.35">
      <c r="A45" s="237"/>
      <c r="B45" s="167"/>
      <c r="C45" s="163" t="s">
        <v>20</v>
      </c>
      <c r="D45" s="168">
        <f>223.9/D44</f>
        <v>7.5693035835023667E-2</v>
      </c>
      <c r="E45" s="168">
        <f>223.8/E44</f>
        <v>8.7217459080280599E-2</v>
      </c>
      <c r="F45" s="168">
        <f>1098.87/F44</f>
        <v>0.56584449021627181</v>
      </c>
      <c r="G45" s="168">
        <f>1144.45/G44</f>
        <v>0.89062256809338525</v>
      </c>
      <c r="H45" s="168">
        <f>917.49/H44</f>
        <v>0.50662065157371616</v>
      </c>
      <c r="I45" s="168">
        <f>779.48/I44</f>
        <v>0.48384854127870891</v>
      </c>
      <c r="J45" s="168">
        <f>585.95/J44</f>
        <v>0.1080490503411396</v>
      </c>
      <c r="K45" s="168">
        <f>363.51/K44</f>
        <v>4.590352317211769E-2</v>
      </c>
      <c r="L45" s="168">
        <f>512.54/L44</f>
        <v>0.22111302847282138</v>
      </c>
      <c r="M45" s="168">
        <f>696.49/M44</f>
        <v>0.27474950690335304</v>
      </c>
      <c r="N45" s="168">
        <f>781.39/N44</f>
        <v>0.21961495222034852</v>
      </c>
      <c r="O45" s="168">
        <f>1199.36/O44</f>
        <v>0.43173506119510435</v>
      </c>
      <c r="P45" s="168">
        <f>913.61/P44</f>
        <v>0.29924991811333118</v>
      </c>
      <c r="Q45" s="168">
        <f>884.73/Q44</f>
        <v>0.16257442116868798</v>
      </c>
      <c r="R45" s="168">
        <f>1110.21/R44</f>
        <v>0.13686020710059171</v>
      </c>
      <c r="S45" s="168">
        <f>236/S44</f>
        <v>0.1193727870510875</v>
      </c>
      <c r="T45" s="168">
        <f>1039.16/T44</f>
        <v>0.3691509769094139</v>
      </c>
      <c r="U45" s="168">
        <f>1346.52/U44</f>
        <v>0.41791433891992552</v>
      </c>
      <c r="V45" s="168">
        <f>1170.84/V44</f>
        <v>0.36497506234413962</v>
      </c>
      <c r="W45" s="168">
        <f>1384.91/W44</f>
        <v>0.4253409090909091</v>
      </c>
      <c r="X45" s="168">
        <f>679.15/X44</f>
        <v>0.10274583963691376</v>
      </c>
      <c r="Y45" s="168">
        <f>220.92/Y44</f>
        <v>2.7511830635118306E-2</v>
      </c>
      <c r="Z45" s="168">
        <f>679.15/Z44</f>
        <v>0.19875621890547263</v>
      </c>
      <c r="AA45" s="168">
        <f>1161.18/AA44</f>
        <v>0.27425324222892461</v>
      </c>
      <c r="AB45" s="168">
        <f>1057.95/AB44</f>
        <v>0.22500000000000001</v>
      </c>
      <c r="AC45" s="168">
        <f>1059.52/AC44</f>
        <v>0.21262693156732893</v>
      </c>
      <c r="AD45" s="168">
        <f>1051.7/AD44</f>
        <v>0.20397595034910784</v>
      </c>
      <c r="AE45" s="168">
        <f>683.24/AE44</f>
        <v>8.9067918133229049E-2</v>
      </c>
      <c r="AF45" s="168">
        <f>278.93/AF44</f>
        <v>2.8465149505051537E-2</v>
      </c>
      <c r="AG45" s="168">
        <f>418.37/AG44</f>
        <v>7.3708597603946435E-2</v>
      </c>
      <c r="AH45" s="168">
        <f>1663.81/AH44</f>
        <v>0.48451077460687242</v>
      </c>
      <c r="AI45" s="180">
        <f>AVERAGE(D45:AG45)</f>
        <v>0.25475207225484836</v>
      </c>
      <c r="AJ45" s="230"/>
    </row>
    <row r="46" spans="1:36" ht="15" thickTop="1" x14ac:dyDescent="0.3">
      <c r="A46" s="203">
        <v>94</v>
      </c>
      <c r="B46" s="28" t="s">
        <v>29</v>
      </c>
      <c r="C46" s="29" t="s">
        <v>15</v>
      </c>
      <c r="D46" s="30">
        <v>52</v>
      </c>
      <c r="E46" s="30">
        <v>22</v>
      </c>
      <c r="F46" s="30">
        <v>39</v>
      </c>
      <c r="G46" s="30">
        <v>28</v>
      </c>
      <c r="H46" s="30">
        <v>31</v>
      </c>
      <c r="I46" s="30">
        <v>30</v>
      </c>
      <c r="J46" s="30">
        <v>48</v>
      </c>
      <c r="K46" s="30">
        <v>67</v>
      </c>
      <c r="L46" s="30">
        <v>24</v>
      </c>
      <c r="M46" s="30">
        <v>76</v>
      </c>
      <c r="N46" s="30">
        <v>73</v>
      </c>
      <c r="O46" s="30">
        <v>37</v>
      </c>
      <c r="P46" s="30">
        <v>68</v>
      </c>
      <c r="Q46" s="30">
        <v>70</v>
      </c>
      <c r="R46" s="30">
        <v>84</v>
      </c>
      <c r="S46" s="30">
        <v>39</v>
      </c>
      <c r="T46" s="30">
        <v>40</v>
      </c>
      <c r="U46" s="30">
        <v>60</v>
      </c>
      <c r="V46" s="30">
        <v>53</v>
      </c>
      <c r="W46" s="30">
        <v>41</v>
      </c>
      <c r="X46" s="30">
        <v>48</v>
      </c>
      <c r="Y46" s="30">
        <v>75</v>
      </c>
      <c r="Z46" s="30">
        <v>38</v>
      </c>
      <c r="AA46" s="30">
        <v>61</v>
      </c>
      <c r="AB46" s="30">
        <v>74</v>
      </c>
      <c r="AC46" s="30">
        <v>68</v>
      </c>
      <c r="AD46" s="30">
        <v>50</v>
      </c>
      <c r="AE46" s="30">
        <v>77</v>
      </c>
      <c r="AF46" s="30">
        <v>92</v>
      </c>
      <c r="AG46" s="30">
        <v>49</v>
      </c>
      <c r="AH46" s="30">
        <v>52</v>
      </c>
      <c r="AI46" s="181">
        <f>SUM(D46:AH46)</f>
        <v>1666</v>
      </c>
      <c r="AJ46" s="204">
        <f>+$AI46/$A$1*$AK$1</f>
        <v>51646</v>
      </c>
    </row>
    <row r="47" spans="1:36" x14ac:dyDescent="0.3">
      <c r="A47" s="203"/>
      <c r="B47" s="33"/>
      <c r="C47" s="34" t="s">
        <v>16</v>
      </c>
      <c r="D47" s="35">
        <f>D46/$A46</f>
        <v>0.55319148936170215</v>
      </c>
      <c r="E47" s="35">
        <f t="shared" ref="E47:AG47" si="75">+E46/$A46</f>
        <v>0.23404255319148937</v>
      </c>
      <c r="F47" s="35">
        <f t="shared" si="75"/>
        <v>0.41489361702127658</v>
      </c>
      <c r="G47" s="35">
        <f t="shared" si="75"/>
        <v>0.2978723404255319</v>
      </c>
      <c r="H47" s="35">
        <f t="shared" si="75"/>
        <v>0.32978723404255317</v>
      </c>
      <c r="I47" s="35">
        <f t="shared" si="75"/>
        <v>0.31914893617021278</v>
      </c>
      <c r="J47" s="35">
        <f t="shared" si="75"/>
        <v>0.51063829787234039</v>
      </c>
      <c r="K47" s="35">
        <f t="shared" si="75"/>
        <v>0.71276595744680848</v>
      </c>
      <c r="L47" s="35">
        <f t="shared" si="75"/>
        <v>0.25531914893617019</v>
      </c>
      <c r="M47" s="35">
        <f t="shared" si="75"/>
        <v>0.80851063829787229</v>
      </c>
      <c r="N47" s="35">
        <v>0.77659574468085102</v>
      </c>
      <c r="O47" s="35">
        <f t="shared" si="75"/>
        <v>0.39361702127659576</v>
      </c>
      <c r="P47" s="35">
        <f t="shared" si="75"/>
        <v>0.72340425531914898</v>
      </c>
      <c r="Q47" s="35">
        <f t="shared" si="75"/>
        <v>0.74468085106382975</v>
      </c>
      <c r="R47" s="35">
        <f t="shared" si="75"/>
        <v>0.8936170212765957</v>
      </c>
      <c r="S47" s="35">
        <f t="shared" si="75"/>
        <v>0.41489361702127658</v>
      </c>
      <c r="T47" s="35">
        <f t="shared" si="75"/>
        <v>0.42553191489361702</v>
      </c>
      <c r="U47" s="35">
        <f t="shared" si="75"/>
        <v>0.63829787234042556</v>
      </c>
      <c r="V47" s="35">
        <f t="shared" si="75"/>
        <v>0.56382978723404253</v>
      </c>
      <c r="W47" s="35">
        <f t="shared" si="75"/>
        <v>0.43617021276595747</v>
      </c>
      <c r="X47" s="35">
        <f t="shared" si="75"/>
        <v>0.51063829787234039</v>
      </c>
      <c r="Y47" s="35">
        <f t="shared" si="75"/>
        <v>0.7978723404255319</v>
      </c>
      <c r="Z47" s="35">
        <f t="shared" si="75"/>
        <v>0.40425531914893614</v>
      </c>
      <c r="AA47" s="35">
        <f t="shared" si="75"/>
        <v>0.64893617021276595</v>
      </c>
      <c r="AB47" s="35">
        <f t="shared" si="75"/>
        <v>0.78723404255319152</v>
      </c>
      <c r="AC47" s="35">
        <f t="shared" si="75"/>
        <v>0.72340425531914898</v>
      </c>
      <c r="AD47" s="35">
        <f t="shared" si="75"/>
        <v>0.53191489361702127</v>
      </c>
      <c r="AE47" s="35">
        <f t="shared" si="75"/>
        <v>0.81914893617021278</v>
      </c>
      <c r="AF47" s="35">
        <f t="shared" si="75"/>
        <v>0.97872340425531912</v>
      </c>
      <c r="AG47" s="35">
        <f t="shared" si="75"/>
        <v>0.52127659574468088</v>
      </c>
      <c r="AH47" s="35">
        <f t="shared" ref="AH47" si="76">+AH46/$A46</f>
        <v>0.55319148936170215</v>
      </c>
      <c r="AI47" s="172">
        <f>+AI46/(A46*A$1)</f>
        <v>17.723404255319149</v>
      </c>
      <c r="AJ47" s="192">
        <f>AJ46/($A46*31)</f>
        <v>17.723404255319149</v>
      </c>
    </row>
    <row r="48" spans="1:36" x14ac:dyDescent="0.3">
      <c r="A48" s="203"/>
      <c r="B48" s="33"/>
      <c r="C48" s="34" t="s">
        <v>17</v>
      </c>
      <c r="D48" s="37">
        <f>+IFERROR(D50/D46,0)</f>
        <v>117.36538461538461</v>
      </c>
      <c r="E48" s="37">
        <f t="shared" ref="E48:AG48" si="77">+IFERROR(E50/E46,0)</f>
        <v>119.90909090909091</v>
      </c>
      <c r="F48" s="37">
        <f t="shared" si="77"/>
        <v>108.74358974358974</v>
      </c>
      <c r="G48" s="37">
        <f t="shared" si="77"/>
        <v>106.14285714285714</v>
      </c>
      <c r="H48" s="37">
        <f t="shared" si="77"/>
        <v>110.41935483870968</v>
      </c>
      <c r="I48" s="37">
        <f t="shared" si="77"/>
        <v>112.2</v>
      </c>
      <c r="J48" s="37">
        <f t="shared" si="77"/>
        <v>111.02083333333333</v>
      </c>
      <c r="K48" s="37">
        <f t="shared" si="77"/>
        <v>109.19402985074628</v>
      </c>
      <c r="L48" s="37">
        <f t="shared" si="77"/>
        <v>109.125</v>
      </c>
      <c r="M48" s="37">
        <f t="shared" si="77"/>
        <v>107.76315789473684</v>
      </c>
      <c r="N48" s="37">
        <v>116.38356164383562</v>
      </c>
      <c r="O48" s="37">
        <f t="shared" si="77"/>
        <v>107.5945945945946</v>
      </c>
      <c r="P48" s="37">
        <f t="shared" si="77"/>
        <v>101.23529411764706</v>
      </c>
      <c r="Q48" s="37">
        <f t="shared" si="77"/>
        <v>95.585714285714289</v>
      </c>
      <c r="R48" s="37">
        <f t="shared" si="77"/>
        <v>98.226190476190482</v>
      </c>
      <c r="S48" s="37">
        <f t="shared" si="77"/>
        <v>112.15384615384616</v>
      </c>
      <c r="T48" s="37">
        <f t="shared" si="77"/>
        <v>105.25</v>
      </c>
      <c r="U48" s="37">
        <f t="shared" si="77"/>
        <v>110.45</v>
      </c>
      <c r="V48" s="37">
        <f t="shared" si="77"/>
        <v>109.77358490566037</v>
      </c>
      <c r="W48" s="37">
        <f t="shared" si="77"/>
        <v>105.58536585365853</v>
      </c>
      <c r="X48" s="37">
        <f t="shared" si="77"/>
        <v>105.89583333333333</v>
      </c>
      <c r="Y48" s="37">
        <f t="shared" si="77"/>
        <v>112.33333333333333</v>
      </c>
      <c r="Z48" s="37">
        <f t="shared" si="77"/>
        <v>99.5</v>
      </c>
      <c r="AA48" s="37">
        <f t="shared" si="77"/>
        <v>99.950819672131146</v>
      </c>
      <c r="AB48" s="37">
        <f t="shared" si="77"/>
        <v>109.44594594594595</v>
      </c>
      <c r="AC48" s="37">
        <f t="shared" si="77"/>
        <v>101.17647058823529</v>
      </c>
      <c r="AD48" s="37">
        <f t="shared" si="77"/>
        <v>102.06</v>
      </c>
      <c r="AE48" s="37">
        <f t="shared" si="77"/>
        <v>115.42857142857143</v>
      </c>
      <c r="AF48" s="37">
        <f t="shared" si="77"/>
        <v>116.89130434782609</v>
      </c>
      <c r="AG48" s="37">
        <f t="shared" si="77"/>
        <v>106.85714285714286</v>
      </c>
      <c r="AH48" s="37">
        <f t="shared" ref="AH48" si="78">+IFERROR(AH50/AH46,0)</f>
        <v>103.90384615384616</v>
      </c>
      <c r="AI48" s="173">
        <f>+AI50/AI46</f>
        <v>107.80732292917168</v>
      </c>
      <c r="AJ48" s="193">
        <f>+AJ50/AJ46</f>
        <v>107.80732292917168</v>
      </c>
    </row>
    <row r="49" spans="1:36" x14ac:dyDescent="0.3">
      <c r="A49" s="203"/>
      <c r="B49" s="33"/>
      <c r="C49" s="34" t="s">
        <v>18</v>
      </c>
      <c r="D49" s="37">
        <f>+D47*D48</f>
        <v>64.925531914893625</v>
      </c>
      <c r="E49" s="37">
        <f t="shared" ref="E49:AG49" si="79">+E47*E48</f>
        <v>28.063829787234042</v>
      </c>
      <c r="F49" s="37">
        <f t="shared" si="79"/>
        <v>45.117021276595743</v>
      </c>
      <c r="G49" s="37">
        <f t="shared" si="79"/>
        <v>31.617021276595743</v>
      </c>
      <c r="H49" s="37">
        <f t="shared" si="79"/>
        <v>36.414893617021278</v>
      </c>
      <c r="I49" s="37">
        <f t="shared" si="79"/>
        <v>35.808510638297875</v>
      </c>
      <c r="J49" s="37">
        <f t="shared" si="79"/>
        <v>56.691489361702118</v>
      </c>
      <c r="K49" s="37">
        <f t="shared" si="79"/>
        <v>77.829787234042556</v>
      </c>
      <c r="L49" s="37">
        <f t="shared" si="79"/>
        <v>27.861702127659573</v>
      </c>
      <c r="M49" s="37">
        <f t="shared" si="79"/>
        <v>87.127659574468069</v>
      </c>
      <c r="N49" s="37">
        <v>90.38297872340425</v>
      </c>
      <c r="O49" s="37">
        <f t="shared" si="79"/>
        <v>42.351063829787236</v>
      </c>
      <c r="P49" s="37">
        <f t="shared" si="79"/>
        <v>73.2340425531915</v>
      </c>
      <c r="Q49" s="37">
        <f t="shared" si="79"/>
        <v>71.180851063829792</v>
      </c>
      <c r="R49" s="37">
        <f t="shared" si="79"/>
        <v>87.776595744680847</v>
      </c>
      <c r="S49" s="37">
        <f t="shared" si="79"/>
        <v>46.531914893617021</v>
      </c>
      <c r="T49" s="37">
        <f t="shared" si="79"/>
        <v>44.787234042553195</v>
      </c>
      <c r="U49" s="37">
        <f t="shared" si="79"/>
        <v>70.5</v>
      </c>
      <c r="V49" s="37">
        <f t="shared" si="79"/>
        <v>61.89361702127659</v>
      </c>
      <c r="W49" s="37">
        <f t="shared" si="79"/>
        <v>46.053191489361701</v>
      </c>
      <c r="X49" s="37">
        <f t="shared" si="79"/>
        <v>54.074468085106375</v>
      </c>
      <c r="Y49" s="37">
        <f t="shared" si="79"/>
        <v>89.627659574468083</v>
      </c>
      <c r="Z49" s="37">
        <f t="shared" si="79"/>
        <v>40.223404255319146</v>
      </c>
      <c r="AA49" s="37">
        <f t="shared" si="79"/>
        <v>64.861702127659569</v>
      </c>
      <c r="AB49" s="37">
        <f t="shared" si="79"/>
        <v>86.159574468085111</v>
      </c>
      <c r="AC49" s="37">
        <f t="shared" si="79"/>
        <v>73.191489361702125</v>
      </c>
      <c r="AD49" s="37">
        <f t="shared" si="79"/>
        <v>54.287234042553195</v>
      </c>
      <c r="AE49" s="37">
        <f t="shared" si="79"/>
        <v>94.553191489361708</v>
      </c>
      <c r="AF49" s="37">
        <f t="shared" si="79"/>
        <v>114.40425531914894</v>
      </c>
      <c r="AG49" s="37">
        <f t="shared" si="79"/>
        <v>55.702127659574472</v>
      </c>
      <c r="AH49" s="37">
        <f t="shared" ref="AH49" si="80">+AH47*AH48</f>
        <v>57.478723404255327</v>
      </c>
      <c r="AI49" s="173">
        <f>+AI48*AI47</f>
        <v>1910.7127659574469</v>
      </c>
      <c r="AJ49" s="193">
        <f>+AJ47*AJ48</f>
        <v>1910.7127659574469</v>
      </c>
    </row>
    <row r="50" spans="1:36" x14ac:dyDescent="0.3">
      <c r="A50" s="203"/>
      <c r="B50" s="33"/>
      <c r="C50" s="34" t="s">
        <v>19</v>
      </c>
      <c r="D50" s="158">
        <v>6103</v>
      </c>
      <c r="E50" s="158">
        <v>2638</v>
      </c>
      <c r="F50" s="158">
        <v>4241</v>
      </c>
      <c r="G50" s="158">
        <v>2972</v>
      </c>
      <c r="H50" s="158">
        <v>3423</v>
      </c>
      <c r="I50" s="158">
        <v>3366</v>
      </c>
      <c r="J50" s="158">
        <v>5329</v>
      </c>
      <c r="K50" s="158">
        <v>7316</v>
      </c>
      <c r="L50" s="158">
        <v>2619</v>
      </c>
      <c r="M50" s="158">
        <v>8190</v>
      </c>
      <c r="N50" s="158">
        <v>8496</v>
      </c>
      <c r="O50" s="158">
        <v>3981</v>
      </c>
      <c r="P50" s="158">
        <v>6884</v>
      </c>
      <c r="Q50" s="158">
        <v>6691</v>
      </c>
      <c r="R50" s="158">
        <v>8251</v>
      </c>
      <c r="S50" s="158">
        <v>4374</v>
      </c>
      <c r="T50" s="158">
        <v>4210</v>
      </c>
      <c r="U50" s="158">
        <v>6627</v>
      </c>
      <c r="V50" s="158">
        <v>5818</v>
      </c>
      <c r="W50" s="158">
        <v>4329</v>
      </c>
      <c r="X50" s="158">
        <v>5083</v>
      </c>
      <c r="Y50" s="158">
        <v>8425</v>
      </c>
      <c r="Z50" s="158">
        <v>3781</v>
      </c>
      <c r="AA50" s="158">
        <v>6097</v>
      </c>
      <c r="AB50" s="158">
        <v>8099</v>
      </c>
      <c r="AC50" s="158">
        <v>6880</v>
      </c>
      <c r="AD50" s="158">
        <v>5103</v>
      </c>
      <c r="AE50" s="158">
        <v>8888</v>
      </c>
      <c r="AF50" s="158">
        <v>10754</v>
      </c>
      <c r="AG50" s="158">
        <v>5236</v>
      </c>
      <c r="AH50" s="158">
        <v>5403</v>
      </c>
      <c r="AI50" s="174">
        <f>SUM(D50:AH50)</f>
        <v>179607</v>
      </c>
      <c r="AJ50" s="191">
        <f>+AI50/$A$1*$AK$1</f>
        <v>5567817</v>
      </c>
    </row>
    <row r="51" spans="1:36" ht="15" thickBot="1" x14ac:dyDescent="0.35">
      <c r="A51" s="237"/>
      <c r="B51" s="40"/>
      <c r="C51" s="34" t="s">
        <v>20</v>
      </c>
      <c r="D51" s="49">
        <f>385.32/D50</f>
        <v>6.3136162543011631E-2</v>
      </c>
      <c r="E51" s="49">
        <f>435.57/E50</f>
        <v>0.16511372251705839</v>
      </c>
      <c r="F51" s="49">
        <f>804.6/F50</f>
        <v>0.18971940580051874</v>
      </c>
      <c r="G51" s="49">
        <f>1162.35/G50</f>
        <v>0.39110026917900403</v>
      </c>
      <c r="H51" s="49">
        <f>911.75/H50</f>
        <v>0.266359918200409</v>
      </c>
      <c r="I51" s="49">
        <f>843.09/I50</f>
        <v>0.25047237076648843</v>
      </c>
      <c r="J51" s="49">
        <f>954.54/J50</f>
        <v>0.17912178645149182</v>
      </c>
      <c r="K51" s="49">
        <f>662.12/K50</f>
        <v>9.050300710770913E-2</v>
      </c>
      <c r="L51" s="49">
        <f>1182.4/L50</f>
        <v>0.45147002672775871</v>
      </c>
      <c r="M51" s="49">
        <f>413.34/M50</f>
        <v>5.0468864468864463E-2</v>
      </c>
      <c r="N51" s="49">
        <f>288.48/N50</f>
        <v>3.3954802259887007E-2</v>
      </c>
      <c r="O51" s="49"/>
      <c r="P51" s="49">
        <f>1298/P50</f>
        <v>0.18855316676350958</v>
      </c>
      <c r="Q51" s="49">
        <f>1065.59/Q50</f>
        <v>0.15925721117919592</v>
      </c>
      <c r="R51" s="49"/>
      <c r="S51" s="49"/>
      <c r="T51" s="49">
        <f>726.68/T50</f>
        <v>0.17260807600950118</v>
      </c>
      <c r="U51" s="49">
        <f>1225.22/U50</f>
        <v>0.18488305417232534</v>
      </c>
      <c r="V51" s="49">
        <f>1165.91/V50</f>
        <v>0.20039704365761432</v>
      </c>
      <c r="W51" s="49">
        <f>838.1/W50</f>
        <v>0.19360129360129361</v>
      </c>
      <c r="X51" s="49">
        <f>1381.54/X50</f>
        <v>0.27179618335628564</v>
      </c>
      <c r="Y51" s="49">
        <f>887.23/Y50</f>
        <v>0.10530919881305638</v>
      </c>
      <c r="Z51" s="49">
        <f>1381.54/Z50</f>
        <v>0.36539010843692143</v>
      </c>
      <c r="AA51" s="49">
        <f>1345.42/AA50</f>
        <v>0.22066918156470397</v>
      </c>
      <c r="AB51" s="49">
        <f>1506.25/AB50</f>
        <v>0.18597975058649216</v>
      </c>
      <c r="AC51" s="49">
        <f>1601.85/AC50</f>
        <v>0.23282703488372092</v>
      </c>
      <c r="AD51" s="49">
        <f>1178.86/AD50</f>
        <v>0.23101312953164804</v>
      </c>
      <c r="AE51" s="49">
        <f>1190.96/AE50</f>
        <v>0.13399639963996399</v>
      </c>
      <c r="AF51" s="49">
        <f>1251.52/AF50</f>
        <v>0.11637716198623768</v>
      </c>
      <c r="AG51" s="49">
        <f>1576.56/AG50</f>
        <v>0.30110007639419401</v>
      </c>
      <c r="AH51" s="49">
        <f>2659.48/AH50</f>
        <v>0.49222283916342774</v>
      </c>
      <c r="AI51" s="175">
        <f>AVERAGE(D51:AG51)</f>
        <v>0.19982142246662468</v>
      </c>
      <c r="AJ51" s="227"/>
    </row>
    <row r="52" spans="1:36" ht="15" thickTop="1" x14ac:dyDescent="0.3">
      <c r="A52" s="237"/>
      <c r="B52" s="340" t="s">
        <v>77</v>
      </c>
      <c r="C52" s="341"/>
      <c r="D52" s="42">
        <f>(223.9+385.32)/(D44+D50)</f>
        <v>6.723540448074164E-2</v>
      </c>
      <c r="E52" s="42">
        <f>(223.8+435.57)/(E44+E50)</f>
        <v>0.12670445810914682</v>
      </c>
      <c r="F52" s="42">
        <f>(804.6+1098.87)/(F44+F50)</f>
        <v>0.30785540999514793</v>
      </c>
      <c r="G52" s="42">
        <f>(1162.35+1144.45)/(G44+G50)</f>
        <v>0.5418839558374442</v>
      </c>
      <c r="H52" s="42">
        <f>(911.75+917.49)/(H44+H50)</f>
        <v>0.34949178448605273</v>
      </c>
      <c r="I52" s="42">
        <f>(779.48+843.09)/(I44+I50)</f>
        <v>0.32601366284910593</v>
      </c>
      <c r="J52" s="42">
        <f>(954.54+585.95)/(K44+K50)</f>
        <v>0.10111519527404005</v>
      </c>
      <c r="K52" s="42">
        <f>(662.12+1098.19)/(K44+K50)</f>
        <v>0.11554381358713488</v>
      </c>
      <c r="L52" s="42">
        <f>(512.54+1182)/(L44+L50)</f>
        <v>0.34323273242860036</v>
      </c>
      <c r="M52" s="42">
        <f>(413.34+696.49)/(M44+M50)</f>
        <v>0.10348065268065268</v>
      </c>
      <c r="N52" s="42">
        <f>(288.48+781.39)/(N44+N50)</f>
        <v>8.8756429401028694E-2</v>
      </c>
      <c r="O52" s="42"/>
      <c r="P52" s="42">
        <f>(913.61+1298)/(P44+P50)</f>
        <v>0.22256314783133743</v>
      </c>
      <c r="Q52" s="42">
        <f>(884.73+1065.59)/(Q44+Q50)</f>
        <v>0.16074507541415972</v>
      </c>
      <c r="R52" s="42"/>
      <c r="S52" s="42"/>
      <c r="T52" s="42">
        <f>(1039.16+726.68)/(T44+T50)</f>
        <v>0.25136512455516014</v>
      </c>
      <c r="U52" s="42">
        <f>(1225.22+1346.52)/(U44+U50)</f>
        <v>0.26111686465631029</v>
      </c>
      <c r="V52" s="42">
        <f>(1170.84+1165.91)/(V44+V50)</f>
        <v>0.25889098160868601</v>
      </c>
      <c r="W52" s="42">
        <f>(1384.91+838.1)/(W44+W50)</f>
        <v>0.2930797626895188</v>
      </c>
      <c r="X52" s="42">
        <f>(679.15+1381.54)/(X44+X50)</f>
        <v>0.17623278884802873</v>
      </c>
      <c r="Y52" s="42">
        <f>(220.92+887.23)/(Y44+Y50)</f>
        <v>6.734427225767245E-2</v>
      </c>
      <c r="Z52" s="42">
        <f>(679.15+1381.54)/(Z44+Z50)</f>
        <v>0.28628646846346206</v>
      </c>
      <c r="AA52" s="42">
        <f>(1345.42+1161.18)/(AA44+AA50)</f>
        <v>0.24262968530544568</v>
      </c>
      <c r="AB52" s="42">
        <f>(1506.25+1057.95)/(AB44+AB50)</f>
        <v>0.20031247558784468</v>
      </c>
      <c r="AC52" s="42">
        <f>(1059.52+1601.85)/(AC44+AC50)</f>
        <v>0.22434207198853579</v>
      </c>
      <c r="AD52" s="42">
        <f>(1051.7+1178.86)/(AD44+AD50)</f>
        <v>0.21742470026318353</v>
      </c>
      <c r="AE52" s="42">
        <f>(1190.96+683.24)/(AE44+AE50)</f>
        <v>0.11318316323449484</v>
      </c>
      <c r="AF52" s="42">
        <f>(278.93+1251.52)/(AF44+AF50)</f>
        <v>7.4463581958838135E-2</v>
      </c>
      <c r="AG52" s="42">
        <f>(1576.56+418.37)/(AG44+AG50)</f>
        <v>0.1828198313782991</v>
      </c>
      <c r="AH52" s="42">
        <f>(1663.81+2659.48)/(AH44+AH50)</f>
        <v>0.48922598166798686</v>
      </c>
      <c r="AI52" s="182">
        <f>AVERAGE(D52:AG52)</f>
        <v>0.21126346278407682</v>
      </c>
      <c r="AJ52" s="235"/>
    </row>
    <row r="53" spans="1:36" ht="15" thickBot="1" x14ac:dyDescent="0.35">
      <c r="A53" s="237"/>
      <c r="B53" s="342" t="s">
        <v>78</v>
      </c>
      <c r="C53" s="343"/>
      <c r="D53" s="42">
        <f t="shared" ref="D53:M53" si="81">D52</f>
        <v>6.723540448074164E-2</v>
      </c>
      <c r="E53" s="42">
        <f t="shared" si="81"/>
        <v>0.12670445810914682</v>
      </c>
      <c r="F53" s="42">
        <f t="shared" si="81"/>
        <v>0.30785540999514793</v>
      </c>
      <c r="G53" s="42">
        <f t="shared" si="81"/>
        <v>0.5418839558374442</v>
      </c>
      <c r="H53" s="42">
        <f t="shared" si="81"/>
        <v>0.34949178448605273</v>
      </c>
      <c r="I53" s="42">
        <f t="shared" si="81"/>
        <v>0.32601366284910593</v>
      </c>
      <c r="J53" s="42">
        <f t="shared" si="81"/>
        <v>0.10111519527404005</v>
      </c>
      <c r="K53" s="42">
        <f t="shared" si="81"/>
        <v>0.11554381358713488</v>
      </c>
      <c r="L53" s="42">
        <f t="shared" si="81"/>
        <v>0.34323273242860036</v>
      </c>
      <c r="M53" s="42">
        <f t="shared" si="81"/>
        <v>0.10348065268065268</v>
      </c>
      <c r="N53" s="42">
        <f>N52</f>
        <v>8.8756429401028694E-2</v>
      </c>
      <c r="O53" s="42"/>
      <c r="P53" s="42">
        <f>P52</f>
        <v>0.22256314783133743</v>
      </c>
      <c r="Q53" s="42">
        <f>Q52</f>
        <v>0.16074507541415972</v>
      </c>
      <c r="R53" s="42"/>
      <c r="S53" s="42"/>
      <c r="T53" s="42">
        <f t="shared" ref="T53:AA53" si="82">T52</f>
        <v>0.25136512455516014</v>
      </c>
      <c r="U53" s="42">
        <f t="shared" si="82"/>
        <v>0.26111686465631029</v>
      </c>
      <c r="V53" s="42">
        <f t="shared" si="82"/>
        <v>0.25889098160868601</v>
      </c>
      <c r="W53" s="42">
        <f t="shared" si="82"/>
        <v>0.2930797626895188</v>
      </c>
      <c r="X53" s="42">
        <f t="shared" si="82"/>
        <v>0.17623278884802873</v>
      </c>
      <c r="Y53" s="42">
        <f t="shared" si="82"/>
        <v>6.734427225767245E-2</v>
      </c>
      <c r="Z53" s="42">
        <f t="shared" si="82"/>
        <v>0.28628646846346206</v>
      </c>
      <c r="AA53" s="42">
        <f t="shared" si="82"/>
        <v>0.24262968530544568</v>
      </c>
      <c r="AB53" s="42">
        <f t="shared" ref="AB53:AH53" si="83">AB52</f>
        <v>0.20031247558784468</v>
      </c>
      <c r="AC53" s="42">
        <f t="shared" si="83"/>
        <v>0.22434207198853579</v>
      </c>
      <c r="AD53" s="42">
        <f t="shared" si="83"/>
        <v>0.21742470026318353</v>
      </c>
      <c r="AE53" s="42">
        <f t="shared" si="83"/>
        <v>0.11318316323449484</v>
      </c>
      <c r="AF53" s="42">
        <f t="shared" si="83"/>
        <v>7.4463581958838135E-2</v>
      </c>
      <c r="AG53" s="42">
        <f t="shared" si="83"/>
        <v>0.1828198313782991</v>
      </c>
      <c r="AH53" s="42">
        <f t="shared" si="83"/>
        <v>0.48922598166798686</v>
      </c>
      <c r="AI53" s="182">
        <f>AVERAGE(D53:AG53)</f>
        <v>0.21126346278407682</v>
      </c>
      <c r="AJ53" s="227"/>
    </row>
    <row r="54" spans="1:36" x14ac:dyDescent="0.3">
      <c r="A54" s="203">
        <v>133</v>
      </c>
      <c r="B54" s="159" t="s">
        <v>30</v>
      </c>
      <c r="C54" s="160" t="s">
        <v>15</v>
      </c>
      <c r="D54" s="207">
        <v>112</v>
      </c>
      <c r="E54" s="207">
        <v>70</v>
      </c>
      <c r="F54" s="207">
        <v>79</v>
      </c>
      <c r="G54" s="207">
        <v>79</v>
      </c>
      <c r="H54" s="207">
        <v>79</v>
      </c>
      <c r="I54" s="207">
        <v>99</v>
      </c>
      <c r="J54" s="207">
        <v>107</v>
      </c>
      <c r="K54" s="207">
        <v>113</v>
      </c>
      <c r="L54" s="207">
        <v>91</v>
      </c>
      <c r="M54" s="207">
        <v>97</v>
      </c>
      <c r="N54" s="207">
        <v>79</v>
      </c>
      <c r="O54" s="207">
        <v>100</v>
      </c>
      <c r="P54" s="207">
        <v>95</v>
      </c>
      <c r="Q54" s="207">
        <v>110</v>
      </c>
      <c r="R54" s="207">
        <v>102</v>
      </c>
      <c r="S54" s="207">
        <v>108</v>
      </c>
      <c r="T54" s="207">
        <v>78</v>
      </c>
      <c r="U54" s="207">
        <v>90</v>
      </c>
      <c r="V54" s="207">
        <v>106</v>
      </c>
      <c r="W54" s="207">
        <v>109</v>
      </c>
      <c r="X54" s="207">
        <v>102</v>
      </c>
      <c r="Y54" s="207">
        <v>112</v>
      </c>
      <c r="Z54" s="207">
        <v>72</v>
      </c>
      <c r="AA54" s="207">
        <v>86</v>
      </c>
      <c r="AB54" s="207">
        <v>87</v>
      </c>
      <c r="AC54" s="207">
        <v>87</v>
      </c>
      <c r="AD54" s="207">
        <v>87</v>
      </c>
      <c r="AE54" s="207">
        <v>96</v>
      </c>
      <c r="AF54" s="207">
        <v>117</v>
      </c>
      <c r="AG54" s="207">
        <v>66</v>
      </c>
      <c r="AH54" s="207">
        <v>34</v>
      </c>
      <c r="AI54" s="208">
        <f>SUM(D54:AH54)</f>
        <v>2849</v>
      </c>
      <c r="AJ54" s="209">
        <f>+$AI54/$A$1*$AK$1</f>
        <v>88319</v>
      </c>
    </row>
    <row r="55" spans="1:36" x14ac:dyDescent="0.3">
      <c r="A55" s="203"/>
      <c r="B55" s="162"/>
      <c r="C55" s="163" t="s">
        <v>16</v>
      </c>
      <c r="D55" s="164">
        <f>D54/$A$54</f>
        <v>0.84210526315789469</v>
      </c>
      <c r="E55" s="164">
        <f t="shared" ref="E55:W55" si="84">E54/$A$54</f>
        <v>0.52631578947368418</v>
      </c>
      <c r="F55" s="164">
        <f t="shared" si="84"/>
        <v>0.59398496240601506</v>
      </c>
      <c r="G55" s="164">
        <f t="shared" si="84"/>
        <v>0.59398496240601506</v>
      </c>
      <c r="H55" s="164">
        <f t="shared" si="84"/>
        <v>0.59398496240601506</v>
      </c>
      <c r="I55" s="164">
        <f t="shared" si="84"/>
        <v>0.74436090225563911</v>
      </c>
      <c r="J55" s="164">
        <f t="shared" si="84"/>
        <v>0.80451127819548873</v>
      </c>
      <c r="K55" s="164">
        <f t="shared" si="84"/>
        <v>0.84962406015037595</v>
      </c>
      <c r="L55" s="164">
        <f t="shared" si="84"/>
        <v>0.68421052631578949</v>
      </c>
      <c r="M55" s="164">
        <f t="shared" si="84"/>
        <v>0.72932330827067671</v>
      </c>
      <c r="N55" s="164">
        <v>0.59398496240601506</v>
      </c>
      <c r="O55" s="164">
        <f t="shared" si="84"/>
        <v>0.75187969924812026</v>
      </c>
      <c r="P55" s="164">
        <f t="shared" si="84"/>
        <v>0.7142857142857143</v>
      </c>
      <c r="Q55" s="164">
        <f t="shared" si="84"/>
        <v>0.82706766917293228</v>
      </c>
      <c r="R55" s="164">
        <f t="shared" si="84"/>
        <v>0.76691729323308266</v>
      </c>
      <c r="S55" s="164">
        <f t="shared" si="84"/>
        <v>0.81203007518796988</v>
      </c>
      <c r="T55" s="164">
        <f t="shared" si="84"/>
        <v>0.5864661654135338</v>
      </c>
      <c r="U55" s="164">
        <f t="shared" si="84"/>
        <v>0.67669172932330823</v>
      </c>
      <c r="V55" s="164">
        <f t="shared" si="84"/>
        <v>0.79699248120300747</v>
      </c>
      <c r="W55" s="164">
        <f t="shared" si="84"/>
        <v>0.81954887218045114</v>
      </c>
      <c r="X55" s="164">
        <f>X54/$A$54</f>
        <v>0.76691729323308266</v>
      </c>
      <c r="Y55" s="164">
        <f t="shared" ref="Y55:AG55" si="85">Y54/$A$54</f>
        <v>0.84210526315789469</v>
      </c>
      <c r="Z55" s="164">
        <f t="shared" si="85"/>
        <v>0.54135338345864659</v>
      </c>
      <c r="AA55" s="164">
        <f t="shared" si="85"/>
        <v>0.64661654135338342</v>
      </c>
      <c r="AB55" s="164">
        <f t="shared" si="85"/>
        <v>0.65413533834586468</v>
      </c>
      <c r="AC55" s="164">
        <f t="shared" si="85"/>
        <v>0.65413533834586468</v>
      </c>
      <c r="AD55" s="164">
        <f t="shared" si="85"/>
        <v>0.65413533834586468</v>
      </c>
      <c r="AE55" s="164">
        <f t="shared" si="85"/>
        <v>0.72180451127819545</v>
      </c>
      <c r="AF55" s="164">
        <f t="shared" si="85"/>
        <v>0.87969924812030076</v>
      </c>
      <c r="AG55" s="164">
        <f t="shared" si="85"/>
        <v>0.49624060150375937</v>
      </c>
      <c r="AH55" s="164">
        <f t="shared" ref="AH55" si="86">AH54/$A$54</f>
        <v>0.25563909774436089</v>
      </c>
      <c r="AI55" s="177">
        <f>+AI54/(A54*A$1)</f>
        <v>21.421052631578949</v>
      </c>
      <c r="AJ55" s="210">
        <f>AJ54/($A54*31)</f>
        <v>21.421052631578949</v>
      </c>
    </row>
    <row r="56" spans="1:36" x14ac:dyDescent="0.3">
      <c r="A56" s="203"/>
      <c r="B56" s="162"/>
      <c r="C56" s="163" t="s">
        <v>17</v>
      </c>
      <c r="D56" s="165">
        <f>+IFERROR(D58/D54,0)</f>
        <v>106.875</v>
      </c>
      <c r="E56" s="165">
        <f t="shared" ref="E56:V56" si="87">+IFERROR(E64/E54,0)</f>
        <v>186.71428571428572</v>
      </c>
      <c r="F56" s="165">
        <f t="shared" si="87"/>
        <v>185.8860759493671</v>
      </c>
      <c r="G56" s="165">
        <f t="shared" si="87"/>
        <v>192.81012658227849</v>
      </c>
      <c r="H56" s="165">
        <f t="shared" si="87"/>
        <v>181.96202531645571</v>
      </c>
      <c r="I56" s="165">
        <f t="shared" si="87"/>
        <v>178.37373737373738</v>
      </c>
      <c r="J56" s="165">
        <f t="shared" si="87"/>
        <v>173.07476635514018</v>
      </c>
      <c r="K56" s="165">
        <f t="shared" si="87"/>
        <v>167.31858407079645</v>
      </c>
      <c r="L56" s="165">
        <f t="shared" si="87"/>
        <v>164.24175824175825</v>
      </c>
      <c r="M56" s="165">
        <f t="shared" si="87"/>
        <v>168.5979381443299</v>
      </c>
      <c r="N56" s="165">
        <v>196.27848101265823</v>
      </c>
      <c r="O56" s="165">
        <f t="shared" si="87"/>
        <v>181.14</v>
      </c>
      <c r="P56" s="165">
        <f t="shared" si="87"/>
        <v>175.85263157894738</v>
      </c>
      <c r="Q56" s="165">
        <f t="shared" si="87"/>
        <v>166.46363636363637</v>
      </c>
      <c r="R56" s="165">
        <f t="shared" si="87"/>
        <v>168.10784313725489</v>
      </c>
      <c r="S56" s="165">
        <f t="shared" si="87"/>
        <v>158.62037037037038</v>
      </c>
      <c r="T56" s="165">
        <f t="shared" si="87"/>
        <v>187.25641025641025</v>
      </c>
      <c r="U56" s="165">
        <f t="shared" si="87"/>
        <v>191.72222222222223</v>
      </c>
      <c r="V56" s="165">
        <f t="shared" si="87"/>
        <v>182.20754716981133</v>
      </c>
      <c r="W56" s="165">
        <f>+IFERROR(W58/W54,0)</f>
        <v>105.08256880733946</v>
      </c>
      <c r="X56" s="165">
        <f t="shared" ref="X56:AH56" si="88">+IFERROR(X58/X54,0)</f>
        <v>109.23205882352941</v>
      </c>
      <c r="Y56" s="165">
        <f t="shared" si="88"/>
        <v>103.1875</v>
      </c>
      <c r="Z56" s="165">
        <f t="shared" si="88"/>
        <v>97.472222222222229</v>
      </c>
      <c r="AA56" s="165">
        <f t="shared" si="88"/>
        <v>105</v>
      </c>
      <c r="AB56" s="165">
        <f t="shared" si="88"/>
        <v>109.97701149425288</v>
      </c>
      <c r="AC56" s="165">
        <f t="shared" si="88"/>
        <v>108.18390804597701</v>
      </c>
      <c r="AD56" s="165">
        <f t="shared" si="88"/>
        <v>84.988505747126439</v>
      </c>
      <c r="AE56" s="165">
        <f t="shared" si="88"/>
        <v>101</v>
      </c>
      <c r="AF56" s="165">
        <f t="shared" si="88"/>
        <v>106.08547008547009</v>
      </c>
      <c r="AG56" s="165">
        <f t="shared" si="88"/>
        <v>101.18181818181819</v>
      </c>
      <c r="AH56" s="165">
        <f t="shared" si="88"/>
        <v>104.26470588235294</v>
      </c>
      <c r="AI56" s="178">
        <f>+AI58/AI54</f>
        <v>105.57412074412076</v>
      </c>
      <c r="AJ56" s="211">
        <f>+AJ58/AJ54</f>
        <v>105.57412074412076</v>
      </c>
    </row>
    <row r="57" spans="1:36" x14ac:dyDescent="0.3">
      <c r="A57" s="203"/>
      <c r="B57" s="162"/>
      <c r="C57" s="163" t="s">
        <v>18</v>
      </c>
      <c r="D57" s="165">
        <f>+D55*D56</f>
        <v>90</v>
      </c>
      <c r="E57" s="165">
        <f t="shared" ref="E57:AG57" si="89">+E55*E56</f>
        <v>98.270676691729321</v>
      </c>
      <c r="F57" s="165">
        <f t="shared" si="89"/>
        <v>110.41353383458647</v>
      </c>
      <c r="G57" s="165">
        <f t="shared" si="89"/>
        <v>114.52631578947368</v>
      </c>
      <c r="H57" s="165">
        <f t="shared" si="89"/>
        <v>108.0827067669173</v>
      </c>
      <c r="I57" s="165">
        <f t="shared" si="89"/>
        <v>132.77443609022558</v>
      </c>
      <c r="J57" s="165">
        <f t="shared" si="89"/>
        <v>139.24060150375939</v>
      </c>
      <c r="K57" s="165">
        <f t="shared" si="89"/>
        <v>142.15789473684211</v>
      </c>
      <c r="L57" s="165">
        <f t="shared" si="89"/>
        <v>112.37593984962406</v>
      </c>
      <c r="M57" s="165">
        <f t="shared" si="89"/>
        <v>122.9624060150376</v>
      </c>
      <c r="N57" s="165">
        <v>116.58646616541354</v>
      </c>
      <c r="O57" s="165">
        <f t="shared" si="89"/>
        <v>136.19548872180448</v>
      </c>
      <c r="P57" s="165">
        <f t="shared" si="89"/>
        <v>125.60902255639098</v>
      </c>
      <c r="Q57" s="165">
        <f t="shared" si="89"/>
        <v>137.6766917293233</v>
      </c>
      <c r="R57" s="165">
        <f t="shared" si="89"/>
        <v>128.92481203007517</v>
      </c>
      <c r="S57" s="165">
        <f t="shared" si="89"/>
        <v>128.80451127819549</v>
      </c>
      <c r="T57" s="165">
        <f t="shared" si="89"/>
        <v>109.81954887218043</v>
      </c>
      <c r="U57" s="165">
        <f t="shared" si="89"/>
        <v>129.73684210526315</v>
      </c>
      <c r="V57" s="165">
        <f t="shared" si="89"/>
        <v>145.21804511278197</v>
      </c>
      <c r="W57" s="165">
        <f t="shared" si="89"/>
        <v>86.120300751879711</v>
      </c>
      <c r="X57" s="165">
        <f t="shared" si="89"/>
        <v>83.771954887218044</v>
      </c>
      <c r="Y57" s="165">
        <f t="shared" si="89"/>
        <v>86.89473684210526</v>
      </c>
      <c r="Z57" s="165">
        <f t="shared" si="89"/>
        <v>52.766917293233085</v>
      </c>
      <c r="AA57" s="165">
        <f t="shared" si="89"/>
        <v>67.89473684210526</v>
      </c>
      <c r="AB57" s="165">
        <f t="shared" si="89"/>
        <v>71.939849624060159</v>
      </c>
      <c r="AC57" s="165">
        <f t="shared" si="89"/>
        <v>70.766917293233078</v>
      </c>
      <c r="AD57" s="165">
        <f t="shared" si="89"/>
        <v>55.593984962406019</v>
      </c>
      <c r="AE57" s="165">
        <f t="shared" si="89"/>
        <v>72.902255639097746</v>
      </c>
      <c r="AF57" s="165">
        <f t="shared" si="89"/>
        <v>93.323308270676705</v>
      </c>
      <c r="AG57" s="165">
        <f t="shared" si="89"/>
        <v>50.210526315789473</v>
      </c>
      <c r="AH57" s="165">
        <f t="shared" ref="AH57" si="90">+AH55*AH56</f>
        <v>26.654135338345863</v>
      </c>
      <c r="AI57" s="178">
        <f>+AI55*AI56</f>
        <v>2261.5087969924816</v>
      </c>
      <c r="AJ57" s="211">
        <f>+AJ55*AJ56</f>
        <v>2261.5087969924816</v>
      </c>
    </row>
    <row r="58" spans="1:36" s="248" customFormat="1" ht="15" thickBot="1" x14ac:dyDescent="0.35">
      <c r="A58" s="238"/>
      <c r="B58" s="212"/>
      <c r="C58" s="213" t="s">
        <v>31</v>
      </c>
      <c r="D58" s="214">
        <v>11970</v>
      </c>
      <c r="E58" s="214">
        <v>6939</v>
      </c>
      <c r="F58" s="214">
        <v>8371</v>
      </c>
      <c r="G58" s="214">
        <v>8924</v>
      </c>
      <c r="H58" s="214">
        <v>8511</v>
      </c>
      <c r="I58" s="214">
        <v>11390</v>
      </c>
      <c r="J58" s="214">
        <v>11714</v>
      </c>
      <c r="K58" s="214">
        <v>12049</v>
      </c>
      <c r="L58" s="214">
        <v>9132</v>
      </c>
      <c r="M58" s="214">
        <v>10106</v>
      </c>
      <c r="N58" s="214">
        <v>8323</v>
      </c>
      <c r="O58" s="214">
        <v>10931</v>
      </c>
      <c r="P58" s="214">
        <v>10127</v>
      </c>
      <c r="Q58" s="214">
        <v>12321</v>
      </c>
      <c r="R58" s="214">
        <v>11197</v>
      </c>
      <c r="S58" s="214">
        <v>10734</v>
      </c>
      <c r="T58" s="214">
        <v>8310</v>
      </c>
      <c r="U58" s="214">
        <v>9360</v>
      </c>
      <c r="V58" s="214">
        <v>11466</v>
      </c>
      <c r="W58" s="214">
        <v>11454</v>
      </c>
      <c r="X58" s="214">
        <v>11141.67</v>
      </c>
      <c r="Y58" s="214">
        <v>11557</v>
      </c>
      <c r="Z58" s="214">
        <v>7018</v>
      </c>
      <c r="AA58" s="214">
        <v>9030</v>
      </c>
      <c r="AB58" s="214">
        <v>9568</v>
      </c>
      <c r="AC58" s="214">
        <v>9412</v>
      </c>
      <c r="AD58" s="214">
        <v>7394</v>
      </c>
      <c r="AE58" s="214">
        <v>9696</v>
      </c>
      <c r="AF58" s="214">
        <v>12412</v>
      </c>
      <c r="AG58" s="214">
        <v>6678</v>
      </c>
      <c r="AH58" s="214">
        <v>3545</v>
      </c>
      <c r="AI58" s="215">
        <f>SUM(D58:AH58)</f>
        <v>300780.67000000004</v>
      </c>
      <c r="AJ58" s="216">
        <f>+AI58/$A$1*$AK$1</f>
        <v>9324200.7700000014</v>
      </c>
    </row>
    <row r="59" spans="1:36" x14ac:dyDescent="0.3">
      <c r="A59" s="203">
        <v>91</v>
      </c>
      <c r="B59" s="159" t="s">
        <v>32</v>
      </c>
      <c r="C59" s="160" t="s">
        <v>15</v>
      </c>
      <c r="D59" s="207">
        <v>85</v>
      </c>
      <c r="E59" s="207">
        <v>83</v>
      </c>
      <c r="F59" s="207">
        <v>87</v>
      </c>
      <c r="G59" s="207">
        <v>84</v>
      </c>
      <c r="H59" s="207">
        <v>82</v>
      </c>
      <c r="I59" s="207">
        <v>84</v>
      </c>
      <c r="J59" s="207">
        <v>87</v>
      </c>
      <c r="K59" s="207">
        <v>89</v>
      </c>
      <c r="L59" s="207">
        <v>83</v>
      </c>
      <c r="M59" s="207">
        <v>86</v>
      </c>
      <c r="N59" s="207">
        <v>88</v>
      </c>
      <c r="O59" s="207">
        <v>86</v>
      </c>
      <c r="P59" s="207">
        <v>85</v>
      </c>
      <c r="Q59" s="207">
        <v>84</v>
      </c>
      <c r="R59" s="207">
        <v>86</v>
      </c>
      <c r="S59" s="207">
        <v>87</v>
      </c>
      <c r="T59" s="207">
        <v>85</v>
      </c>
      <c r="U59" s="207">
        <v>89</v>
      </c>
      <c r="V59" s="207">
        <v>88</v>
      </c>
      <c r="W59" s="207">
        <v>86</v>
      </c>
      <c r="X59" s="207">
        <v>87</v>
      </c>
      <c r="Y59" s="207">
        <v>87</v>
      </c>
      <c r="Z59" s="207">
        <v>78</v>
      </c>
      <c r="AA59" s="207">
        <v>87</v>
      </c>
      <c r="AB59" s="207">
        <v>88</v>
      </c>
      <c r="AC59" s="207">
        <v>87</v>
      </c>
      <c r="AD59" s="207">
        <v>56</v>
      </c>
      <c r="AE59" s="207">
        <v>83</v>
      </c>
      <c r="AF59" s="207">
        <v>84</v>
      </c>
      <c r="AG59" s="207">
        <v>88</v>
      </c>
      <c r="AH59" s="207">
        <v>77</v>
      </c>
      <c r="AI59" s="208">
        <f>SUM(D59:AH59)</f>
        <v>2616</v>
      </c>
      <c r="AJ59" s="217">
        <f>+$AI59/$A$1*$AK$1</f>
        <v>81096</v>
      </c>
    </row>
    <row r="60" spans="1:36" x14ac:dyDescent="0.3">
      <c r="A60" s="203"/>
      <c r="B60" s="162"/>
      <c r="C60" s="163" t="s">
        <v>16</v>
      </c>
      <c r="D60" s="164">
        <f>D59/$A$54</f>
        <v>0.63909774436090228</v>
      </c>
      <c r="E60" s="164">
        <f t="shared" ref="E60:W60" si="91">E59/$A$54</f>
        <v>0.62406015037593987</v>
      </c>
      <c r="F60" s="164">
        <f t="shared" si="91"/>
        <v>0.65413533834586468</v>
      </c>
      <c r="G60" s="164">
        <f t="shared" si="91"/>
        <v>0.63157894736842102</v>
      </c>
      <c r="H60" s="164">
        <f t="shared" si="91"/>
        <v>0.61654135338345861</v>
      </c>
      <c r="I60" s="164">
        <f t="shared" si="91"/>
        <v>0.63157894736842102</v>
      </c>
      <c r="J60" s="164">
        <f t="shared" si="91"/>
        <v>0.65413533834586468</v>
      </c>
      <c r="K60" s="164">
        <f t="shared" si="91"/>
        <v>0.66917293233082709</v>
      </c>
      <c r="L60" s="164">
        <f t="shared" si="91"/>
        <v>0.62406015037593987</v>
      </c>
      <c r="M60" s="164">
        <f t="shared" si="91"/>
        <v>0.64661654135338342</v>
      </c>
      <c r="N60" s="164">
        <v>0.66165413533834583</v>
      </c>
      <c r="O60" s="164">
        <f>+O59/A59</f>
        <v>0.94505494505494503</v>
      </c>
      <c r="P60" s="164">
        <f t="shared" si="91"/>
        <v>0.63909774436090228</v>
      </c>
      <c r="Q60" s="164">
        <f t="shared" si="91"/>
        <v>0.63157894736842102</v>
      </c>
      <c r="R60" s="164">
        <f t="shared" si="91"/>
        <v>0.64661654135338342</v>
      </c>
      <c r="S60" s="164">
        <f t="shared" si="91"/>
        <v>0.65413533834586468</v>
      </c>
      <c r="T60" s="164">
        <f t="shared" si="91"/>
        <v>0.63909774436090228</v>
      </c>
      <c r="U60" s="164">
        <f t="shared" si="91"/>
        <v>0.66917293233082709</v>
      </c>
      <c r="V60" s="164">
        <f t="shared" si="91"/>
        <v>0.66165413533834583</v>
      </c>
      <c r="W60" s="164">
        <f t="shared" si="91"/>
        <v>0.64661654135338342</v>
      </c>
      <c r="X60" s="164">
        <f>X59/$A$59</f>
        <v>0.95604395604395609</v>
      </c>
      <c r="Y60" s="164">
        <f t="shared" ref="Y60:AG60" si="92">Y59/$A$59</f>
        <v>0.95604395604395609</v>
      </c>
      <c r="Z60" s="164">
        <f t="shared" si="92"/>
        <v>0.8571428571428571</v>
      </c>
      <c r="AA60" s="164">
        <f t="shared" si="92"/>
        <v>0.95604395604395609</v>
      </c>
      <c r="AB60" s="164">
        <f t="shared" si="92"/>
        <v>0.96703296703296704</v>
      </c>
      <c r="AC60" s="164">
        <f t="shared" si="92"/>
        <v>0.95604395604395609</v>
      </c>
      <c r="AD60" s="164">
        <f t="shared" si="92"/>
        <v>0.61538461538461542</v>
      </c>
      <c r="AE60" s="164">
        <f t="shared" si="92"/>
        <v>0.91208791208791207</v>
      </c>
      <c r="AF60" s="164">
        <f t="shared" si="92"/>
        <v>0.92307692307692313</v>
      </c>
      <c r="AG60" s="164">
        <f t="shared" si="92"/>
        <v>0.96703296703296704</v>
      </c>
      <c r="AH60" s="164">
        <f t="shared" ref="AH60" si="93">AH59/$A$59</f>
        <v>0.84615384615384615</v>
      </c>
      <c r="AI60" s="177">
        <f>+AI59/(A59*A$1)</f>
        <v>28.747252747252748</v>
      </c>
      <c r="AJ60" s="197">
        <f>AJ59/($A59*31)</f>
        <v>28.747252747252748</v>
      </c>
    </row>
    <row r="61" spans="1:36" x14ac:dyDescent="0.3">
      <c r="A61" s="203"/>
      <c r="B61" s="162"/>
      <c r="C61" s="163" t="s">
        <v>17</v>
      </c>
      <c r="D61" s="165">
        <f>+IFERROR(D63/D59,0)</f>
        <v>75.047058823529412</v>
      </c>
      <c r="E61" s="165">
        <f t="shared" ref="E61:Q61" si="94">+IFERROR(E63/E59,0)</f>
        <v>73.867469879518069</v>
      </c>
      <c r="F61" s="165">
        <f t="shared" si="94"/>
        <v>72.574712643678154</v>
      </c>
      <c r="G61" s="165">
        <f t="shared" si="94"/>
        <v>75.095238095238102</v>
      </c>
      <c r="H61" s="165">
        <f t="shared" si="94"/>
        <v>71.512195121951223</v>
      </c>
      <c r="I61" s="165">
        <f t="shared" si="94"/>
        <v>74.63095238095238</v>
      </c>
      <c r="J61" s="165">
        <f t="shared" si="94"/>
        <v>78.218390804597703</v>
      </c>
      <c r="K61" s="165">
        <f t="shared" si="94"/>
        <v>77.056179775280896</v>
      </c>
      <c r="L61" s="165">
        <f t="shared" si="94"/>
        <v>70.048192771084331</v>
      </c>
      <c r="M61" s="165">
        <f t="shared" si="94"/>
        <v>72.651162790697668</v>
      </c>
      <c r="N61" s="165">
        <v>81.625</v>
      </c>
      <c r="O61" s="165">
        <f t="shared" si="94"/>
        <v>83.523255813953483</v>
      </c>
      <c r="P61" s="165">
        <f t="shared" si="94"/>
        <v>77.400000000000006</v>
      </c>
      <c r="Q61" s="165">
        <f t="shared" si="94"/>
        <v>71.30952380952381</v>
      </c>
      <c r="R61" s="165">
        <f t="shared" ref="R61:AG61" si="95">+IFERROR(R63/R59,0)</f>
        <v>69.186046511627907</v>
      </c>
      <c r="S61" s="165">
        <f t="shared" si="95"/>
        <v>73.52873563218391</v>
      </c>
      <c r="T61" s="165">
        <f t="shared" si="95"/>
        <v>74.070588235294125</v>
      </c>
      <c r="U61" s="165">
        <f t="shared" si="95"/>
        <v>88.707865168539328</v>
      </c>
      <c r="V61" s="165">
        <f t="shared" si="95"/>
        <v>89.181818181818187</v>
      </c>
      <c r="W61" s="165">
        <f t="shared" si="95"/>
        <v>83.151162790697668</v>
      </c>
      <c r="X61" s="165">
        <f t="shared" si="95"/>
        <v>81.222988505747125</v>
      </c>
      <c r="Y61" s="165">
        <f t="shared" si="95"/>
        <v>86.735632183908052</v>
      </c>
      <c r="Z61" s="165">
        <f t="shared" si="95"/>
        <v>79.42307692307692</v>
      </c>
      <c r="AA61" s="165">
        <f t="shared" si="95"/>
        <v>87.827586206896555</v>
      </c>
      <c r="AB61" s="165">
        <f t="shared" si="95"/>
        <v>87.86363636363636</v>
      </c>
      <c r="AC61" s="165">
        <f t="shared" si="95"/>
        <v>89.262643678160927</v>
      </c>
      <c r="AD61" s="165">
        <f t="shared" si="95"/>
        <v>102.71428571428571</v>
      </c>
      <c r="AE61" s="165">
        <f t="shared" si="95"/>
        <v>83.614457831325296</v>
      </c>
      <c r="AF61" s="165">
        <f t="shared" si="95"/>
        <v>83.035714285714292</v>
      </c>
      <c r="AG61" s="165">
        <f t="shared" si="95"/>
        <v>82.73863636363636</v>
      </c>
      <c r="AH61" s="165">
        <f t="shared" ref="AH61" si="96">+IFERROR(AH63/AH59,0)</f>
        <v>86.025974025974023</v>
      </c>
      <c r="AI61" s="178">
        <f>+AI63/AI59</f>
        <v>79.885416666666671</v>
      </c>
      <c r="AJ61" s="198">
        <f>+AJ63/AJ59</f>
        <v>79.885416666666671</v>
      </c>
    </row>
    <row r="62" spans="1:36" x14ac:dyDescent="0.3">
      <c r="A62" s="203"/>
      <c r="B62" s="162"/>
      <c r="C62" s="163" t="s">
        <v>18</v>
      </c>
      <c r="D62" s="165">
        <f>+D60*D61</f>
        <v>47.962406015037594</v>
      </c>
      <c r="E62" s="165">
        <f t="shared" ref="E62:Q62" si="97">+E60*E61</f>
        <v>46.097744360902254</v>
      </c>
      <c r="F62" s="165">
        <f t="shared" si="97"/>
        <v>47.473684210526315</v>
      </c>
      <c r="G62" s="165">
        <f t="shared" si="97"/>
        <v>47.428571428571431</v>
      </c>
      <c r="H62" s="165">
        <f t="shared" si="97"/>
        <v>44.090225563909776</v>
      </c>
      <c r="I62" s="165">
        <f t="shared" si="97"/>
        <v>47.13533834586466</v>
      </c>
      <c r="J62" s="165">
        <f t="shared" si="97"/>
        <v>51.165413533834588</v>
      </c>
      <c r="K62" s="165">
        <f t="shared" si="97"/>
        <v>51.563909774436091</v>
      </c>
      <c r="L62" s="165">
        <f t="shared" si="97"/>
        <v>43.714285714285708</v>
      </c>
      <c r="M62" s="165">
        <f t="shared" si="97"/>
        <v>46.977443609022551</v>
      </c>
      <c r="N62" s="165">
        <v>54.007518796992478</v>
      </c>
      <c r="O62" s="165">
        <f t="shared" si="97"/>
        <v>78.934065934065927</v>
      </c>
      <c r="P62" s="165">
        <f t="shared" si="97"/>
        <v>49.466165413533837</v>
      </c>
      <c r="Q62" s="165">
        <f t="shared" si="97"/>
        <v>45.037593984962406</v>
      </c>
      <c r="R62" s="165">
        <f t="shared" ref="R62:AG62" si="98">+R60*R61</f>
        <v>44.736842105263158</v>
      </c>
      <c r="S62" s="165">
        <f t="shared" si="98"/>
        <v>48.097744360902261</v>
      </c>
      <c r="T62" s="165">
        <f t="shared" si="98"/>
        <v>47.338345864661662</v>
      </c>
      <c r="U62" s="165">
        <f t="shared" si="98"/>
        <v>59.360902255639104</v>
      </c>
      <c r="V62" s="165">
        <f t="shared" si="98"/>
        <v>59.007518796992478</v>
      </c>
      <c r="W62" s="165">
        <f t="shared" si="98"/>
        <v>53.766917293233078</v>
      </c>
      <c r="X62" s="165">
        <f t="shared" si="98"/>
        <v>77.652747252747261</v>
      </c>
      <c r="Y62" s="165">
        <f t="shared" si="98"/>
        <v>82.923076923076934</v>
      </c>
      <c r="Z62" s="165">
        <f t="shared" si="98"/>
        <v>68.076923076923066</v>
      </c>
      <c r="AA62" s="165">
        <f t="shared" si="98"/>
        <v>83.967032967032978</v>
      </c>
      <c r="AB62" s="165">
        <f t="shared" si="98"/>
        <v>84.967032967032964</v>
      </c>
      <c r="AC62" s="165">
        <f t="shared" si="98"/>
        <v>85.339010989011001</v>
      </c>
      <c r="AD62" s="165">
        <f t="shared" si="98"/>
        <v>63.208791208791212</v>
      </c>
      <c r="AE62" s="165">
        <f t="shared" si="98"/>
        <v>76.263736263736263</v>
      </c>
      <c r="AF62" s="165">
        <f t="shared" si="98"/>
        <v>76.648351648351664</v>
      </c>
      <c r="AG62" s="165">
        <f t="shared" si="98"/>
        <v>80.010989010989007</v>
      </c>
      <c r="AH62" s="165">
        <f t="shared" ref="AH62" si="99">+AH60*AH61</f>
        <v>72.791208791208788</v>
      </c>
      <c r="AI62" s="178">
        <f>+AI60*AI61</f>
        <v>2296.4862637362639</v>
      </c>
      <c r="AJ62" s="198">
        <f>+AJ60*AJ61</f>
        <v>2296.4862637362639</v>
      </c>
    </row>
    <row r="63" spans="1:36" s="248" customFormat="1" ht="15" thickBot="1" x14ac:dyDescent="0.35">
      <c r="A63" s="238"/>
      <c r="B63" s="212"/>
      <c r="C63" s="213" t="s">
        <v>31</v>
      </c>
      <c r="D63" s="214">
        <v>6379</v>
      </c>
      <c r="E63" s="214">
        <v>6131</v>
      </c>
      <c r="F63" s="214">
        <v>6314</v>
      </c>
      <c r="G63" s="214">
        <v>6308</v>
      </c>
      <c r="H63" s="214">
        <v>5864</v>
      </c>
      <c r="I63" s="214">
        <v>6269</v>
      </c>
      <c r="J63" s="214">
        <v>6805</v>
      </c>
      <c r="K63" s="214">
        <v>6858</v>
      </c>
      <c r="L63" s="214">
        <v>5814</v>
      </c>
      <c r="M63" s="214">
        <v>6248</v>
      </c>
      <c r="N63" s="214">
        <v>7183</v>
      </c>
      <c r="O63" s="214">
        <v>7183</v>
      </c>
      <c r="P63" s="214">
        <v>6579</v>
      </c>
      <c r="Q63" s="214">
        <v>5990</v>
      </c>
      <c r="R63" s="214">
        <v>5950</v>
      </c>
      <c r="S63" s="214">
        <v>6397</v>
      </c>
      <c r="T63" s="214">
        <v>6296</v>
      </c>
      <c r="U63" s="214">
        <v>7895</v>
      </c>
      <c r="V63" s="214">
        <v>7848</v>
      </c>
      <c r="W63" s="214">
        <v>7151</v>
      </c>
      <c r="X63" s="214">
        <v>7066.4</v>
      </c>
      <c r="Y63" s="214">
        <v>7546</v>
      </c>
      <c r="Z63" s="214">
        <v>6195</v>
      </c>
      <c r="AA63" s="214">
        <v>7641</v>
      </c>
      <c r="AB63" s="214">
        <v>7732</v>
      </c>
      <c r="AC63" s="214">
        <v>7765.85</v>
      </c>
      <c r="AD63" s="214">
        <v>5752</v>
      </c>
      <c r="AE63" s="214">
        <v>6940</v>
      </c>
      <c r="AF63" s="214">
        <v>6975</v>
      </c>
      <c r="AG63" s="214">
        <v>7281</v>
      </c>
      <c r="AH63" s="214">
        <v>6624</v>
      </c>
      <c r="AI63" s="215">
        <f>SUM(D63:AH63)</f>
        <v>208980.25</v>
      </c>
      <c r="AJ63" s="218">
        <f>+AI63/$A$1*$AK$1</f>
        <v>6478387.75</v>
      </c>
    </row>
    <row r="64" spans="1:36" x14ac:dyDescent="0.3">
      <c r="A64" s="203">
        <v>224</v>
      </c>
      <c r="B64" s="162" t="s">
        <v>33</v>
      </c>
      <c r="C64" s="163" t="s">
        <v>19</v>
      </c>
      <c r="D64" s="166">
        <f>+D58+D63</f>
        <v>18349</v>
      </c>
      <c r="E64" s="166">
        <f>+E58+E63</f>
        <v>13070</v>
      </c>
      <c r="F64" s="166">
        <f t="shared" ref="F64:AH64" si="100">+F58+F63</f>
        <v>14685</v>
      </c>
      <c r="G64" s="166">
        <f t="shared" si="100"/>
        <v>15232</v>
      </c>
      <c r="H64" s="166">
        <f t="shared" si="100"/>
        <v>14375</v>
      </c>
      <c r="I64" s="166">
        <f t="shared" si="100"/>
        <v>17659</v>
      </c>
      <c r="J64" s="166">
        <f t="shared" si="100"/>
        <v>18519</v>
      </c>
      <c r="K64" s="166">
        <f t="shared" si="100"/>
        <v>18907</v>
      </c>
      <c r="L64" s="166">
        <f t="shared" si="100"/>
        <v>14946</v>
      </c>
      <c r="M64" s="166">
        <f t="shared" si="100"/>
        <v>16354</v>
      </c>
      <c r="N64" s="166">
        <v>15506</v>
      </c>
      <c r="O64" s="166">
        <f t="shared" si="100"/>
        <v>18114</v>
      </c>
      <c r="P64" s="166">
        <f t="shared" si="100"/>
        <v>16706</v>
      </c>
      <c r="Q64" s="166">
        <f t="shared" si="100"/>
        <v>18311</v>
      </c>
      <c r="R64" s="166">
        <f t="shared" si="100"/>
        <v>17147</v>
      </c>
      <c r="S64" s="166">
        <f t="shared" si="100"/>
        <v>17131</v>
      </c>
      <c r="T64" s="166">
        <f t="shared" si="100"/>
        <v>14606</v>
      </c>
      <c r="U64" s="166">
        <f t="shared" si="100"/>
        <v>17255</v>
      </c>
      <c r="V64" s="166">
        <f t="shared" si="100"/>
        <v>19314</v>
      </c>
      <c r="W64" s="166">
        <f t="shared" si="100"/>
        <v>18605</v>
      </c>
      <c r="X64" s="166">
        <f t="shared" si="100"/>
        <v>18208.07</v>
      </c>
      <c r="Y64" s="166">
        <f t="shared" si="100"/>
        <v>19103</v>
      </c>
      <c r="Z64" s="166">
        <f t="shared" si="100"/>
        <v>13213</v>
      </c>
      <c r="AA64" s="166">
        <f t="shared" si="100"/>
        <v>16671</v>
      </c>
      <c r="AB64" s="166">
        <f t="shared" si="100"/>
        <v>17300</v>
      </c>
      <c r="AC64" s="166">
        <f t="shared" si="100"/>
        <v>17177.849999999999</v>
      </c>
      <c r="AD64" s="166">
        <f t="shared" si="100"/>
        <v>13146</v>
      </c>
      <c r="AE64" s="166">
        <f t="shared" si="100"/>
        <v>16636</v>
      </c>
      <c r="AF64" s="166">
        <f t="shared" si="100"/>
        <v>19387</v>
      </c>
      <c r="AG64" s="166">
        <f t="shared" si="100"/>
        <v>13959</v>
      </c>
      <c r="AH64" s="166">
        <f t="shared" si="100"/>
        <v>10169</v>
      </c>
      <c r="AI64" s="179">
        <f>SUM(D64:AG64)</f>
        <v>499591.92</v>
      </c>
      <c r="AJ64" s="198">
        <f>+AJ63+AJ58</f>
        <v>15802588.520000001</v>
      </c>
    </row>
    <row r="65" spans="1:36" x14ac:dyDescent="0.3">
      <c r="A65" s="203"/>
      <c r="B65" s="162"/>
      <c r="C65" s="163" t="s">
        <v>34</v>
      </c>
      <c r="D65" s="166">
        <f t="shared" ref="D65:W65" si="101">+D66-D64</f>
        <v>680</v>
      </c>
      <c r="E65" s="166">
        <f t="shared" si="101"/>
        <v>2034</v>
      </c>
      <c r="F65" s="166">
        <f t="shared" si="101"/>
        <v>1510</v>
      </c>
      <c r="G65" s="166">
        <f t="shared" si="101"/>
        <v>749</v>
      </c>
      <c r="H65" s="166">
        <f t="shared" si="101"/>
        <v>1751</v>
      </c>
      <c r="I65" s="166">
        <f t="shared" si="101"/>
        <v>817</v>
      </c>
      <c r="J65" s="166">
        <f t="shared" si="101"/>
        <v>2187</v>
      </c>
      <c r="K65" s="166">
        <f t="shared" si="101"/>
        <v>1456</v>
      </c>
      <c r="L65" s="166">
        <f t="shared" si="101"/>
        <v>2988</v>
      </c>
      <c r="M65" s="166">
        <f t="shared" si="101"/>
        <v>934</v>
      </c>
      <c r="N65" s="166">
        <v>5281</v>
      </c>
      <c r="O65" s="166">
        <f t="shared" si="101"/>
        <v>1366</v>
      </c>
      <c r="P65" s="166">
        <f t="shared" si="101"/>
        <v>1524</v>
      </c>
      <c r="Q65" s="166">
        <f t="shared" si="101"/>
        <v>1650</v>
      </c>
      <c r="R65" s="166">
        <f t="shared" si="101"/>
        <v>643</v>
      </c>
      <c r="S65" s="166">
        <f t="shared" si="101"/>
        <v>3070</v>
      </c>
      <c r="T65" s="166">
        <f t="shared" si="101"/>
        <v>1280.6000000000004</v>
      </c>
      <c r="U65" s="166">
        <f t="shared" si="101"/>
        <v>949</v>
      </c>
      <c r="V65" s="166">
        <f t="shared" si="101"/>
        <v>720</v>
      </c>
      <c r="W65" s="166">
        <f t="shared" si="101"/>
        <v>6222</v>
      </c>
      <c r="X65" s="166">
        <f>+X66-X64</f>
        <v>3327.7900000000009</v>
      </c>
      <c r="Y65" s="166">
        <f t="shared" ref="Y65:AH65" si="102">+Y66-Y64</f>
        <v>772</v>
      </c>
      <c r="Z65" s="166">
        <f t="shared" si="102"/>
        <v>442</v>
      </c>
      <c r="AA65" s="166">
        <f t="shared" si="102"/>
        <v>6367</v>
      </c>
      <c r="AB65" s="166">
        <f t="shared" si="102"/>
        <v>1178</v>
      </c>
      <c r="AC65" s="166">
        <f t="shared" si="102"/>
        <v>1251.1500000000015</v>
      </c>
      <c r="AD65" s="166">
        <f t="shared" si="102"/>
        <v>2149</v>
      </c>
      <c r="AE65" s="166">
        <f t="shared" si="102"/>
        <v>1165</v>
      </c>
      <c r="AF65" s="166">
        <f t="shared" si="102"/>
        <v>2719</v>
      </c>
      <c r="AG65" s="166">
        <f t="shared" si="102"/>
        <v>1445</v>
      </c>
      <c r="AH65" s="166">
        <f t="shared" si="102"/>
        <v>3890</v>
      </c>
      <c r="AI65" s="179">
        <f>SUM(D65:AG65)</f>
        <v>58627.54</v>
      </c>
      <c r="AJ65" s="198">
        <f>+AI65/$A$1*AK1</f>
        <v>1817453.74</v>
      </c>
    </row>
    <row r="66" spans="1:36" x14ac:dyDescent="0.3">
      <c r="A66" s="203"/>
      <c r="B66" s="162"/>
      <c r="C66" s="163" t="s">
        <v>35</v>
      </c>
      <c r="D66" s="166">
        <f>6388+12641</f>
        <v>19029</v>
      </c>
      <c r="E66" s="166">
        <f>6154+8950</f>
        <v>15104</v>
      </c>
      <c r="F66" s="166">
        <f>9644+6551</f>
        <v>16195</v>
      </c>
      <c r="G66" s="166">
        <f>9647+6334</f>
        <v>15981</v>
      </c>
      <c r="H66" s="166">
        <f>5867+10259</f>
        <v>16126</v>
      </c>
      <c r="I66" s="166">
        <f>12196+6280</f>
        <v>18476</v>
      </c>
      <c r="J66" s="166">
        <f>13886+6820</f>
        <v>20706</v>
      </c>
      <c r="K66" s="166">
        <f>6876+13487</f>
        <v>20363</v>
      </c>
      <c r="L66" s="166">
        <f>5827+12107</f>
        <v>17934</v>
      </c>
      <c r="M66" s="166">
        <f>6252+11036</f>
        <v>17288</v>
      </c>
      <c r="N66" s="166">
        <v>20787</v>
      </c>
      <c r="O66" s="166">
        <f>7228+12252</f>
        <v>19480</v>
      </c>
      <c r="P66" s="166">
        <f>11633+6597</f>
        <v>18230</v>
      </c>
      <c r="Q66" s="166">
        <f>6017+13944</f>
        <v>19961</v>
      </c>
      <c r="R66" s="166">
        <f>5959+11831</f>
        <v>17790</v>
      </c>
      <c r="S66" s="166">
        <v>20201</v>
      </c>
      <c r="T66" s="166">
        <f>9581.6+6305</f>
        <v>15886.6</v>
      </c>
      <c r="U66" s="166">
        <f>10224+7980</f>
        <v>18204</v>
      </c>
      <c r="V66" s="166">
        <f>12161+7873</f>
        <v>20034</v>
      </c>
      <c r="W66" s="166">
        <f>16544+8283</f>
        <v>24827</v>
      </c>
      <c r="X66" s="166">
        <f>7098+14437.86</f>
        <v>21535.86</v>
      </c>
      <c r="Y66" s="166">
        <f>7590+12285</f>
        <v>19875</v>
      </c>
      <c r="Z66" s="166">
        <f>6202+7453</f>
        <v>13655</v>
      </c>
      <c r="AA66" s="166">
        <f>8837+14201</f>
        <v>23038</v>
      </c>
      <c r="AB66" s="166">
        <f>7751+10727</f>
        <v>18478</v>
      </c>
      <c r="AC66" s="166">
        <f>10660+7769</f>
        <v>18429</v>
      </c>
      <c r="AD66" s="166">
        <f>7406+7889</f>
        <v>15295</v>
      </c>
      <c r="AE66" s="166">
        <f>6963+10838</f>
        <v>17801</v>
      </c>
      <c r="AF66" s="166">
        <f>15090+7016</f>
        <v>22106</v>
      </c>
      <c r="AG66" s="166">
        <f>8112+7292</f>
        <v>15404</v>
      </c>
      <c r="AH66" s="166">
        <f>7433+6626</f>
        <v>14059</v>
      </c>
      <c r="AI66" s="179">
        <f>SUM(D66:AG66)</f>
        <v>558219.46</v>
      </c>
      <c r="AJ66" s="198">
        <f>+AJ64+AJ65</f>
        <v>17620042.260000002</v>
      </c>
    </row>
    <row r="67" spans="1:36" ht="15" thickBot="1" x14ac:dyDescent="0.35">
      <c r="A67" s="237"/>
      <c r="B67" s="219"/>
      <c r="C67" s="206" t="s">
        <v>20</v>
      </c>
      <c r="D67" s="220">
        <f>1974.89/D66</f>
        <v>0.103783173051658</v>
      </c>
      <c r="E67" s="220">
        <f>1374.92/E66</f>
        <v>9.1030190677966111E-2</v>
      </c>
      <c r="F67" s="220">
        <f>3427.6/F66</f>
        <v>0.21164556962025316</v>
      </c>
      <c r="G67" s="220">
        <f>3264.364/G66</f>
        <v>0.2042653150616357</v>
      </c>
      <c r="H67" s="220">
        <f>3391.93/H66</f>
        <v>0.21033920377030882</v>
      </c>
      <c r="I67" s="220">
        <f>2253.33/I66</f>
        <v>0.12195983979216281</v>
      </c>
      <c r="J67" s="220">
        <f>3598.87/J66</f>
        <v>0.17380807495411957</v>
      </c>
      <c r="K67" s="220">
        <f>2025.8/K66</f>
        <v>9.9484358886215193E-2</v>
      </c>
      <c r="L67" s="220">
        <f>1669.77/L66</f>
        <v>9.3106390097022415E-2</v>
      </c>
      <c r="M67" s="220">
        <f>2281.39/M66</f>
        <v>0.13196378991207774</v>
      </c>
      <c r="N67" s="220">
        <f>2883.34/N66</f>
        <v>0.13870880838985905</v>
      </c>
      <c r="O67" s="220">
        <f>3088.55/O66</f>
        <v>0.15854979466119098</v>
      </c>
      <c r="P67" s="220">
        <f>4141.79/P66</f>
        <v>0.22719637959407571</v>
      </c>
      <c r="Q67" s="220">
        <f>3971.06/Q66</f>
        <v>0.19894093482290467</v>
      </c>
      <c r="R67" s="220">
        <f>3500.42/R66</f>
        <v>0.19676335019673974</v>
      </c>
      <c r="S67" s="220">
        <f>2018.59/S66</f>
        <v>9.9925251225186862E-2</v>
      </c>
      <c r="T67" s="220">
        <f>4117.21/T66</f>
        <v>0.25916243878488787</v>
      </c>
      <c r="U67" s="220">
        <f>3062.74/U66</f>
        <v>0.16824544056251373</v>
      </c>
      <c r="V67" s="220">
        <f>2986.94/V66</f>
        <v>0.14909354098033342</v>
      </c>
      <c r="W67" s="220">
        <f>3508.17/W66</f>
        <v>0.14130462802593952</v>
      </c>
      <c r="X67" s="220">
        <f>1874.16/X66</f>
        <v>8.7025082815360061E-2</v>
      </c>
      <c r="Y67" s="220">
        <f>1813/Y66</f>
        <v>9.1220125786163522E-2</v>
      </c>
      <c r="Z67" s="220">
        <f>1874.16/Z66</f>
        <v>0.13725082387403881</v>
      </c>
      <c r="AA67" s="220">
        <f>2540.95/AA66</f>
        <v>0.11029386231443701</v>
      </c>
      <c r="AB67" s="220">
        <f>3157.32/AB66</f>
        <v>0.17086914168200024</v>
      </c>
      <c r="AC67" s="220">
        <f>3244.49/AC66</f>
        <v>0.17605350263172173</v>
      </c>
      <c r="AD67" s="220">
        <f>3566.57/AD66</f>
        <v>0.23318535469107551</v>
      </c>
      <c r="AE67" s="220">
        <f>3277.43/AE66</f>
        <v>0.18411493736306947</v>
      </c>
      <c r="AF67" s="220">
        <f>2082.73/AF66</f>
        <v>9.4215597575318916E-2</v>
      </c>
      <c r="AG67" s="220">
        <f>2523.58/AG66</f>
        <v>0.16382627888860035</v>
      </c>
      <c r="AH67" s="220">
        <f>5656.38/AH66</f>
        <v>0.40233160253218581</v>
      </c>
      <c r="AI67" s="190">
        <f>AVERAGE(D67:AG67)</f>
        <v>0.15424437268962787</v>
      </c>
      <c r="AJ67" s="221"/>
    </row>
    <row r="68" spans="1:36" x14ac:dyDescent="0.3">
      <c r="A68" s="203">
        <v>74</v>
      </c>
      <c r="B68" s="201" t="s">
        <v>36</v>
      </c>
      <c r="C68" s="104" t="s">
        <v>15</v>
      </c>
      <c r="D68" s="199">
        <v>42</v>
      </c>
      <c r="E68" s="199">
        <v>17</v>
      </c>
      <c r="F68" s="199">
        <v>36</v>
      </c>
      <c r="G68" s="199">
        <v>55</v>
      </c>
      <c r="H68" s="199">
        <v>62</v>
      </c>
      <c r="I68" s="199">
        <v>68</v>
      </c>
      <c r="J68" s="199">
        <v>66</v>
      </c>
      <c r="K68" s="199">
        <v>54</v>
      </c>
      <c r="L68" s="199">
        <v>21</v>
      </c>
      <c r="M68" s="199">
        <v>36</v>
      </c>
      <c r="N68" s="199">
        <v>40</v>
      </c>
      <c r="O68" s="199">
        <v>39</v>
      </c>
      <c r="P68" s="199">
        <v>41</v>
      </c>
      <c r="Q68" s="199">
        <v>43</v>
      </c>
      <c r="R68" s="199">
        <v>43</v>
      </c>
      <c r="S68" s="199">
        <v>26</v>
      </c>
      <c r="T68" s="199">
        <v>29</v>
      </c>
      <c r="U68" s="199">
        <v>42</v>
      </c>
      <c r="V68" s="199">
        <v>32</v>
      </c>
      <c r="W68" s="199">
        <v>42</v>
      </c>
      <c r="X68" s="199">
        <v>60</v>
      </c>
      <c r="Y68" s="199">
        <v>61</v>
      </c>
      <c r="Z68" s="199">
        <v>38</v>
      </c>
      <c r="AA68" s="199">
        <v>29</v>
      </c>
      <c r="AB68" s="199">
        <v>43</v>
      </c>
      <c r="AC68" s="199">
        <v>37</v>
      </c>
      <c r="AD68" s="199">
        <v>57</v>
      </c>
      <c r="AE68" s="199">
        <v>71</v>
      </c>
      <c r="AF68" s="199">
        <v>68</v>
      </c>
      <c r="AG68" s="199">
        <v>42</v>
      </c>
      <c r="AH68" s="199">
        <v>32</v>
      </c>
      <c r="AI68" s="200">
        <f>SUM(D68:AH68)</f>
        <v>1372</v>
      </c>
      <c r="AJ68" s="191">
        <f>+$AI68/$A$1*$AK$1</f>
        <v>42532</v>
      </c>
    </row>
    <row r="69" spans="1:36" x14ac:dyDescent="0.3">
      <c r="A69" s="203"/>
      <c r="B69" s="33"/>
      <c r="C69" s="34" t="s">
        <v>16</v>
      </c>
      <c r="D69" s="35">
        <f t="shared" ref="D69:AG69" si="103">+D68/$A68</f>
        <v>0.56756756756756754</v>
      </c>
      <c r="E69" s="35">
        <f t="shared" si="103"/>
        <v>0.22972972972972974</v>
      </c>
      <c r="F69" s="35">
        <f t="shared" si="103"/>
        <v>0.48648648648648651</v>
      </c>
      <c r="G69" s="35">
        <f t="shared" si="103"/>
        <v>0.7432432432432432</v>
      </c>
      <c r="H69" s="35">
        <f t="shared" si="103"/>
        <v>0.83783783783783783</v>
      </c>
      <c r="I69" s="35">
        <f t="shared" si="103"/>
        <v>0.91891891891891897</v>
      </c>
      <c r="J69" s="35">
        <f t="shared" si="103"/>
        <v>0.89189189189189189</v>
      </c>
      <c r="K69" s="35">
        <f t="shared" si="103"/>
        <v>0.72972972972972971</v>
      </c>
      <c r="L69" s="35">
        <f t="shared" si="103"/>
        <v>0.28378378378378377</v>
      </c>
      <c r="M69" s="35">
        <f t="shared" si="103"/>
        <v>0.48648648648648651</v>
      </c>
      <c r="N69" s="35">
        <v>0.54054054054054057</v>
      </c>
      <c r="O69" s="35">
        <f t="shared" si="103"/>
        <v>0.52702702702702697</v>
      </c>
      <c r="P69" s="35">
        <f t="shared" si="103"/>
        <v>0.55405405405405406</v>
      </c>
      <c r="Q69" s="35">
        <f t="shared" si="103"/>
        <v>0.58108108108108103</v>
      </c>
      <c r="R69" s="35">
        <f t="shared" si="103"/>
        <v>0.58108108108108103</v>
      </c>
      <c r="S69" s="35">
        <f t="shared" si="103"/>
        <v>0.35135135135135137</v>
      </c>
      <c r="T69" s="35">
        <f t="shared" si="103"/>
        <v>0.39189189189189189</v>
      </c>
      <c r="U69" s="35">
        <f t="shared" si="103"/>
        <v>0.56756756756756754</v>
      </c>
      <c r="V69" s="35">
        <f t="shared" si="103"/>
        <v>0.43243243243243246</v>
      </c>
      <c r="W69" s="35">
        <f t="shared" si="103"/>
        <v>0.56756756756756754</v>
      </c>
      <c r="X69" s="35">
        <f t="shared" si="103"/>
        <v>0.81081081081081086</v>
      </c>
      <c r="Y69" s="35">
        <f t="shared" si="103"/>
        <v>0.82432432432432434</v>
      </c>
      <c r="Z69" s="35">
        <f t="shared" si="103"/>
        <v>0.51351351351351349</v>
      </c>
      <c r="AA69" s="35">
        <f t="shared" si="103"/>
        <v>0.39189189189189189</v>
      </c>
      <c r="AB69" s="35">
        <f t="shared" si="103"/>
        <v>0.58108108108108103</v>
      </c>
      <c r="AC69" s="35">
        <f t="shared" si="103"/>
        <v>0.5</v>
      </c>
      <c r="AD69" s="35">
        <f t="shared" si="103"/>
        <v>0.77027027027027029</v>
      </c>
      <c r="AE69" s="35">
        <f t="shared" si="103"/>
        <v>0.95945945945945943</v>
      </c>
      <c r="AF69" s="35">
        <f t="shared" si="103"/>
        <v>0.91891891891891897</v>
      </c>
      <c r="AG69" s="35">
        <f t="shared" si="103"/>
        <v>0.56756756756756754</v>
      </c>
      <c r="AH69" s="35">
        <f t="shared" ref="AH69" si="104">+AH68/$A68</f>
        <v>0.43243243243243246</v>
      </c>
      <c r="AI69" s="172">
        <f>+AI68/(A68*A$1)</f>
        <v>18.54054054054054</v>
      </c>
      <c r="AJ69" s="192">
        <f>AJ68/($A68*31)</f>
        <v>18.54054054054054</v>
      </c>
    </row>
    <row r="70" spans="1:36" x14ac:dyDescent="0.3">
      <c r="A70" s="203"/>
      <c r="B70" s="33"/>
      <c r="C70" s="34" t="s">
        <v>17</v>
      </c>
      <c r="D70" s="37">
        <f t="shared" ref="D70:AG70" si="105">+IFERROR(D72/D68,0)</f>
        <v>87.357142857142861</v>
      </c>
      <c r="E70" s="37">
        <f t="shared" si="105"/>
        <v>75.117647058823536</v>
      </c>
      <c r="F70" s="37">
        <f t="shared" si="105"/>
        <v>71.916666666666671</v>
      </c>
      <c r="G70" s="37">
        <f t="shared" si="105"/>
        <v>85.327272727272728</v>
      </c>
      <c r="H70" s="37">
        <f t="shared" si="105"/>
        <v>88.112903225806448</v>
      </c>
      <c r="I70" s="37">
        <f t="shared" si="105"/>
        <v>102.69117647058823</v>
      </c>
      <c r="J70" s="37">
        <f t="shared" si="105"/>
        <v>125.66666666666667</v>
      </c>
      <c r="K70" s="37">
        <f t="shared" si="105"/>
        <v>135.61111111111111</v>
      </c>
      <c r="L70" s="37">
        <f t="shared" si="105"/>
        <v>69.19047619047619</v>
      </c>
      <c r="M70" s="37">
        <f t="shared" si="105"/>
        <v>84.138888888888886</v>
      </c>
      <c r="N70" s="37">
        <v>81.2</v>
      </c>
      <c r="O70" s="37">
        <f t="shared" si="105"/>
        <v>81.256410256410263</v>
      </c>
      <c r="P70" s="37">
        <f t="shared" si="105"/>
        <v>86.390243902439025</v>
      </c>
      <c r="Q70" s="37">
        <f t="shared" si="105"/>
        <v>94.488372093023258</v>
      </c>
      <c r="R70" s="37">
        <f t="shared" si="105"/>
        <v>106.46511627906976</v>
      </c>
      <c r="S70" s="37">
        <f t="shared" si="105"/>
        <v>74</v>
      </c>
      <c r="T70" s="37">
        <f t="shared" si="105"/>
        <v>91.068965517241381</v>
      </c>
      <c r="U70" s="37">
        <f t="shared" si="105"/>
        <v>79.928571428571431</v>
      </c>
      <c r="V70" s="37">
        <f t="shared" si="105"/>
        <v>70.78125</v>
      </c>
      <c r="W70" s="37">
        <f t="shared" si="105"/>
        <v>78.333333333333329</v>
      </c>
      <c r="X70" s="37">
        <f t="shared" si="105"/>
        <v>106.68333333333334</v>
      </c>
      <c r="Y70" s="37">
        <f t="shared" si="105"/>
        <v>123.81967213114754</v>
      </c>
      <c r="Z70" s="37">
        <f t="shared" si="105"/>
        <v>136.55263157894737</v>
      </c>
      <c r="AA70" s="37">
        <f t="shared" si="105"/>
        <v>80.827586206896555</v>
      </c>
      <c r="AB70" s="37">
        <f t="shared" si="105"/>
        <v>80.627906976744185</v>
      </c>
      <c r="AC70" s="37">
        <f t="shared" si="105"/>
        <v>78.162162162162161</v>
      </c>
      <c r="AD70" s="37">
        <f t="shared" si="105"/>
        <v>80.10526315789474</v>
      </c>
      <c r="AE70" s="37">
        <f t="shared" si="105"/>
        <v>94.816901408450704</v>
      </c>
      <c r="AF70" s="37">
        <f t="shared" si="105"/>
        <v>97.57352941176471</v>
      </c>
      <c r="AG70" s="37">
        <f t="shared" si="105"/>
        <v>76.571428571428569</v>
      </c>
      <c r="AH70" s="37">
        <f t="shared" ref="AH70" si="106">+IFERROR(AH72/AH68,0)</f>
        <v>89.875</v>
      </c>
      <c r="AI70" s="173">
        <f>+AI72/AI68</f>
        <v>93.819970845481052</v>
      </c>
      <c r="AJ70" s="193">
        <f>+AJ72/AJ68</f>
        <v>93.819970845481052</v>
      </c>
    </row>
    <row r="71" spans="1:36" x14ac:dyDescent="0.3">
      <c r="A71" s="203"/>
      <c r="B71" s="33"/>
      <c r="C71" s="34" t="s">
        <v>18</v>
      </c>
      <c r="D71" s="37">
        <f t="shared" ref="D71:AG71" si="107">+D69*D70</f>
        <v>49.581081081081081</v>
      </c>
      <c r="E71" s="37">
        <f t="shared" si="107"/>
        <v>17.256756756756758</v>
      </c>
      <c r="F71" s="37">
        <f t="shared" si="107"/>
        <v>34.986486486486491</v>
      </c>
      <c r="G71" s="37">
        <f t="shared" si="107"/>
        <v>63.418918918918919</v>
      </c>
      <c r="H71" s="37">
        <f t="shared" si="107"/>
        <v>73.824324324324323</v>
      </c>
      <c r="I71" s="37">
        <f t="shared" si="107"/>
        <v>94.36486486486487</v>
      </c>
      <c r="J71" s="37">
        <f t="shared" si="107"/>
        <v>112.08108108108108</v>
      </c>
      <c r="K71" s="37">
        <f t="shared" si="107"/>
        <v>98.959459459459467</v>
      </c>
      <c r="L71" s="37">
        <f t="shared" si="107"/>
        <v>19.635135135135133</v>
      </c>
      <c r="M71" s="37">
        <f t="shared" si="107"/>
        <v>40.932432432432435</v>
      </c>
      <c r="N71" s="37">
        <v>43.891891891891895</v>
      </c>
      <c r="O71" s="37">
        <f t="shared" si="107"/>
        <v>42.824324324324323</v>
      </c>
      <c r="P71" s="37">
        <f t="shared" si="107"/>
        <v>47.864864864864863</v>
      </c>
      <c r="Q71" s="37">
        <f t="shared" si="107"/>
        <v>54.905405405405403</v>
      </c>
      <c r="R71" s="37">
        <f t="shared" si="107"/>
        <v>61.864864864864856</v>
      </c>
      <c r="S71" s="37">
        <f t="shared" si="107"/>
        <v>26</v>
      </c>
      <c r="T71" s="37">
        <f t="shared" si="107"/>
        <v>35.689189189189186</v>
      </c>
      <c r="U71" s="37">
        <f t="shared" si="107"/>
        <v>45.364864864864863</v>
      </c>
      <c r="V71" s="37">
        <f t="shared" si="107"/>
        <v>30.608108108108109</v>
      </c>
      <c r="W71" s="37">
        <f t="shared" si="107"/>
        <v>44.459459459459453</v>
      </c>
      <c r="X71" s="37">
        <f t="shared" si="107"/>
        <v>86.500000000000014</v>
      </c>
      <c r="Y71" s="37">
        <f t="shared" si="107"/>
        <v>102.06756756756756</v>
      </c>
      <c r="Z71" s="37">
        <f t="shared" si="107"/>
        <v>70.121621621621614</v>
      </c>
      <c r="AA71" s="37">
        <f t="shared" si="107"/>
        <v>31.675675675675677</v>
      </c>
      <c r="AB71" s="37">
        <f t="shared" si="107"/>
        <v>46.851351351351347</v>
      </c>
      <c r="AC71" s="37">
        <f t="shared" si="107"/>
        <v>39.081081081081081</v>
      </c>
      <c r="AD71" s="37">
        <f t="shared" si="107"/>
        <v>61.702702702702709</v>
      </c>
      <c r="AE71" s="37">
        <f t="shared" si="107"/>
        <v>90.972972972972968</v>
      </c>
      <c r="AF71" s="37">
        <f t="shared" si="107"/>
        <v>89.662162162162176</v>
      </c>
      <c r="AG71" s="37">
        <f t="shared" si="107"/>
        <v>43.45945945945946</v>
      </c>
      <c r="AH71" s="37">
        <f t="shared" ref="AH71" si="108">+AH69*AH70</f>
        <v>38.86486486486487</v>
      </c>
      <c r="AI71" s="173">
        <f>+AI70*AI69</f>
        <v>1739.4729729729729</v>
      </c>
      <c r="AJ71" s="193">
        <f>+AJ69*AJ70</f>
        <v>1739.4729729729729</v>
      </c>
    </row>
    <row r="72" spans="1:36" s="249" customFormat="1" ht="15" thickBot="1" x14ac:dyDescent="0.35">
      <c r="A72" s="203"/>
      <c r="B72" s="141"/>
      <c r="C72" s="65" t="s">
        <v>19</v>
      </c>
      <c r="D72" s="222">
        <v>3669</v>
      </c>
      <c r="E72" s="222">
        <v>1277</v>
      </c>
      <c r="F72" s="222">
        <v>2589</v>
      </c>
      <c r="G72" s="222">
        <v>4693</v>
      </c>
      <c r="H72" s="222">
        <v>5463</v>
      </c>
      <c r="I72" s="222">
        <v>6983</v>
      </c>
      <c r="J72" s="222">
        <v>8294</v>
      </c>
      <c r="K72" s="222">
        <v>7323</v>
      </c>
      <c r="L72" s="222">
        <v>1453</v>
      </c>
      <c r="M72" s="222">
        <v>3029</v>
      </c>
      <c r="N72" s="222">
        <v>3248</v>
      </c>
      <c r="O72" s="222">
        <v>3169</v>
      </c>
      <c r="P72" s="222">
        <v>3542</v>
      </c>
      <c r="Q72" s="222">
        <v>4063</v>
      </c>
      <c r="R72" s="222">
        <v>4578</v>
      </c>
      <c r="S72" s="222">
        <v>1924</v>
      </c>
      <c r="T72" s="222">
        <v>2641</v>
      </c>
      <c r="U72" s="222">
        <v>3357</v>
      </c>
      <c r="V72" s="222">
        <v>2265</v>
      </c>
      <c r="W72" s="222">
        <v>3290</v>
      </c>
      <c r="X72" s="222">
        <v>6401</v>
      </c>
      <c r="Y72" s="222">
        <v>7553</v>
      </c>
      <c r="Z72" s="222">
        <v>5189</v>
      </c>
      <c r="AA72" s="222">
        <v>2344</v>
      </c>
      <c r="AB72" s="222">
        <v>3467</v>
      </c>
      <c r="AC72" s="222">
        <v>2892</v>
      </c>
      <c r="AD72" s="222">
        <v>4566</v>
      </c>
      <c r="AE72" s="222">
        <v>6732</v>
      </c>
      <c r="AF72" s="222">
        <v>6635</v>
      </c>
      <c r="AG72" s="222">
        <v>3216</v>
      </c>
      <c r="AH72" s="222">
        <v>2876</v>
      </c>
      <c r="AI72" s="184">
        <f>SUM(D72:AH72)</f>
        <v>128721</v>
      </c>
      <c r="AJ72" s="191">
        <f>+AI72/$A$1*$AK$1</f>
        <v>3990351</v>
      </c>
    </row>
    <row r="73" spans="1:36" x14ac:dyDescent="0.3">
      <c r="A73" s="203">
        <v>120</v>
      </c>
      <c r="B73" s="224" t="s">
        <v>37</v>
      </c>
      <c r="C73" s="163" t="s">
        <v>15</v>
      </c>
      <c r="D73" s="223">
        <v>46</v>
      </c>
      <c r="E73" s="223">
        <v>58</v>
      </c>
      <c r="F73" s="223">
        <v>106</v>
      </c>
      <c r="G73" s="223">
        <v>99</v>
      </c>
      <c r="H73" s="223">
        <v>116</v>
      </c>
      <c r="I73" s="223">
        <v>119</v>
      </c>
      <c r="J73" s="223">
        <v>120</v>
      </c>
      <c r="K73" s="223">
        <v>107</v>
      </c>
      <c r="L73" s="223">
        <v>43</v>
      </c>
      <c r="M73" s="223">
        <v>79</v>
      </c>
      <c r="N73" s="223">
        <v>103</v>
      </c>
      <c r="O73" s="223">
        <v>120</v>
      </c>
      <c r="P73" s="223">
        <v>120</v>
      </c>
      <c r="Q73" s="223">
        <v>120</v>
      </c>
      <c r="R73" s="223">
        <v>84</v>
      </c>
      <c r="S73" s="223">
        <v>32</v>
      </c>
      <c r="T73" s="223">
        <v>73</v>
      </c>
      <c r="U73" s="223">
        <v>93</v>
      </c>
      <c r="V73" s="223">
        <v>91</v>
      </c>
      <c r="W73" s="223">
        <v>94</v>
      </c>
      <c r="X73" s="223">
        <v>105</v>
      </c>
      <c r="Y73" s="223">
        <v>110</v>
      </c>
      <c r="Z73" s="223">
        <v>48</v>
      </c>
      <c r="AA73" s="223">
        <v>62</v>
      </c>
      <c r="AB73" s="223">
        <v>72</v>
      </c>
      <c r="AC73" s="223">
        <v>71</v>
      </c>
      <c r="AD73" s="223">
        <v>87</v>
      </c>
      <c r="AE73" s="223">
        <v>118</v>
      </c>
      <c r="AF73" s="223">
        <v>120</v>
      </c>
      <c r="AG73" s="223">
        <v>80</v>
      </c>
      <c r="AH73" s="223">
        <v>57</v>
      </c>
      <c r="AI73" s="185">
        <f>SUM(D73:AH73)</f>
        <v>2753</v>
      </c>
      <c r="AJ73" s="217">
        <f>+$AI73/$A$1*$AK$1</f>
        <v>85343</v>
      </c>
    </row>
    <row r="74" spans="1:36" x14ac:dyDescent="0.3">
      <c r="A74" s="203"/>
      <c r="B74" s="162"/>
      <c r="C74" s="163" t="s">
        <v>16</v>
      </c>
      <c r="D74" s="164">
        <f>+D73/$A73</f>
        <v>0.38333333333333336</v>
      </c>
      <c r="E74" s="164">
        <f t="shared" ref="E74:AG74" si="109">+E73/$A73</f>
        <v>0.48333333333333334</v>
      </c>
      <c r="F74" s="164">
        <f t="shared" si="109"/>
        <v>0.8833333333333333</v>
      </c>
      <c r="G74" s="164">
        <f t="shared" si="109"/>
        <v>0.82499999999999996</v>
      </c>
      <c r="H74" s="164">
        <f t="shared" si="109"/>
        <v>0.96666666666666667</v>
      </c>
      <c r="I74" s="164">
        <f t="shared" si="109"/>
        <v>0.9916666666666667</v>
      </c>
      <c r="J74" s="164">
        <f t="shared" si="109"/>
        <v>1</v>
      </c>
      <c r="K74" s="164">
        <f t="shared" si="109"/>
        <v>0.89166666666666672</v>
      </c>
      <c r="L74" s="164">
        <f t="shared" si="109"/>
        <v>0.35833333333333334</v>
      </c>
      <c r="M74" s="164">
        <f t="shared" si="109"/>
        <v>0.65833333333333333</v>
      </c>
      <c r="N74" s="164">
        <v>0.85833333333333328</v>
      </c>
      <c r="O74" s="164">
        <f t="shared" si="109"/>
        <v>1</v>
      </c>
      <c r="P74" s="164">
        <f>+P73/$A73</f>
        <v>1</v>
      </c>
      <c r="Q74" s="164">
        <f t="shared" si="109"/>
        <v>1</v>
      </c>
      <c r="R74" s="164">
        <f t="shared" si="109"/>
        <v>0.7</v>
      </c>
      <c r="S74" s="164">
        <f t="shared" si="109"/>
        <v>0.26666666666666666</v>
      </c>
      <c r="T74" s="164">
        <f t="shared" si="109"/>
        <v>0.60833333333333328</v>
      </c>
      <c r="U74" s="164">
        <f t="shared" si="109"/>
        <v>0.77500000000000002</v>
      </c>
      <c r="V74" s="164">
        <f t="shared" si="109"/>
        <v>0.7583333333333333</v>
      </c>
      <c r="W74" s="164">
        <f t="shared" si="109"/>
        <v>0.78333333333333333</v>
      </c>
      <c r="X74" s="164">
        <f t="shared" si="109"/>
        <v>0.875</v>
      </c>
      <c r="Y74" s="164">
        <f t="shared" si="109"/>
        <v>0.91666666666666663</v>
      </c>
      <c r="Z74" s="164">
        <f t="shared" si="109"/>
        <v>0.4</v>
      </c>
      <c r="AA74" s="164">
        <f t="shared" si="109"/>
        <v>0.51666666666666672</v>
      </c>
      <c r="AB74" s="164">
        <f t="shared" si="109"/>
        <v>0.6</v>
      </c>
      <c r="AC74" s="164">
        <f t="shared" si="109"/>
        <v>0.59166666666666667</v>
      </c>
      <c r="AD74" s="164">
        <f t="shared" si="109"/>
        <v>0.72499999999999998</v>
      </c>
      <c r="AE74" s="164">
        <f t="shared" si="109"/>
        <v>0.98333333333333328</v>
      </c>
      <c r="AF74" s="164">
        <f t="shared" si="109"/>
        <v>1</v>
      </c>
      <c r="AG74" s="164">
        <f t="shared" si="109"/>
        <v>0.66666666666666663</v>
      </c>
      <c r="AH74" s="164">
        <f t="shared" ref="AH74" si="110">+AH73/$A73</f>
        <v>0.47499999999999998</v>
      </c>
      <c r="AI74" s="177">
        <f>+AI73/(A73*A$1)</f>
        <v>22.941666666666666</v>
      </c>
      <c r="AJ74" s="197">
        <f>AJ73/($A73*31)</f>
        <v>22.941666666666666</v>
      </c>
    </row>
    <row r="75" spans="1:36" x14ac:dyDescent="0.3">
      <c r="A75" s="203"/>
      <c r="B75" s="162"/>
      <c r="C75" s="163" t="s">
        <v>17</v>
      </c>
      <c r="D75" s="165">
        <f t="shared" ref="D75:AG75" si="111">+IFERROR(D77/D73,0)</f>
        <v>116.17391304347827</v>
      </c>
      <c r="E75" s="165">
        <f t="shared" si="111"/>
        <v>100</v>
      </c>
      <c r="F75" s="165">
        <f t="shared" si="111"/>
        <v>107.18867924528301</v>
      </c>
      <c r="G75" s="165">
        <f t="shared" si="111"/>
        <v>100.62626262626263</v>
      </c>
      <c r="H75" s="165">
        <f t="shared" si="111"/>
        <v>154.23275862068965</v>
      </c>
      <c r="I75" s="165">
        <f t="shared" si="111"/>
        <v>205.42857142857142</v>
      </c>
      <c r="J75" s="165">
        <f t="shared" si="111"/>
        <v>238.55</v>
      </c>
      <c r="K75" s="165">
        <f t="shared" si="111"/>
        <v>213.06542056074767</v>
      </c>
      <c r="L75" s="165">
        <f t="shared" si="111"/>
        <v>110.06976744186046</v>
      </c>
      <c r="M75" s="165">
        <f t="shared" si="111"/>
        <v>109.0253164556962</v>
      </c>
      <c r="N75" s="165">
        <v>114.44660194174757</v>
      </c>
      <c r="O75" s="165">
        <f t="shared" si="111"/>
        <v>121.20833333333333</v>
      </c>
      <c r="P75" s="165">
        <f t="shared" si="111"/>
        <v>121.35</v>
      </c>
      <c r="Q75" s="165">
        <f t="shared" si="111"/>
        <v>145.36666666666667</v>
      </c>
      <c r="R75" s="165">
        <f t="shared" si="111"/>
        <v>124.5952380952381</v>
      </c>
      <c r="S75" s="165">
        <f t="shared" si="111"/>
        <v>114.15625</v>
      </c>
      <c r="T75" s="165">
        <f t="shared" si="111"/>
        <v>114.08219178082192</v>
      </c>
      <c r="U75" s="165">
        <f t="shared" si="111"/>
        <v>111.75268817204301</v>
      </c>
      <c r="V75" s="165">
        <f t="shared" si="111"/>
        <v>103.93109890109889</v>
      </c>
      <c r="W75" s="165">
        <f t="shared" si="111"/>
        <v>103.18085106382979</v>
      </c>
      <c r="X75" s="165">
        <f t="shared" si="111"/>
        <v>114.3047619047619</v>
      </c>
      <c r="Y75" s="165">
        <f t="shared" si="111"/>
        <v>114.5</v>
      </c>
      <c r="Z75" s="165">
        <f t="shared" si="111"/>
        <v>103.0625</v>
      </c>
      <c r="AA75" s="165">
        <f t="shared" si="111"/>
        <v>107.08064516129032</v>
      </c>
      <c r="AB75" s="165">
        <f t="shared" si="111"/>
        <v>104.59722222222223</v>
      </c>
      <c r="AC75" s="165">
        <f t="shared" si="111"/>
        <v>106.2394366197183</v>
      </c>
      <c r="AD75" s="165">
        <f t="shared" si="111"/>
        <v>105.05747126436782</v>
      </c>
      <c r="AE75" s="165">
        <f t="shared" si="111"/>
        <v>127.02542372881356</v>
      </c>
      <c r="AF75" s="165">
        <f t="shared" si="111"/>
        <v>123.25</v>
      </c>
      <c r="AG75" s="165">
        <f t="shared" si="111"/>
        <v>102.85</v>
      </c>
      <c r="AH75" s="165">
        <f t="shared" ref="AH75" si="112">+IFERROR(AH77/AH73,0)</f>
        <v>107.54385964912281</v>
      </c>
      <c r="AI75" s="178">
        <f>+AI77/AI73</f>
        <v>128.74853977479114</v>
      </c>
      <c r="AJ75" s="198">
        <f>+AJ77/AJ73</f>
        <v>128.74853977479111</v>
      </c>
    </row>
    <row r="76" spans="1:36" x14ac:dyDescent="0.3">
      <c r="A76" s="203"/>
      <c r="B76" s="162"/>
      <c r="C76" s="163" t="s">
        <v>18</v>
      </c>
      <c r="D76" s="165">
        <f t="shared" ref="D76:AG76" si="113">+D74*D75</f>
        <v>44.533333333333339</v>
      </c>
      <c r="E76" s="165">
        <f t="shared" si="113"/>
        <v>48.333333333333336</v>
      </c>
      <c r="F76" s="165">
        <f t="shared" si="113"/>
        <v>94.683333333333323</v>
      </c>
      <c r="G76" s="165">
        <f t="shared" si="113"/>
        <v>83.016666666666666</v>
      </c>
      <c r="H76" s="165">
        <f t="shared" si="113"/>
        <v>149.09166666666667</v>
      </c>
      <c r="I76" s="165">
        <f t="shared" si="113"/>
        <v>203.71666666666667</v>
      </c>
      <c r="J76" s="165">
        <f t="shared" si="113"/>
        <v>238.55</v>
      </c>
      <c r="K76" s="165">
        <f t="shared" si="113"/>
        <v>189.98333333333335</v>
      </c>
      <c r="L76" s="165">
        <f t="shared" si="113"/>
        <v>39.44166666666667</v>
      </c>
      <c r="M76" s="165">
        <f t="shared" si="113"/>
        <v>71.774999999999991</v>
      </c>
      <c r="N76" s="165">
        <v>98.233333333333334</v>
      </c>
      <c r="O76" s="165">
        <f t="shared" si="113"/>
        <v>121.20833333333333</v>
      </c>
      <c r="P76" s="165">
        <f>+P74*P75</f>
        <v>121.35</v>
      </c>
      <c r="Q76" s="165">
        <f t="shared" si="113"/>
        <v>145.36666666666667</v>
      </c>
      <c r="R76" s="165">
        <f t="shared" si="113"/>
        <v>87.216666666666669</v>
      </c>
      <c r="S76" s="165">
        <f t="shared" si="113"/>
        <v>30.441666666666666</v>
      </c>
      <c r="T76" s="165">
        <f t="shared" si="113"/>
        <v>69.399999999999991</v>
      </c>
      <c r="U76" s="165">
        <f t="shared" si="113"/>
        <v>86.608333333333334</v>
      </c>
      <c r="V76" s="165">
        <f t="shared" si="113"/>
        <v>78.814416666666659</v>
      </c>
      <c r="W76" s="165">
        <f t="shared" si="113"/>
        <v>80.825000000000003</v>
      </c>
      <c r="X76" s="165">
        <f t="shared" si="113"/>
        <v>100.01666666666667</v>
      </c>
      <c r="Y76" s="165">
        <f t="shared" si="113"/>
        <v>104.95833333333333</v>
      </c>
      <c r="Z76" s="165">
        <f t="shared" si="113"/>
        <v>41.225000000000001</v>
      </c>
      <c r="AA76" s="165">
        <f t="shared" si="113"/>
        <v>55.325000000000003</v>
      </c>
      <c r="AB76" s="165">
        <f t="shared" si="113"/>
        <v>62.758333333333333</v>
      </c>
      <c r="AC76" s="165">
        <f t="shared" si="113"/>
        <v>62.858333333333334</v>
      </c>
      <c r="AD76" s="165">
        <f t="shared" si="113"/>
        <v>76.166666666666671</v>
      </c>
      <c r="AE76" s="165">
        <f t="shared" si="113"/>
        <v>124.90833333333333</v>
      </c>
      <c r="AF76" s="165">
        <f t="shared" si="113"/>
        <v>123.25</v>
      </c>
      <c r="AG76" s="165">
        <f t="shared" si="113"/>
        <v>68.566666666666663</v>
      </c>
      <c r="AH76" s="165">
        <f t="shared" ref="AH76" si="114">+AH74*AH75</f>
        <v>51.083333333333329</v>
      </c>
      <c r="AI76" s="178">
        <f>+AI75*AI74</f>
        <v>2953.7060833333335</v>
      </c>
      <c r="AJ76" s="198">
        <f>+AJ74*AJ75</f>
        <v>2953.7060833333326</v>
      </c>
    </row>
    <row r="77" spans="1:36" x14ac:dyDescent="0.3">
      <c r="A77" s="203"/>
      <c r="B77" s="162"/>
      <c r="C77" s="163" t="s">
        <v>19</v>
      </c>
      <c r="D77" s="166">
        <v>5344</v>
      </c>
      <c r="E77" s="166">
        <v>5800</v>
      </c>
      <c r="F77" s="166">
        <v>11362</v>
      </c>
      <c r="G77" s="166">
        <v>9962</v>
      </c>
      <c r="H77" s="166">
        <v>17891</v>
      </c>
      <c r="I77" s="166">
        <v>24446</v>
      </c>
      <c r="J77" s="166">
        <v>28626</v>
      </c>
      <c r="K77" s="166">
        <v>22798</v>
      </c>
      <c r="L77" s="166">
        <v>4733</v>
      </c>
      <c r="M77" s="166">
        <v>8613</v>
      </c>
      <c r="N77" s="166">
        <v>11788</v>
      </c>
      <c r="O77" s="166">
        <v>14545</v>
      </c>
      <c r="P77" s="166">
        <v>14562</v>
      </c>
      <c r="Q77" s="166">
        <v>17444</v>
      </c>
      <c r="R77" s="166">
        <v>10466</v>
      </c>
      <c r="S77" s="166">
        <v>3653</v>
      </c>
      <c r="T77" s="166">
        <v>8328</v>
      </c>
      <c r="U77" s="166">
        <v>10393</v>
      </c>
      <c r="V77" s="166">
        <v>9457.73</v>
      </c>
      <c r="W77" s="166">
        <v>9699</v>
      </c>
      <c r="X77" s="166">
        <v>12002</v>
      </c>
      <c r="Y77" s="166">
        <v>12595</v>
      </c>
      <c r="Z77" s="166">
        <v>4947</v>
      </c>
      <c r="AA77" s="166">
        <v>6639</v>
      </c>
      <c r="AB77" s="166">
        <v>7531</v>
      </c>
      <c r="AC77" s="166">
        <v>7543</v>
      </c>
      <c r="AD77" s="166">
        <v>9140</v>
      </c>
      <c r="AE77" s="166">
        <v>14989</v>
      </c>
      <c r="AF77" s="166">
        <v>14790</v>
      </c>
      <c r="AG77" s="166">
        <v>8228</v>
      </c>
      <c r="AH77" s="166">
        <v>6130</v>
      </c>
      <c r="AI77" s="179">
        <f>SUM(D77:AH77)</f>
        <v>354444.73</v>
      </c>
      <c r="AJ77" s="196">
        <f>+AI77/$A$1*$AK$1</f>
        <v>10987786.629999999</v>
      </c>
    </row>
    <row r="78" spans="1:36" ht="15" thickBot="1" x14ac:dyDescent="0.35">
      <c r="A78" s="237"/>
      <c r="B78" s="167"/>
      <c r="C78" s="163" t="s">
        <v>20</v>
      </c>
      <c r="D78" s="168">
        <f>1360.7/D77</f>
        <v>0.25462200598802398</v>
      </c>
      <c r="E78" s="168">
        <f>959.54/E77</f>
        <v>0.16543793103448276</v>
      </c>
      <c r="F78" s="168">
        <f>854.89/F77</f>
        <v>7.5241154726280582E-2</v>
      </c>
      <c r="G78" s="168">
        <f>1484.49/G77</f>
        <v>0.14901525798032525</v>
      </c>
      <c r="H78" s="168">
        <f>1254.99/H77</f>
        <v>7.0146442345313281E-2</v>
      </c>
      <c r="I78" s="168">
        <f>1249.99/I77</f>
        <v>5.1132700646322506E-2</v>
      </c>
      <c r="J78" s="168">
        <f>1710.47/J77</f>
        <v>5.9752323062949766E-2</v>
      </c>
      <c r="K78" s="168">
        <f>1105.73/K77</f>
        <v>4.8501184314413547E-2</v>
      </c>
      <c r="L78" s="168">
        <f>1096.89/L77</f>
        <v>0.2317536446228608</v>
      </c>
      <c r="M78" s="168">
        <f>1343.51/M77</f>
        <v>0.15598629977940323</v>
      </c>
      <c r="N78" s="168">
        <f>1322.67/N77</f>
        <v>0.11220478452663726</v>
      </c>
      <c r="O78" s="168">
        <f>1277.63/O77</f>
        <v>8.7839807493984193E-2</v>
      </c>
      <c r="P78" s="168">
        <f>1639.72/P77</f>
        <v>0.11260266446916632</v>
      </c>
      <c r="Q78" s="168">
        <f>1229.34/Q77</f>
        <v>7.0473515248796137E-2</v>
      </c>
      <c r="R78" s="168">
        <f>1322.89/R77</f>
        <v>0.12639881521115995</v>
      </c>
      <c r="S78" s="168">
        <f>1130.05/S77</f>
        <v>0.30934848070079385</v>
      </c>
      <c r="T78" s="168">
        <f>1158.82/T77</f>
        <v>0.13914745437079731</v>
      </c>
      <c r="U78" s="168">
        <f>1307.69/U77</f>
        <v>0.12582411238333494</v>
      </c>
      <c r="V78" s="168">
        <f>1575.2/V77</f>
        <v>0.16655159324700536</v>
      </c>
      <c r="W78" s="168">
        <f>1349.74/W77</f>
        <v>0.13916280028868955</v>
      </c>
      <c r="X78" s="168">
        <f>1586.88/X77</f>
        <v>0.13221796367272123</v>
      </c>
      <c r="Y78" s="168">
        <f>935.51/Y77</f>
        <v>7.4276300119094876E-2</v>
      </c>
      <c r="Z78" s="168">
        <f>1140.07/Z77</f>
        <v>0.23045684253082674</v>
      </c>
      <c r="AA78" s="168">
        <f>1521.63/AA77</f>
        <v>0.22919566199728877</v>
      </c>
      <c r="AB78" s="168">
        <f>1474.4/AB77</f>
        <v>0.19577745319346701</v>
      </c>
      <c r="AC78" s="168">
        <f>1729.75/AC77</f>
        <v>0.2293185735118653</v>
      </c>
      <c r="AD78" s="168">
        <f>1593.78/AD77</f>
        <v>0.1743741794310722</v>
      </c>
      <c r="AE78" s="168">
        <f>1535.72/AE77</f>
        <v>0.10245646807658951</v>
      </c>
      <c r="AF78" s="168">
        <f>1197.75/AF77</f>
        <v>8.098377281947261E-2</v>
      </c>
      <c r="AG78" s="168">
        <f>1240.64/AG77</f>
        <v>0.15078269324258631</v>
      </c>
      <c r="AH78" s="168">
        <f>3331.74/AH77</f>
        <v>0.54351386623164755</v>
      </c>
      <c r="AI78" s="180">
        <f>AVERAGE(D78:AG78)</f>
        <v>0.14169942936785745</v>
      </c>
      <c r="AJ78" s="230"/>
    </row>
    <row r="79" spans="1:36" ht="15" thickTop="1" x14ac:dyDescent="0.3">
      <c r="A79" s="203">
        <v>93</v>
      </c>
      <c r="B79" s="28" t="s">
        <v>38</v>
      </c>
      <c r="C79" s="29" t="s">
        <v>15</v>
      </c>
      <c r="D79" s="30">
        <v>78</v>
      </c>
      <c r="E79" s="30">
        <v>71</v>
      </c>
      <c r="F79" s="30">
        <v>81</v>
      </c>
      <c r="G79" s="30">
        <v>85</v>
      </c>
      <c r="H79" s="30">
        <v>89</v>
      </c>
      <c r="I79" s="30">
        <v>93</v>
      </c>
      <c r="J79" s="30">
        <v>93</v>
      </c>
      <c r="K79" s="30">
        <v>84</v>
      </c>
      <c r="L79" s="30">
        <v>62</v>
      </c>
      <c r="M79" s="30">
        <v>65</v>
      </c>
      <c r="N79" s="30">
        <v>83</v>
      </c>
      <c r="O79" s="30">
        <v>92</v>
      </c>
      <c r="P79" s="30">
        <v>90</v>
      </c>
      <c r="Q79" s="30">
        <v>91</v>
      </c>
      <c r="R79" s="30">
        <v>78</v>
      </c>
      <c r="S79" s="30">
        <v>62</v>
      </c>
      <c r="T79" s="30">
        <v>71</v>
      </c>
      <c r="U79" s="30">
        <v>65</v>
      </c>
      <c r="V79" s="30">
        <v>75</v>
      </c>
      <c r="W79" s="30">
        <v>76</v>
      </c>
      <c r="X79" s="30">
        <v>74</v>
      </c>
      <c r="Y79" s="30">
        <v>81</v>
      </c>
      <c r="Z79" s="30">
        <v>73</v>
      </c>
      <c r="AA79" s="30">
        <v>79</v>
      </c>
      <c r="AB79" s="30">
        <v>91</v>
      </c>
      <c r="AC79" s="30">
        <v>92</v>
      </c>
      <c r="AD79" s="30">
        <v>83</v>
      </c>
      <c r="AE79" s="30">
        <v>80</v>
      </c>
      <c r="AF79" s="30">
        <v>93</v>
      </c>
      <c r="AG79" s="30">
        <v>86</v>
      </c>
      <c r="AH79" s="30">
        <v>70</v>
      </c>
      <c r="AI79" s="250">
        <f>SUM(D79:AH79)</f>
        <v>2486</v>
      </c>
      <c r="AJ79" s="191">
        <f>+$AI79/$A$1*$AK$1</f>
        <v>77066</v>
      </c>
    </row>
    <row r="80" spans="1:36" x14ac:dyDescent="0.3">
      <c r="A80" s="203"/>
      <c r="B80" s="33"/>
      <c r="C80" s="34" t="s">
        <v>16</v>
      </c>
      <c r="D80" s="35">
        <f t="shared" ref="D80:AG80" si="115">+D79/$A79</f>
        <v>0.83870967741935487</v>
      </c>
      <c r="E80" s="35">
        <f t="shared" si="115"/>
        <v>0.76344086021505375</v>
      </c>
      <c r="F80" s="35">
        <f t="shared" si="115"/>
        <v>0.87096774193548387</v>
      </c>
      <c r="G80" s="35">
        <f t="shared" si="115"/>
        <v>0.91397849462365588</v>
      </c>
      <c r="H80" s="35">
        <f t="shared" si="115"/>
        <v>0.956989247311828</v>
      </c>
      <c r="I80" s="35">
        <f t="shared" si="115"/>
        <v>1</v>
      </c>
      <c r="J80" s="35">
        <f t="shared" si="115"/>
        <v>1</v>
      </c>
      <c r="K80" s="35">
        <f t="shared" si="115"/>
        <v>0.90322580645161288</v>
      </c>
      <c r="L80" s="35">
        <f>+L79/$A79</f>
        <v>0.66666666666666663</v>
      </c>
      <c r="M80" s="35">
        <f t="shared" si="115"/>
        <v>0.69892473118279574</v>
      </c>
      <c r="N80" s="35">
        <v>0.89247311827956988</v>
      </c>
      <c r="O80" s="35">
        <f t="shared" si="115"/>
        <v>0.989247311827957</v>
      </c>
      <c r="P80" s="35">
        <f t="shared" si="115"/>
        <v>0.967741935483871</v>
      </c>
      <c r="Q80" s="35">
        <f t="shared" si="115"/>
        <v>0.978494623655914</v>
      </c>
      <c r="R80" s="35">
        <f t="shared" si="115"/>
        <v>0.83870967741935487</v>
      </c>
      <c r="S80" s="35">
        <f t="shared" si="115"/>
        <v>0.66666666666666663</v>
      </c>
      <c r="T80" s="35">
        <f t="shared" si="115"/>
        <v>0.76344086021505375</v>
      </c>
      <c r="U80" s="35">
        <f t="shared" si="115"/>
        <v>0.69892473118279574</v>
      </c>
      <c r="V80" s="35">
        <f t="shared" si="115"/>
        <v>0.80645161290322576</v>
      </c>
      <c r="W80" s="35">
        <f t="shared" si="115"/>
        <v>0.81720430107526887</v>
      </c>
      <c r="X80" s="35">
        <f t="shared" si="115"/>
        <v>0.79569892473118276</v>
      </c>
      <c r="Y80" s="35">
        <f t="shared" si="115"/>
        <v>0.87096774193548387</v>
      </c>
      <c r="Z80" s="35">
        <f t="shared" si="115"/>
        <v>0.78494623655913975</v>
      </c>
      <c r="AA80" s="35">
        <f t="shared" si="115"/>
        <v>0.84946236559139787</v>
      </c>
      <c r="AB80" s="35">
        <f t="shared" si="115"/>
        <v>0.978494623655914</v>
      </c>
      <c r="AC80" s="35">
        <f t="shared" si="115"/>
        <v>0.989247311827957</v>
      </c>
      <c r="AD80" s="35">
        <f t="shared" si="115"/>
        <v>0.89247311827956988</v>
      </c>
      <c r="AE80" s="35">
        <f t="shared" si="115"/>
        <v>0.86021505376344087</v>
      </c>
      <c r="AF80" s="35">
        <f t="shared" si="115"/>
        <v>1</v>
      </c>
      <c r="AG80" s="35">
        <f t="shared" si="115"/>
        <v>0.92473118279569888</v>
      </c>
      <c r="AH80" s="35">
        <f t="shared" ref="AH80" si="116">+AH79/$A79</f>
        <v>0.75268817204301075</v>
      </c>
      <c r="AI80" s="172">
        <f>+AI79/(A79*A$1)</f>
        <v>26.731182795698924</v>
      </c>
      <c r="AJ80" s="192">
        <f>AJ79/($A79*31)</f>
        <v>26.731182795698924</v>
      </c>
    </row>
    <row r="81" spans="1:36" x14ac:dyDescent="0.3">
      <c r="A81" s="203"/>
      <c r="B81" s="33"/>
      <c r="C81" s="34" t="s">
        <v>17</v>
      </c>
      <c r="D81" s="37">
        <f>+IFERROR(D83/D79,0)</f>
        <v>105.7948717948718</v>
      </c>
      <c r="E81" s="37">
        <f t="shared" ref="E81:AG81" si="117">+IFERROR(E83/E79,0)</f>
        <v>96.492957746478879</v>
      </c>
      <c r="F81" s="37">
        <f t="shared" si="117"/>
        <v>100.18098765432099</v>
      </c>
      <c r="G81" s="37">
        <f t="shared" si="117"/>
        <v>113.2</v>
      </c>
      <c r="H81" s="37">
        <f t="shared" si="117"/>
        <v>115.91011235955057</v>
      </c>
      <c r="I81" s="37">
        <f t="shared" si="117"/>
        <v>121.35483870967742</v>
      </c>
      <c r="J81" s="37">
        <f t="shared" si="117"/>
        <v>143.3763440860215</v>
      </c>
      <c r="K81" s="37">
        <f t="shared" si="117"/>
        <v>132.23809523809524</v>
      </c>
      <c r="L81" s="37">
        <f t="shared" si="117"/>
        <v>97.387096774193552</v>
      </c>
      <c r="M81" s="37">
        <f t="shared" si="117"/>
        <v>95.215384615384622</v>
      </c>
      <c r="N81" s="37">
        <v>105.26409638554217</v>
      </c>
      <c r="O81" s="37">
        <f t="shared" si="117"/>
        <v>110.10869565217391</v>
      </c>
      <c r="P81" s="37">
        <f t="shared" si="117"/>
        <v>100.21111111111111</v>
      </c>
      <c r="Q81" s="37">
        <f t="shared" si="117"/>
        <v>98.252747252747255</v>
      </c>
      <c r="R81" s="37">
        <f t="shared" si="117"/>
        <v>98.166666666666671</v>
      </c>
      <c r="S81" s="37">
        <f t="shared" si="117"/>
        <v>94.225806451612897</v>
      </c>
      <c r="T81" s="37">
        <f t="shared" si="117"/>
        <v>99.887323943661968</v>
      </c>
      <c r="U81" s="37">
        <f t="shared" si="117"/>
        <v>112.53846153846153</v>
      </c>
      <c r="V81" s="37">
        <f t="shared" si="117"/>
        <v>98.273866666666663</v>
      </c>
      <c r="W81" s="37">
        <f t="shared" si="117"/>
        <v>114.09210526315789</v>
      </c>
      <c r="X81" s="37">
        <f t="shared" si="117"/>
        <v>106.25675675675676</v>
      </c>
      <c r="Y81" s="37">
        <f t="shared" si="117"/>
        <v>111.12345679012346</v>
      </c>
      <c r="Z81" s="37">
        <f t="shared" si="117"/>
        <v>95.343835616438355</v>
      </c>
      <c r="AA81" s="37">
        <f t="shared" si="117"/>
        <v>101.24050632911393</v>
      </c>
      <c r="AB81" s="37">
        <f t="shared" si="117"/>
        <v>104.82417582417582</v>
      </c>
      <c r="AC81" s="37">
        <f t="shared" si="117"/>
        <v>102.98913043478261</v>
      </c>
      <c r="AD81" s="37">
        <f t="shared" si="117"/>
        <v>94.168674698795186</v>
      </c>
      <c r="AE81" s="37">
        <f t="shared" si="117"/>
        <v>120.53749999999999</v>
      </c>
      <c r="AF81" s="37">
        <f t="shared" si="117"/>
        <v>128.92473118279571</v>
      </c>
      <c r="AG81" s="37">
        <f t="shared" si="117"/>
        <v>101.75581395348837</v>
      </c>
      <c r="AH81" s="37">
        <f t="shared" ref="AH81" si="118">+IFERROR(AH83/AH79,0)</f>
        <v>97.828571428571422</v>
      </c>
      <c r="AI81" s="173">
        <f>+AI83/AI79</f>
        <v>107.71086886564764</v>
      </c>
      <c r="AJ81" s="193">
        <f>+AJ83/AJ79</f>
        <v>107.71086886564764</v>
      </c>
    </row>
    <row r="82" spans="1:36" x14ac:dyDescent="0.3">
      <c r="A82" s="203"/>
      <c r="B82" s="33"/>
      <c r="C82" s="34" t="s">
        <v>18</v>
      </c>
      <c r="D82" s="37">
        <f>+D80*D81</f>
        <v>88.731182795698928</v>
      </c>
      <c r="E82" s="37">
        <f t="shared" ref="E82:AG82" si="119">+E80*E81</f>
        <v>73.666666666666671</v>
      </c>
      <c r="F82" s="37">
        <f t="shared" si="119"/>
        <v>87.254408602150534</v>
      </c>
      <c r="G82" s="37">
        <f t="shared" si="119"/>
        <v>103.46236559139784</v>
      </c>
      <c r="H82" s="37">
        <f t="shared" si="119"/>
        <v>110.92473118279571</v>
      </c>
      <c r="I82" s="37">
        <f t="shared" si="119"/>
        <v>121.35483870967742</v>
      </c>
      <c r="J82" s="37">
        <f t="shared" si="119"/>
        <v>143.3763440860215</v>
      </c>
      <c r="K82" s="37">
        <f t="shared" si="119"/>
        <v>119.44086021505376</v>
      </c>
      <c r="L82" s="37">
        <f t="shared" si="119"/>
        <v>64.924731182795696</v>
      </c>
      <c r="M82" s="37">
        <f t="shared" si="119"/>
        <v>66.548387096774206</v>
      </c>
      <c r="N82" s="37">
        <v>93.945376344086029</v>
      </c>
      <c r="O82" s="37">
        <f t="shared" si="119"/>
        <v>108.9247311827957</v>
      </c>
      <c r="P82" s="37">
        <f t="shared" si="119"/>
        <v>96.978494623655919</v>
      </c>
      <c r="Q82" s="37">
        <f t="shared" si="119"/>
        <v>96.13978494623656</v>
      </c>
      <c r="R82" s="37">
        <f t="shared" si="119"/>
        <v>82.333333333333343</v>
      </c>
      <c r="S82" s="37">
        <f t="shared" si="119"/>
        <v>62.817204301075265</v>
      </c>
      <c r="T82" s="37">
        <f t="shared" si="119"/>
        <v>76.258064516129025</v>
      </c>
      <c r="U82" s="37">
        <f t="shared" si="119"/>
        <v>78.655913978494624</v>
      </c>
      <c r="V82" s="37">
        <f t="shared" si="119"/>
        <v>79.25311827956989</v>
      </c>
      <c r="W82" s="37">
        <f t="shared" si="119"/>
        <v>93.236559139784944</v>
      </c>
      <c r="X82" s="37">
        <f t="shared" si="119"/>
        <v>84.548387096774192</v>
      </c>
      <c r="Y82" s="37">
        <f t="shared" si="119"/>
        <v>96.784946236559136</v>
      </c>
      <c r="Z82" s="37">
        <f t="shared" si="119"/>
        <v>74.839784946236549</v>
      </c>
      <c r="AA82" s="37">
        <f t="shared" si="119"/>
        <v>86</v>
      </c>
      <c r="AB82" s="37">
        <f t="shared" si="119"/>
        <v>102.56989247311829</v>
      </c>
      <c r="AC82" s="37">
        <f t="shared" si="119"/>
        <v>101.88172043010753</v>
      </c>
      <c r="AD82" s="37">
        <f t="shared" si="119"/>
        <v>84.043010752688176</v>
      </c>
      <c r="AE82" s="37">
        <f t="shared" si="119"/>
        <v>103.68817204301075</v>
      </c>
      <c r="AF82" s="37">
        <f t="shared" si="119"/>
        <v>128.92473118279571</v>
      </c>
      <c r="AG82" s="37">
        <f t="shared" si="119"/>
        <v>94.096774193548384</v>
      </c>
      <c r="AH82" s="37">
        <f t="shared" ref="AH82" si="120">+AH80*AH81</f>
        <v>73.634408602150529</v>
      </c>
      <c r="AI82" s="173">
        <f>+AI81*AI80</f>
        <v>2879.238924731183</v>
      </c>
      <c r="AJ82" s="193">
        <f>+AJ80*AJ81</f>
        <v>2879.238924731183</v>
      </c>
    </row>
    <row r="83" spans="1:36" x14ac:dyDescent="0.3">
      <c r="A83" s="203"/>
      <c r="B83" s="33"/>
      <c r="C83" s="34" t="s">
        <v>19</v>
      </c>
      <c r="D83" s="158">
        <v>8252</v>
      </c>
      <c r="E83" s="158">
        <v>6851</v>
      </c>
      <c r="F83" s="158">
        <v>8114.66</v>
      </c>
      <c r="G83" s="158">
        <v>9622</v>
      </c>
      <c r="H83" s="158">
        <v>10316</v>
      </c>
      <c r="I83" s="158">
        <v>11286</v>
      </c>
      <c r="J83" s="158">
        <v>13334</v>
      </c>
      <c r="K83" s="158">
        <v>11108</v>
      </c>
      <c r="L83" s="158">
        <v>6038</v>
      </c>
      <c r="M83" s="158">
        <v>6189</v>
      </c>
      <c r="N83" s="158">
        <v>8736.92</v>
      </c>
      <c r="O83" s="158">
        <v>10130</v>
      </c>
      <c r="P83" s="158">
        <v>9019</v>
      </c>
      <c r="Q83" s="158">
        <v>8941</v>
      </c>
      <c r="R83" s="158">
        <v>7657</v>
      </c>
      <c r="S83" s="158">
        <v>5842</v>
      </c>
      <c r="T83" s="158">
        <v>7092</v>
      </c>
      <c r="U83" s="158">
        <v>7315</v>
      </c>
      <c r="V83" s="158">
        <v>7370.54</v>
      </c>
      <c r="W83" s="158">
        <v>8671</v>
      </c>
      <c r="X83" s="158">
        <v>7863</v>
      </c>
      <c r="Y83" s="158">
        <v>9001</v>
      </c>
      <c r="Z83" s="158">
        <v>6960.1</v>
      </c>
      <c r="AA83" s="158">
        <v>7998</v>
      </c>
      <c r="AB83" s="158">
        <v>9539</v>
      </c>
      <c r="AC83" s="158">
        <v>9475</v>
      </c>
      <c r="AD83" s="158">
        <v>7816</v>
      </c>
      <c r="AE83" s="158">
        <v>9643</v>
      </c>
      <c r="AF83" s="158">
        <v>11990</v>
      </c>
      <c r="AG83" s="158">
        <v>8751</v>
      </c>
      <c r="AH83" s="158">
        <v>6848</v>
      </c>
      <c r="AI83" s="174">
        <f>SUM(D83:AH83)</f>
        <v>267769.22000000003</v>
      </c>
      <c r="AJ83" s="191">
        <f>+AI83/$A$1*$AK$1</f>
        <v>8300845.8200000012</v>
      </c>
    </row>
    <row r="84" spans="1:36" x14ac:dyDescent="0.3">
      <c r="A84" s="203"/>
      <c r="B84" s="33"/>
      <c r="C84" s="34" t="s">
        <v>20</v>
      </c>
      <c r="D84" s="225">
        <f>696.57/D83</f>
        <v>8.4412263693650028E-2</v>
      </c>
      <c r="E84" s="225">
        <f>970.41/E83</f>
        <v>0.14164501532622975</v>
      </c>
      <c r="F84" s="225">
        <f>1083.9/F83</f>
        <v>0.13357306405936911</v>
      </c>
      <c r="G84" s="225">
        <f>927.54/G83</f>
        <v>9.6397838287258356E-2</v>
      </c>
      <c r="H84" s="225">
        <f>595.88/H83</f>
        <v>5.7762698720434276E-2</v>
      </c>
      <c r="I84" s="225">
        <f>1184.66/I83</f>
        <v>0.10496721601984761</v>
      </c>
      <c r="J84" s="225">
        <f>979.35/J83</f>
        <v>7.3447577621118948E-2</v>
      </c>
      <c r="K84" s="225">
        <f>663.75/K83</f>
        <v>5.9754231184731728E-2</v>
      </c>
      <c r="L84" s="225">
        <f>599.56/L83</f>
        <v>9.9297780722093401E-2</v>
      </c>
      <c r="M84" s="225">
        <f>860.28/M83</f>
        <v>0.13900145419292292</v>
      </c>
      <c r="N84" s="225">
        <f>1099.73/N83</f>
        <v>0.12587158861475212</v>
      </c>
      <c r="O84" s="225">
        <f>1286.26/O83</f>
        <v>0.12697532082922014</v>
      </c>
      <c r="P84" s="225">
        <f>1424.55/P83</f>
        <v>0.15794988357911077</v>
      </c>
      <c r="Q84" s="225">
        <f>1030.79/Q83</f>
        <v>0.11528799910524549</v>
      </c>
      <c r="R84" s="225">
        <f>714.54/R83</f>
        <v>9.3318532062165338E-2</v>
      </c>
      <c r="S84" s="225">
        <f>997.05/S83</f>
        <v>0.17066929133858266</v>
      </c>
      <c r="T84" s="225">
        <f>1200.44/T83</f>
        <v>0.16926677946982516</v>
      </c>
      <c r="U84" s="225">
        <f>1370.4/U83</f>
        <v>0.18734107997265892</v>
      </c>
      <c r="V84" s="225">
        <f>1304.72/V83</f>
        <v>0.17701823746971049</v>
      </c>
      <c r="W84" s="225">
        <f>1423.65/W83</f>
        <v>0.16418521508476533</v>
      </c>
      <c r="X84" s="225">
        <f>1057.07/X83</f>
        <v>0.13443596591631693</v>
      </c>
      <c r="Y84" s="225">
        <f>790.45/Y83</f>
        <v>8.7818020219975562E-2</v>
      </c>
      <c r="Z84" s="225">
        <f>928.61/Z83</f>
        <v>0.13341906007097598</v>
      </c>
      <c r="AA84" s="225">
        <f>1188.57/AA83</f>
        <v>0.14860840210052512</v>
      </c>
      <c r="AB84" s="225">
        <f>1398.56/AB83</f>
        <v>0.14661494915609602</v>
      </c>
      <c r="AC84" s="225">
        <f>1507.8/AC83</f>
        <v>0.15913456464379946</v>
      </c>
      <c r="AD84" s="225">
        <f>1579.23/AD83</f>
        <v>0.20205092118730808</v>
      </c>
      <c r="AE84" s="225">
        <f>1380.22/AE83</f>
        <v>0.143131805454734</v>
      </c>
      <c r="AF84" s="225">
        <f>916.69/AF83</f>
        <v>7.6454545454545456E-2</v>
      </c>
      <c r="AG84" s="225">
        <f>969.96/AG83</f>
        <v>0.11083990401097017</v>
      </c>
      <c r="AH84" s="225">
        <f>2674.03/AH83</f>
        <v>0.39048335280373836</v>
      </c>
      <c r="AI84" s="234">
        <f>AVERAGE(D84:AH84)</f>
        <v>0.13584305027008636</v>
      </c>
      <c r="AJ84" s="193"/>
    </row>
    <row r="85" spans="1:36" x14ac:dyDescent="0.3">
      <c r="A85" s="203"/>
      <c r="B85" s="33"/>
      <c r="C85" s="34" t="s">
        <v>22</v>
      </c>
      <c r="D85" s="226">
        <v>51.61</v>
      </c>
      <c r="E85" s="226">
        <v>56.99</v>
      </c>
      <c r="F85" s="226">
        <v>58.06</v>
      </c>
      <c r="G85" s="226">
        <v>27.96</v>
      </c>
      <c r="H85" s="226">
        <v>59.14</v>
      </c>
      <c r="I85" s="226">
        <v>59.14</v>
      </c>
      <c r="J85" s="226"/>
      <c r="K85" s="226">
        <v>56.99</v>
      </c>
      <c r="L85" s="226">
        <v>49.46</v>
      </c>
      <c r="M85" s="226">
        <v>55.91</v>
      </c>
      <c r="N85" s="226">
        <v>70.97</v>
      </c>
      <c r="O85" s="226">
        <v>67.739999999999995</v>
      </c>
      <c r="P85" s="226">
        <v>64.739999999999995</v>
      </c>
      <c r="Q85" s="226">
        <v>64.52</v>
      </c>
      <c r="R85" s="226"/>
      <c r="S85" s="226">
        <v>55.91</v>
      </c>
      <c r="T85" s="226">
        <v>56.99</v>
      </c>
      <c r="U85" s="226">
        <v>56.99</v>
      </c>
      <c r="V85" s="226">
        <v>58.06</v>
      </c>
      <c r="W85" s="226"/>
      <c r="X85" s="226">
        <v>56.99</v>
      </c>
      <c r="Y85" s="226">
        <v>55.91</v>
      </c>
      <c r="Z85" s="226">
        <v>54.84</v>
      </c>
      <c r="AA85" s="226">
        <v>55.91</v>
      </c>
      <c r="AB85" s="226">
        <v>55.91</v>
      </c>
      <c r="AC85" s="226"/>
      <c r="AD85" s="226"/>
      <c r="AE85" s="226">
        <v>52.69</v>
      </c>
      <c r="AF85" s="226">
        <v>50.54</v>
      </c>
      <c r="AG85" s="226">
        <v>50.54</v>
      </c>
      <c r="AH85" s="226">
        <v>45.16</v>
      </c>
      <c r="AI85" s="174"/>
      <c r="AJ85" s="193"/>
    </row>
    <row r="86" spans="1:36" x14ac:dyDescent="0.3">
      <c r="A86" s="203"/>
      <c r="B86" s="33"/>
      <c r="C86" s="34" t="s">
        <v>23</v>
      </c>
      <c r="D86" s="226">
        <v>90.82</v>
      </c>
      <c r="E86" s="226">
        <v>89.52</v>
      </c>
      <c r="F86" s="226">
        <v>92.36</v>
      </c>
      <c r="G86" s="226">
        <v>74.58</v>
      </c>
      <c r="H86" s="226">
        <v>94.63</v>
      </c>
      <c r="I86" s="226">
        <v>97.54</v>
      </c>
      <c r="J86" s="226"/>
      <c r="K86" s="226">
        <v>95.95</v>
      </c>
      <c r="L86" s="226">
        <v>88.92</v>
      </c>
      <c r="M86" s="226">
        <v>93.1</v>
      </c>
      <c r="N86" s="226">
        <v>99.38</v>
      </c>
      <c r="O86" s="226">
        <v>95.62</v>
      </c>
      <c r="P86" s="226">
        <v>94.91</v>
      </c>
      <c r="Q86" s="226">
        <v>94.55</v>
      </c>
      <c r="R86" s="226"/>
      <c r="S86" s="226">
        <v>95.31</v>
      </c>
      <c r="T86" s="226">
        <v>94.2</v>
      </c>
      <c r="U86" s="226">
        <v>94.2</v>
      </c>
      <c r="V86" s="226">
        <v>99.05</v>
      </c>
      <c r="W86" s="226"/>
      <c r="X86" s="226">
        <v>90.22</v>
      </c>
      <c r="Y86" s="226">
        <v>91.89</v>
      </c>
      <c r="Z86" s="226">
        <v>96.5</v>
      </c>
      <c r="AA86" s="226">
        <v>97.7</v>
      </c>
      <c r="AB86" s="226">
        <v>97.7</v>
      </c>
      <c r="AC86" s="226"/>
      <c r="AD86" s="226"/>
      <c r="AE86" s="226">
        <v>95.87</v>
      </c>
      <c r="AF86" s="226">
        <v>93.39</v>
      </c>
      <c r="AG86" s="226">
        <v>93.39</v>
      </c>
      <c r="AH86" s="226">
        <v>93.48</v>
      </c>
      <c r="AI86" s="174"/>
      <c r="AJ86" s="193"/>
    </row>
    <row r="87" spans="1:36" ht="15" thickBot="1" x14ac:dyDescent="0.35">
      <c r="A87" s="237"/>
      <c r="B87" s="40"/>
      <c r="C87" s="34" t="s">
        <v>24</v>
      </c>
      <c r="D87" s="226">
        <v>46.87</v>
      </c>
      <c r="E87" s="226">
        <v>51.02</v>
      </c>
      <c r="F87" s="226">
        <v>53.64</v>
      </c>
      <c r="G87" s="226">
        <v>20.85</v>
      </c>
      <c r="H87" s="226">
        <v>55.96</v>
      </c>
      <c r="I87" s="226">
        <v>57.69</v>
      </c>
      <c r="J87" s="226"/>
      <c r="K87" s="226">
        <v>54.68</v>
      </c>
      <c r="L87" s="226">
        <v>43.98</v>
      </c>
      <c r="M87" s="226">
        <v>52.05</v>
      </c>
      <c r="N87" s="226">
        <v>70.53</v>
      </c>
      <c r="O87" s="226">
        <v>64.77</v>
      </c>
      <c r="P87" s="226">
        <v>64.290000000000006</v>
      </c>
      <c r="Q87" s="226">
        <v>61</v>
      </c>
      <c r="R87" s="226"/>
      <c r="S87" s="226">
        <v>53.29</v>
      </c>
      <c r="T87" s="226">
        <v>53.68</v>
      </c>
      <c r="U87" s="226">
        <v>53.68</v>
      </c>
      <c r="V87" s="226">
        <v>57.51</v>
      </c>
      <c r="W87" s="226"/>
      <c r="X87" s="226">
        <v>51.42</v>
      </c>
      <c r="Y87" s="226">
        <v>51.38</v>
      </c>
      <c r="Z87" s="226">
        <v>52.92</v>
      </c>
      <c r="AA87" s="226">
        <v>54.62</v>
      </c>
      <c r="AB87" s="226">
        <v>54.62</v>
      </c>
      <c r="AC87" s="226"/>
      <c r="AD87" s="226"/>
      <c r="AE87" s="226">
        <v>50.51</v>
      </c>
      <c r="AF87" s="226">
        <v>47.2</v>
      </c>
      <c r="AG87" s="226">
        <v>47.2</v>
      </c>
      <c r="AH87" s="226">
        <v>42.22</v>
      </c>
      <c r="AI87" s="182"/>
      <c r="AJ87" s="193"/>
    </row>
    <row r="88" spans="1:36" x14ac:dyDescent="0.3">
      <c r="A88" s="203">
        <v>118</v>
      </c>
      <c r="B88" s="159" t="s">
        <v>39</v>
      </c>
      <c r="C88" s="160" t="s">
        <v>15</v>
      </c>
      <c r="D88" s="228">
        <v>91</v>
      </c>
      <c r="E88" s="228">
        <v>58</v>
      </c>
      <c r="F88" s="228">
        <v>89</v>
      </c>
      <c r="G88" s="228">
        <v>49</v>
      </c>
      <c r="H88" s="228">
        <v>105</v>
      </c>
      <c r="I88" s="228">
        <v>113</v>
      </c>
      <c r="J88" s="228">
        <v>116</v>
      </c>
      <c r="K88" s="228">
        <v>109</v>
      </c>
      <c r="L88" s="228">
        <v>51</v>
      </c>
      <c r="M88" s="228">
        <v>69</v>
      </c>
      <c r="N88" s="228">
        <v>86</v>
      </c>
      <c r="O88" s="228">
        <v>85</v>
      </c>
      <c r="P88" s="228">
        <v>90</v>
      </c>
      <c r="Q88" s="228">
        <v>97</v>
      </c>
      <c r="R88" s="228">
        <v>92</v>
      </c>
      <c r="S88" s="228">
        <v>41</v>
      </c>
      <c r="T88" s="228">
        <v>66</v>
      </c>
      <c r="U88" s="228">
        <v>60</v>
      </c>
      <c r="V88" s="228">
        <v>73</v>
      </c>
      <c r="W88" s="228">
        <v>75</v>
      </c>
      <c r="X88" s="228">
        <v>87</v>
      </c>
      <c r="Y88" s="228">
        <v>94</v>
      </c>
      <c r="Z88" s="228">
        <v>44</v>
      </c>
      <c r="AA88" s="228">
        <v>57</v>
      </c>
      <c r="AB88" s="228">
        <v>76</v>
      </c>
      <c r="AC88" s="228">
        <v>79</v>
      </c>
      <c r="AD88" s="228">
        <v>68</v>
      </c>
      <c r="AE88" s="228">
        <v>95</v>
      </c>
      <c r="AF88" s="228">
        <v>111</v>
      </c>
      <c r="AG88" s="228">
        <v>87</v>
      </c>
      <c r="AH88" s="228">
        <v>53</v>
      </c>
      <c r="AI88" s="189">
        <f>SUM(D88:AH88)</f>
        <v>2466</v>
      </c>
      <c r="AJ88" s="217">
        <f>+$AI88/$A$1*$AK$1</f>
        <v>76446</v>
      </c>
    </row>
    <row r="89" spans="1:36" x14ac:dyDescent="0.3">
      <c r="A89" s="203"/>
      <c r="B89" s="162"/>
      <c r="C89" s="163" t="s">
        <v>16</v>
      </c>
      <c r="D89" s="164">
        <f>+D88/$A88</f>
        <v>0.77118644067796616</v>
      </c>
      <c r="E89" s="164">
        <f t="shared" ref="E89:AG89" si="121">+E88/$A88</f>
        <v>0.49152542372881358</v>
      </c>
      <c r="F89" s="164">
        <f t="shared" si="121"/>
        <v>0.75423728813559321</v>
      </c>
      <c r="G89" s="164">
        <f t="shared" si="121"/>
        <v>0.4152542372881356</v>
      </c>
      <c r="H89" s="164">
        <f t="shared" si="121"/>
        <v>0.88983050847457623</v>
      </c>
      <c r="I89" s="164">
        <f t="shared" si="121"/>
        <v>0.9576271186440678</v>
      </c>
      <c r="J89" s="164">
        <f t="shared" si="121"/>
        <v>0.98305084745762716</v>
      </c>
      <c r="K89" s="164">
        <f t="shared" si="121"/>
        <v>0.92372881355932202</v>
      </c>
      <c r="L89" s="164">
        <f t="shared" si="121"/>
        <v>0.43220338983050849</v>
      </c>
      <c r="M89" s="164">
        <f t="shared" si="121"/>
        <v>0.5847457627118644</v>
      </c>
      <c r="N89" s="164">
        <v>0.72881355932203384</v>
      </c>
      <c r="O89" s="164">
        <f t="shared" si="121"/>
        <v>0.72033898305084743</v>
      </c>
      <c r="P89" s="164">
        <f t="shared" si="121"/>
        <v>0.76271186440677963</v>
      </c>
      <c r="Q89" s="164">
        <f t="shared" si="121"/>
        <v>0.82203389830508478</v>
      </c>
      <c r="R89" s="164">
        <f t="shared" si="121"/>
        <v>0.77966101694915257</v>
      </c>
      <c r="S89" s="164">
        <f t="shared" si="121"/>
        <v>0.34745762711864409</v>
      </c>
      <c r="T89" s="164">
        <f t="shared" si="121"/>
        <v>0.55932203389830504</v>
      </c>
      <c r="U89" s="164">
        <f t="shared" si="121"/>
        <v>0.50847457627118642</v>
      </c>
      <c r="V89" s="164">
        <f t="shared" si="121"/>
        <v>0.61864406779661019</v>
      </c>
      <c r="W89" s="164">
        <f t="shared" si="121"/>
        <v>0.63559322033898302</v>
      </c>
      <c r="X89" s="164">
        <f t="shared" si="121"/>
        <v>0.73728813559322037</v>
      </c>
      <c r="Y89" s="164">
        <f t="shared" si="121"/>
        <v>0.79661016949152541</v>
      </c>
      <c r="Z89" s="164">
        <f t="shared" si="121"/>
        <v>0.3728813559322034</v>
      </c>
      <c r="AA89" s="164">
        <f t="shared" si="121"/>
        <v>0.48305084745762711</v>
      </c>
      <c r="AB89" s="164">
        <f t="shared" si="121"/>
        <v>0.64406779661016944</v>
      </c>
      <c r="AC89" s="164">
        <f t="shared" si="121"/>
        <v>0.66949152542372881</v>
      </c>
      <c r="AD89" s="164">
        <f t="shared" si="121"/>
        <v>0.57627118644067798</v>
      </c>
      <c r="AE89" s="164">
        <f t="shared" si="121"/>
        <v>0.80508474576271183</v>
      </c>
      <c r="AF89" s="164">
        <f t="shared" si="121"/>
        <v>0.94067796610169496</v>
      </c>
      <c r="AG89" s="164">
        <f t="shared" si="121"/>
        <v>0.73728813559322037</v>
      </c>
      <c r="AH89" s="164">
        <f t="shared" ref="AH89" si="122">+AH88/$A88</f>
        <v>0.44915254237288138</v>
      </c>
      <c r="AI89" s="177">
        <f>+AI88/(A88*A$1)</f>
        <v>20.898305084745761</v>
      </c>
      <c r="AJ89" s="197">
        <f>AJ88/($A88*31)</f>
        <v>20.898305084745761</v>
      </c>
    </row>
    <row r="90" spans="1:36" x14ac:dyDescent="0.3">
      <c r="A90" s="203"/>
      <c r="B90" s="162"/>
      <c r="C90" s="163" t="s">
        <v>17</v>
      </c>
      <c r="D90" s="165">
        <f t="shared" ref="D90:AG90" si="123">+IFERROR(D92/D88,0)</f>
        <v>103.78021978021978</v>
      </c>
      <c r="E90" s="165">
        <f t="shared" si="123"/>
        <v>82.275862068965523</v>
      </c>
      <c r="F90" s="165">
        <f t="shared" si="123"/>
        <v>91.617977528089881</v>
      </c>
      <c r="G90" s="165">
        <f t="shared" si="123"/>
        <v>146.38204081632654</v>
      </c>
      <c r="H90" s="165">
        <f t="shared" si="123"/>
        <v>133.19999999999999</v>
      </c>
      <c r="I90" s="165">
        <f t="shared" si="123"/>
        <v>202.18584070796462</v>
      </c>
      <c r="J90" s="165">
        <f t="shared" si="123"/>
        <v>221.93965517241378</v>
      </c>
      <c r="K90" s="165">
        <f t="shared" si="123"/>
        <v>210.83486238532109</v>
      </c>
      <c r="L90" s="165">
        <f t="shared" si="123"/>
        <v>95.058823529411768</v>
      </c>
      <c r="M90" s="165">
        <f t="shared" si="123"/>
        <v>92.768115942028984</v>
      </c>
      <c r="N90" s="165">
        <v>96.674418604651166</v>
      </c>
      <c r="O90" s="165">
        <f t="shared" si="123"/>
        <v>91.917647058823533</v>
      </c>
      <c r="P90" s="165">
        <f t="shared" si="123"/>
        <v>107.64444444444445</v>
      </c>
      <c r="Q90" s="165">
        <f t="shared" si="123"/>
        <v>123.60824742268041</v>
      </c>
      <c r="R90" s="165">
        <f t="shared" si="123"/>
        <v>113.09782608695652</v>
      </c>
      <c r="S90" s="165">
        <f t="shared" si="123"/>
        <v>89.219512195121951</v>
      </c>
      <c r="T90" s="165">
        <f t="shared" si="123"/>
        <v>96.924242424242422</v>
      </c>
      <c r="U90" s="165">
        <f t="shared" si="123"/>
        <v>97.65</v>
      </c>
      <c r="V90" s="165">
        <f t="shared" si="123"/>
        <v>98.758630136986298</v>
      </c>
      <c r="W90" s="165">
        <f t="shared" si="123"/>
        <v>101.64</v>
      </c>
      <c r="X90" s="165">
        <f t="shared" si="123"/>
        <v>117.41379310344827</v>
      </c>
      <c r="Y90" s="165">
        <f t="shared" si="123"/>
        <v>125.59574468085107</v>
      </c>
      <c r="Z90" s="165">
        <f t="shared" si="123"/>
        <v>94.659090909090907</v>
      </c>
      <c r="AA90" s="165">
        <f t="shared" si="123"/>
        <v>108.08771929824562</v>
      </c>
      <c r="AB90" s="165">
        <f t="shared" si="123"/>
        <v>107.06578947368421</v>
      </c>
      <c r="AC90" s="165">
        <f t="shared" si="123"/>
        <v>96.860759493670884</v>
      </c>
      <c r="AD90" s="165">
        <f t="shared" si="123"/>
        <v>115.70588235294117</v>
      </c>
      <c r="AE90" s="165">
        <f t="shared" si="123"/>
        <v>133.36842105263159</v>
      </c>
      <c r="AF90" s="165">
        <f t="shared" si="123"/>
        <v>139.52252252252254</v>
      </c>
      <c r="AG90" s="165">
        <f t="shared" si="123"/>
        <v>100.96551724137932</v>
      </c>
      <c r="AH90" s="165">
        <f t="shared" ref="AH90" si="124">+IFERROR(AH92/AH88,0)</f>
        <v>97.905660377358487</v>
      </c>
      <c r="AI90" s="178">
        <f>+AI92/AI88</f>
        <v>123.04991889699917</v>
      </c>
      <c r="AJ90" s="198">
        <f>+AJ92/AJ88</f>
        <v>123.04991889699919</v>
      </c>
    </row>
    <row r="91" spans="1:36" x14ac:dyDescent="0.3">
      <c r="A91" s="203"/>
      <c r="B91" s="162"/>
      <c r="C91" s="163" t="s">
        <v>18</v>
      </c>
      <c r="D91" s="165">
        <f t="shared" ref="D91:AG91" si="125">+D89*D90</f>
        <v>80.033898305084747</v>
      </c>
      <c r="E91" s="165">
        <f t="shared" si="125"/>
        <v>40.440677966101703</v>
      </c>
      <c r="F91" s="165">
        <f t="shared" si="125"/>
        <v>69.101694915254228</v>
      </c>
      <c r="G91" s="165">
        <f t="shared" si="125"/>
        <v>60.785762711864407</v>
      </c>
      <c r="H91" s="165">
        <f t="shared" si="125"/>
        <v>118.52542372881355</v>
      </c>
      <c r="I91" s="165">
        <f t="shared" si="125"/>
        <v>193.61864406779662</v>
      </c>
      <c r="J91" s="165">
        <f t="shared" si="125"/>
        <v>218.17796610169492</v>
      </c>
      <c r="K91" s="165">
        <f t="shared" si="125"/>
        <v>194.75423728813558</v>
      </c>
      <c r="L91" s="165">
        <f t="shared" si="125"/>
        <v>41.084745762711869</v>
      </c>
      <c r="M91" s="165">
        <f t="shared" si="125"/>
        <v>54.245762711864408</v>
      </c>
      <c r="N91" s="165">
        <v>70.457627118644069</v>
      </c>
      <c r="O91" s="165">
        <f t="shared" si="125"/>
        <v>66.211864406779654</v>
      </c>
      <c r="P91" s="165">
        <f t="shared" si="125"/>
        <v>82.101694915254228</v>
      </c>
      <c r="Q91" s="165">
        <f t="shared" si="125"/>
        <v>101.61016949152543</v>
      </c>
      <c r="R91" s="165">
        <f t="shared" si="125"/>
        <v>88.177966101694921</v>
      </c>
      <c r="S91" s="165">
        <f t="shared" si="125"/>
        <v>31</v>
      </c>
      <c r="T91" s="165">
        <f t="shared" si="125"/>
        <v>54.211864406779654</v>
      </c>
      <c r="U91" s="165">
        <f t="shared" si="125"/>
        <v>49.652542372881356</v>
      </c>
      <c r="V91" s="165">
        <f t="shared" si="125"/>
        <v>61.0964406779661</v>
      </c>
      <c r="W91" s="165">
        <f t="shared" si="125"/>
        <v>64.601694915254228</v>
      </c>
      <c r="X91" s="165">
        <f t="shared" si="125"/>
        <v>86.567796610169495</v>
      </c>
      <c r="Y91" s="165">
        <f t="shared" si="125"/>
        <v>100.05084745762713</v>
      </c>
      <c r="Z91" s="165">
        <f t="shared" si="125"/>
        <v>35.296610169491522</v>
      </c>
      <c r="AA91" s="165">
        <f t="shared" si="125"/>
        <v>52.211864406779661</v>
      </c>
      <c r="AB91" s="165">
        <f t="shared" si="125"/>
        <v>68.957627118644055</v>
      </c>
      <c r="AC91" s="165">
        <f t="shared" si="125"/>
        <v>64.847457627118644</v>
      </c>
      <c r="AD91" s="165">
        <f t="shared" si="125"/>
        <v>66.677966101694921</v>
      </c>
      <c r="AE91" s="165">
        <f t="shared" si="125"/>
        <v>107.37288135593221</v>
      </c>
      <c r="AF91" s="165">
        <f t="shared" si="125"/>
        <v>131.24576271186442</v>
      </c>
      <c r="AG91" s="165">
        <f t="shared" si="125"/>
        <v>74.440677966101703</v>
      </c>
      <c r="AH91" s="165">
        <f t="shared" ref="AH91" si="126">+AH89*AH90</f>
        <v>43.974576271186443</v>
      </c>
      <c r="AI91" s="178">
        <f>+AI90*AI89</f>
        <v>2571.5347457627113</v>
      </c>
      <c r="AJ91" s="198">
        <f>+AJ89*AJ90</f>
        <v>2571.5347457627117</v>
      </c>
    </row>
    <row r="92" spans="1:36" x14ac:dyDescent="0.3">
      <c r="A92" s="203"/>
      <c r="B92" s="162"/>
      <c r="C92" s="163" t="s">
        <v>19</v>
      </c>
      <c r="D92" s="166">
        <v>9444</v>
      </c>
      <c r="E92" s="166">
        <v>4772</v>
      </c>
      <c r="F92" s="166">
        <v>8154</v>
      </c>
      <c r="G92" s="166">
        <v>7172.72</v>
      </c>
      <c r="H92" s="166">
        <v>13986</v>
      </c>
      <c r="I92" s="166">
        <v>22847</v>
      </c>
      <c r="J92" s="166">
        <v>25745</v>
      </c>
      <c r="K92" s="166">
        <v>22981</v>
      </c>
      <c r="L92" s="166">
        <v>4848</v>
      </c>
      <c r="M92" s="166">
        <v>6401</v>
      </c>
      <c r="N92" s="166">
        <v>8314</v>
      </c>
      <c r="O92" s="166">
        <v>7813</v>
      </c>
      <c r="P92" s="166">
        <v>9688</v>
      </c>
      <c r="Q92" s="166">
        <v>11990</v>
      </c>
      <c r="R92" s="166">
        <v>10405</v>
      </c>
      <c r="S92" s="166">
        <v>3658</v>
      </c>
      <c r="T92" s="166">
        <v>6397</v>
      </c>
      <c r="U92" s="166">
        <v>5859</v>
      </c>
      <c r="V92" s="166">
        <v>7209.38</v>
      </c>
      <c r="W92" s="166">
        <v>7623</v>
      </c>
      <c r="X92" s="166">
        <v>10215</v>
      </c>
      <c r="Y92" s="166">
        <v>11806</v>
      </c>
      <c r="Z92" s="166">
        <v>4165</v>
      </c>
      <c r="AA92" s="166">
        <v>6161</v>
      </c>
      <c r="AB92" s="166">
        <v>8137</v>
      </c>
      <c r="AC92" s="166">
        <v>7652</v>
      </c>
      <c r="AD92" s="166">
        <v>7868</v>
      </c>
      <c r="AE92" s="166">
        <v>12670</v>
      </c>
      <c r="AF92" s="166">
        <v>15487</v>
      </c>
      <c r="AG92" s="166">
        <v>8784</v>
      </c>
      <c r="AH92" s="166">
        <v>5189</v>
      </c>
      <c r="AI92" s="179">
        <f>SUM(D92:AH92)</f>
        <v>303441.09999999998</v>
      </c>
      <c r="AJ92" s="196">
        <f>+AI92/$A$1*$AK$1</f>
        <v>9406674.0999999996</v>
      </c>
    </row>
    <row r="93" spans="1:36" ht="15" thickBot="1" x14ac:dyDescent="0.35">
      <c r="A93" s="203"/>
      <c r="B93" s="205"/>
      <c r="C93" s="206" t="s">
        <v>20</v>
      </c>
      <c r="D93" s="231">
        <f>830.01/D92</f>
        <v>8.7887547649301137E-2</v>
      </c>
      <c r="E93" s="231">
        <f>753.1/E92</f>
        <v>0.15781642917015926</v>
      </c>
      <c r="F93" s="231">
        <f>831.26/F92</f>
        <v>0.10194505764042187</v>
      </c>
      <c r="G93" s="231">
        <f>765.85/G92</f>
        <v>0.10677260509262873</v>
      </c>
      <c r="H93" s="231">
        <f>1018.5/H92</f>
        <v>7.2822822822822819E-2</v>
      </c>
      <c r="I93" s="231">
        <f>1008.59/I92</f>
        <v>4.4145402022147326E-2</v>
      </c>
      <c r="J93" s="231">
        <f>1189.26/J92</f>
        <v>4.6193824043503591E-2</v>
      </c>
      <c r="K93" s="231">
        <f>771.25/K92</f>
        <v>3.356033244854445E-2</v>
      </c>
      <c r="L93" s="231">
        <f>878.43/L92</f>
        <v>0.18119430693069305</v>
      </c>
      <c r="M93" s="231">
        <f>755.8/M92</f>
        <v>0.11807530073426026</v>
      </c>
      <c r="N93" s="231">
        <f>846.1/N92</f>
        <v>0.10176810199663219</v>
      </c>
      <c r="O93" s="231"/>
      <c r="P93" s="231">
        <f>1240/P92</f>
        <v>0.12799339388934763</v>
      </c>
      <c r="Q93" s="231">
        <f>988.3/Q92</f>
        <v>8.242702251876563E-2</v>
      </c>
      <c r="R93" s="231">
        <f>847.59/R92</f>
        <v>8.1459875060067272E-2</v>
      </c>
      <c r="S93" s="231">
        <f>633.9/S92</f>
        <v>0.17329141607435758</v>
      </c>
      <c r="T93" s="231">
        <f>876.96/T92</f>
        <v>0.13708926059090198</v>
      </c>
      <c r="U93" s="231">
        <f>936.64/U92</f>
        <v>0.15986345792797405</v>
      </c>
      <c r="V93" s="231">
        <f>914.31/V92</f>
        <v>0.12682227875351276</v>
      </c>
      <c r="W93" s="231">
        <f>953.98/W92</f>
        <v>0.12514495605404696</v>
      </c>
      <c r="X93" s="231">
        <f>892.06/X92</f>
        <v>8.7328438570729319E-2</v>
      </c>
      <c r="Y93" s="231">
        <f>718.03/Y92</f>
        <v>6.0819075046586478E-2</v>
      </c>
      <c r="Z93" s="231">
        <f>909.28/Z92</f>
        <v>0.21831452581032412</v>
      </c>
      <c r="AA93" s="231">
        <f>935.56/AA92</f>
        <v>0.15185197208245413</v>
      </c>
      <c r="AB93" s="231">
        <f>875.87/AB92</f>
        <v>0.10764040801278113</v>
      </c>
      <c r="AC93" s="231">
        <f>1039.97/AC92</f>
        <v>0.13590825927861996</v>
      </c>
      <c r="AD93" s="231">
        <f>1076.83/AD92</f>
        <v>0.13686197254702592</v>
      </c>
      <c r="AE93" s="231">
        <f>1010.27/AE92</f>
        <v>7.9737174427782165E-2</v>
      </c>
      <c r="AF93" s="231">
        <f>959.15/AF92</f>
        <v>6.1932588622715827E-2</v>
      </c>
      <c r="AG93" s="231">
        <f>883.58/AG92</f>
        <v>0.10058970856102004</v>
      </c>
      <c r="AH93" s="231">
        <f>1848.06/AH92</f>
        <v>0.35614954711890534</v>
      </c>
      <c r="AI93" s="232">
        <f>AVERAGE(D93:AG93)</f>
        <v>0.11059508670276302</v>
      </c>
      <c r="AJ93" s="230"/>
    </row>
    <row r="94" spans="1:36" x14ac:dyDescent="0.3">
      <c r="A94" s="203">
        <v>103</v>
      </c>
      <c r="B94" s="201" t="s">
        <v>40</v>
      </c>
      <c r="C94" s="104" t="s">
        <v>15</v>
      </c>
      <c r="D94" s="59">
        <v>90</v>
      </c>
      <c r="E94" s="59">
        <v>38</v>
      </c>
      <c r="F94" s="59">
        <v>54</v>
      </c>
      <c r="G94" s="59">
        <v>53</v>
      </c>
      <c r="H94" s="59">
        <v>49</v>
      </c>
      <c r="I94" s="59">
        <v>42</v>
      </c>
      <c r="J94" s="59">
        <v>64</v>
      </c>
      <c r="K94" s="59">
        <v>66</v>
      </c>
      <c r="L94" s="59">
        <v>44</v>
      </c>
      <c r="M94" s="59">
        <v>51</v>
      </c>
      <c r="N94" s="59">
        <v>56</v>
      </c>
      <c r="O94" s="59">
        <v>51</v>
      </c>
      <c r="P94" s="59">
        <v>45</v>
      </c>
      <c r="Q94" s="59">
        <v>61</v>
      </c>
      <c r="R94" s="59">
        <v>90</v>
      </c>
      <c r="S94" s="59">
        <v>54</v>
      </c>
      <c r="T94" s="59">
        <v>58</v>
      </c>
      <c r="U94" s="59">
        <v>69</v>
      </c>
      <c r="V94" s="59">
        <v>73</v>
      </c>
      <c r="W94" s="59">
        <v>66</v>
      </c>
      <c r="X94" s="59">
        <v>82</v>
      </c>
      <c r="Y94" s="59">
        <v>80</v>
      </c>
      <c r="Z94" s="59">
        <v>54</v>
      </c>
      <c r="AA94" s="59">
        <v>62</v>
      </c>
      <c r="AB94" s="59">
        <v>69</v>
      </c>
      <c r="AC94" s="59">
        <v>64</v>
      </c>
      <c r="AD94" s="59">
        <v>68</v>
      </c>
      <c r="AE94" s="59">
        <v>85</v>
      </c>
      <c r="AF94" s="59">
        <v>98</v>
      </c>
      <c r="AG94" s="59">
        <v>88</v>
      </c>
      <c r="AH94" s="59">
        <v>76</v>
      </c>
      <c r="AI94" s="183">
        <f>SUM(D94:AH94)</f>
        <v>2000</v>
      </c>
      <c r="AJ94" s="204">
        <f>+$AI94/$A$1*$AK$1</f>
        <v>62000</v>
      </c>
    </row>
    <row r="95" spans="1:36" x14ac:dyDescent="0.3">
      <c r="A95" s="203"/>
      <c r="B95" s="33"/>
      <c r="C95" s="34" t="s">
        <v>16</v>
      </c>
      <c r="D95" s="35">
        <f t="shared" ref="D95:AG95" si="127">+D94/$A94</f>
        <v>0.87378640776699024</v>
      </c>
      <c r="E95" s="35">
        <f t="shared" si="127"/>
        <v>0.36893203883495146</v>
      </c>
      <c r="F95" s="35">
        <f t="shared" si="127"/>
        <v>0.52427184466019416</v>
      </c>
      <c r="G95" s="35">
        <f t="shared" si="127"/>
        <v>0.5145631067961165</v>
      </c>
      <c r="H95" s="35">
        <f t="shared" si="127"/>
        <v>0.47572815533980584</v>
      </c>
      <c r="I95" s="35">
        <f t="shared" si="127"/>
        <v>0.40776699029126212</v>
      </c>
      <c r="J95" s="35">
        <f t="shared" si="127"/>
        <v>0.62135922330097082</v>
      </c>
      <c r="K95" s="35">
        <f t="shared" si="127"/>
        <v>0.64077669902912626</v>
      </c>
      <c r="L95" s="35">
        <f t="shared" si="127"/>
        <v>0.42718446601941745</v>
      </c>
      <c r="M95" s="35">
        <f t="shared" si="127"/>
        <v>0.49514563106796117</v>
      </c>
      <c r="N95" s="35">
        <v>0.5436893203883495</v>
      </c>
      <c r="O95" s="35">
        <f t="shared" si="127"/>
        <v>0.49514563106796117</v>
      </c>
      <c r="P95" s="35">
        <f t="shared" si="127"/>
        <v>0.43689320388349512</v>
      </c>
      <c r="Q95" s="35">
        <f t="shared" si="127"/>
        <v>0.59223300970873782</v>
      </c>
      <c r="R95" s="35">
        <f t="shared" si="127"/>
        <v>0.87378640776699024</v>
      </c>
      <c r="S95" s="35">
        <f t="shared" si="127"/>
        <v>0.52427184466019416</v>
      </c>
      <c r="T95" s="35">
        <f t="shared" si="127"/>
        <v>0.56310679611650483</v>
      </c>
      <c r="U95" s="35">
        <f t="shared" si="127"/>
        <v>0.66990291262135926</v>
      </c>
      <c r="V95" s="35">
        <f t="shared" si="127"/>
        <v>0.70873786407766992</v>
      </c>
      <c r="W95" s="35">
        <f t="shared" si="127"/>
        <v>0.64077669902912626</v>
      </c>
      <c r="X95" s="35">
        <f t="shared" si="127"/>
        <v>0.79611650485436891</v>
      </c>
      <c r="Y95" s="35">
        <f t="shared" si="127"/>
        <v>0.77669902912621358</v>
      </c>
      <c r="Z95" s="35">
        <f t="shared" si="127"/>
        <v>0.52427184466019416</v>
      </c>
      <c r="AA95" s="35">
        <f t="shared" si="127"/>
        <v>0.60194174757281549</v>
      </c>
      <c r="AB95" s="35">
        <f t="shared" si="127"/>
        <v>0.66990291262135926</v>
      </c>
      <c r="AC95" s="35">
        <f t="shared" si="127"/>
        <v>0.62135922330097082</v>
      </c>
      <c r="AD95" s="35">
        <f t="shared" si="127"/>
        <v>0.66019417475728159</v>
      </c>
      <c r="AE95" s="35">
        <f t="shared" si="127"/>
        <v>0.82524271844660191</v>
      </c>
      <c r="AF95" s="35">
        <f t="shared" si="127"/>
        <v>0.95145631067961167</v>
      </c>
      <c r="AG95" s="35">
        <f t="shared" si="127"/>
        <v>0.85436893203883491</v>
      </c>
      <c r="AH95" s="35">
        <f t="shared" ref="AH95" si="128">+AH94/$A94</f>
        <v>0.73786407766990292</v>
      </c>
      <c r="AI95" s="172">
        <f>+AI94/(A94*A$1)</f>
        <v>19.417475728155338</v>
      </c>
      <c r="AJ95" s="192">
        <f>AJ94/($A94*31)</f>
        <v>19.417475728155338</v>
      </c>
    </row>
    <row r="96" spans="1:36" x14ac:dyDescent="0.3">
      <c r="A96" s="203"/>
      <c r="B96" s="33"/>
      <c r="C96" s="34" t="s">
        <v>17</v>
      </c>
      <c r="D96" s="37">
        <f t="shared" ref="D96:AG96" si="129">+IFERROR(D98/D94,0)</f>
        <v>94.988888888888894</v>
      </c>
      <c r="E96" s="37">
        <f t="shared" si="129"/>
        <v>70.868421052631575</v>
      </c>
      <c r="F96" s="37">
        <f t="shared" si="129"/>
        <v>98.333333333333329</v>
      </c>
      <c r="G96" s="37">
        <f t="shared" si="129"/>
        <v>73.283018867924525</v>
      </c>
      <c r="H96" s="37">
        <f t="shared" si="129"/>
        <v>67.285714285714292</v>
      </c>
      <c r="I96" s="37">
        <f t="shared" si="129"/>
        <v>73.333333333333329</v>
      </c>
      <c r="J96" s="37">
        <f t="shared" si="129"/>
        <v>91.921875</v>
      </c>
      <c r="K96" s="37">
        <f t="shared" si="129"/>
        <v>98.954545454545453</v>
      </c>
      <c r="L96" s="37">
        <f t="shared" si="129"/>
        <v>78.409090909090907</v>
      </c>
      <c r="M96" s="37">
        <f t="shared" si="129"/>
        <v>77.627450980392155</v>
      </c>
      <c r="N96" s="37">
        <v>80.946428571428569</v>
      </c>
      <c r="O96" s="37">
        <f t="shared" si="129"/>
        <v>78.647058823529406</v>
      </c>
      <c r="P96" s="37">
        <f t="shared" si="129"/>
        <v>69.688888888888883</v>
      </c>
      <c r="Q96" s="37">
        <f t="shared" si="129"/>
        <v>93.557377049180332</v>
      </c>
      <c r="R96" s="37">
        <f t="shared" si="129"/>
        <v>99.444444444444443</v>
      </c>
      <c r="S96" s="37">
        <f t="shared" si="129"/>
        <v>75.129629629629633</v>
      </c>
      <c r="T96" s="37">
        <f t="shared" si="129"/>
        <v>77.879310344827587</v>
      </c>
      <c r="U96" s="37">
        <f t="shared" si="129"/>
        <v>83.550724637681157</v>
      </c>
      <c r="V96" s="37">
        <f t="shared" si="129"/>
        <v>79.410958904109592</v>
      </c>
      <c r="W96" s="37">
        <f t="shared" si="129"/>
        <v>82.439393939393938</v>
      </c>
      <c r="X96" s="37">
        <f t="shared" si="129"/>
        <v>98.170731707317074</v>
      </c>
      <c r="Y96" s="37">
        <f t="shared" si="129"/>
        <v>97.4375</v>
      </c>
      <c r="Z96" s="37">
        <f t="shared" si="129"/>
        <v>68.189444444444447</v>
      </c>
      <c r="AA96" s="37">
        <f t="shared" si="129"/>
        <v>78.887096774193552</v>
      </c>
      <c r="AB96" s="37">
        <f t="shared" si="129"/>
        <v>79.79710144927536</v>
      </c>
      <c r="AC96" s="37">
        <f t="shared" si="129"/>
        <v>81.828125</v>
      </c>
      <c r="AD96" s="37">
        <f t="shared" si="129"/>
        <v>78.647058823529406</v>
      </c>
      <c r="AE96" s="37">
        <f t="shared" si="129"/>
        <v>95.035294117647055</v>
      </c>
      <c r="AF96" s="37">
        <f t="shared" si="129"/>
        <v>102.33673469387755</v>
      </c>
      <c r="AG96" s="37">
        <f t="shared" si="129"/>
        <v>90.11363636363636</v>
      </c>
      <c r="AH96" s="37">
        <f t="shared" ref="AH96" si="130">+IFERROR(AH98/AH94,0)</f>
        <v>87.05263157894737</v>
      </c>
      <c r="AI96" s="173">
        <f>+AI98/AI94</f>
        <v>85.856114999999988</v>
      </c>
      <c r="AJ96" s="193">
        <f>+AJ98/AJ94</f>
        <v>85.856114999999988</v>
      </c>
    </row>
    <row r="97" spans="1:36" x14ac:dyDescent="0.3">
      <c r="A97" s="203"/>
      <c r="B97" s="33"/>
      <c r="C97" s="34" t="s">
        <v>18</v>
      </c>
      <c r="D97" s="37">
        <f t="shared" ref="D97:AG97" si="131">+D95*D96</f>
        <v>83</v>
      </c>
      <c r="E97" s="37">
        <f t="shared" si="131"/>
        <v>26.145631067961165</v>
      </c>
      <c r="F97" s="37">
        <f t="shared" si="131"/>
        <v>51.553398058252426</v>
      </c>
      <c r="G97" s="37">
        <f t="shared" si="131"/>
        <v>37.708737864077669</v>
      </c>
      <c r="H97" s="37">
        <f t="shared" si="131"/>
        <v>32.009708737864081</v>
      </c>
      <c r="I97" s="37">
        <f t="shared" si="131"/>
        <v>29.902912621359221</v>
      </c>
      <c r="J97" s="37">
        <f t="shared" si="131"/>
        <v>57.116504854368927</v>
      </c>
      <c r="K97" s="37">
        <f t="shared" si="131"/>
        <v>63.407766990291265</v>
      </c>
      <c r="L97" s="37">
        <f t="shared" si="131"/>
        <v>33.495145631067956</v>
      </c>
      <c r="M97" s="37">
        <f t="shared" si="131"/>
        <v>38.436893203883493</v>
      </c>
      <c r="N97" s="37">
        <v>44.009708737864074</v>
      </c>
      <c r="O97" s="37">
        <f t="shared" si="131"/>
        <v>38.94174757281553</v>
      </c>
      <c r="P97" s="37">
        <f t="shared" si="131"/>
        <v>30.44660194174757</v>
      </c>
      <c r="Q97" s="37">
        <f t="shared" si="131"/>
        <v>55.407766990291258</v>
      </c>
      <c r="R97" s="37">
        <f t="shared" si="131"/>
        <v>86.893203883495133</v>
      </c>
      <c r="S97" s="37">
        <f t="shared" si="131"/>
        <v>39.38834951456311</v>
      </c>
      <c r="T97" s="37">
        <f t="shared" si="131"/>
        <v>43.854368932038831</v>
      </c>
      <c r="U97" s="37">
        <f t="shared" si="131"/>
        <v>55.970873786407765</v>
      </c>
      <c r="V97" s="37">
        <f t="shared" si="131"/>
        <v>56.281553398058257</v>
      </c>
      <c r="W97" s="37">
        <f t="shared" si="131"/>
        <v>52.825242718446603</v>
      </c>
      <c r="X97" s="37">
        <f t="shared" si="131"/>
        <v>78.155339805825236</v>
      </c>
      <c r="Y97" s="37">
        <f t="shared" si="131"/>
        <v>75.679611650485441</v>
      </c>
      <c r="Z97" s="37">
        <f t="shared" si="131"/>
        <v>35.749805825242717</v>
      </c>
      <c r="AA97" s="37">
        <f t="shared" si="131"/>
        <v>47.485436893203882</v>
      </c>
      <c r="AB97" s="37">
        <f t="shared" si="131"/>
        <v>53.456310679611654</v>
      </c>
      <c r="AC97" s="37">
        <f t="shared" si="131"/>
        <v>50.84466019417475</v>
      </c>
      <c r="AD97" s="37">
        <f t="shared" si="131"/>
        <v>51.922330097087375</v>
      </c>
      <c r="AE97" s="37">
        <f t="shared" si="131"/>
        <v>78.427184466019412</v>
      </c>
      <c r="AF97" s="37">
        <f t="shared" si="131"/>
        <v>97.368932038834942</v>
      </c>
      <c r="AG97" s="37">
        <f t="shared" si="131"/>
        <v>76.990291262135912</v>
      </c>
      <c r="AH97" s="37">
        <f t="shared" ref="AH97" si="132">+AH95*AH96</f>
        <v>64.233009708737868</v>
      </c>
      <c r="AI97" s="173">
        <f>+AI96*AI95</f>
        <v>1667.1090291262133</v>
      </c>
      <c r="AJ97" s="193">
        <f>+AJ95*AJ96</f>
        <v>1667.1090291262133</v>
      </c>
    </row>
    <row r="98" spans="1:36" x14ac:dyDescent="0.3">
      <c r="A98" s="203"/>
      <c r="B98" s="33"/>
      <c r="C98" s="34" t="s">
        <v>19</v>
      </c>
      <c r="D98" s="158">
        <v>8549</v>
      </c>
      <c r="E98" s="158">
        <v>2693</v>
      </c>
      <c r="F98" s="158">
        <v>5310</v>
      </c>
      <c r="G98" s="158">
        <v>3884</v>
      </c>
      <c r="H98" s="158">
        <v>3297</v>
      </c>
      <c r="I98" s="158">
        <v>3080</v>
      </c>
      <c r="J98" s="158">
        <v>5883</v>
      </c>
      <c r="K98" s="158">
        <v>6531</v>
      </c>
      <c r="L98" s="158">
        <v>3450</v>
      </c>
      <c r="M98" s="158">
        <v>3959</v>
      </c>
      <c r="N98" s="158">
        <v>4533</v>
      </c>
      <c r="O98" s="158">
        <v>4011</v>
      </c>
      <c r="P98" s="158">
        <v>3136</v>
      </c>
      <c r="Q98" s="158">
        <v>5707</v>
      </c>
      <c r="R98" s="158">
        <v>8950</v>
      </c>
      <c r="S98" s="158">
        <v>4057</v>
      </c>
      <c r="T98" s="158">
        <v>4517</v>
      </c>
      <c r="U98" s="158">
        <v>5765</v>
      </c>
      <c r="V98" s="158">
        <v>5797</v>
      </c>
      <c r="W98" s="158">
        <v>5441</v>
      </c>
      <c r="X98" s="158">
        <v>8050</v>
      </c>
      <c r="Y98" s="158">
        <v>7795</v>
      </c>
      <c r="Z98" s="158">
        <v>3682.23</v>
      </c>
      <c r="AA98" s="158">
        <v>4891</v>
      </c>
      <c r="AB98" s="158">
        <v>5506</v>
      </c>
      <c r="AC98" s="158">
        <v>5237</v>
      </c>
      <c r="AD98" s="158">
        <v>5348</v>
      </c>
      <c r="AE98" s="158">
        <v>8078</v>
      </c>
      <c r="AF98" s="158">
        <v>10029</v>
      </c>
      <c r="AG98" s="158">
        <v>7930</v>
      </c>
      <c r="AH98" s="158">
        <v>6616</v>
      </c>
      <c r="AI98" s="174">
        <f>SUM(D98:AH98)</f>
        <v>171712.22999999998</v>
      </c>
      <c r="AJ98" s="191">
        <f>+AI98/$A$1*$AK$1</f>
        <v>5323079.129999999</v>
      </c>
    </row>
    <row r="99" spans="1:36" ht="15" thickBot="1" x14ac:dyDescent="0.35">
      <c r="A99" s="237"/>
      <c r="B99" s="105"/>
      <c r="C99" s="65" t="s">
        <v>20</v>
      </c>
      <c r="D99" s="202">
        <f>750.03/D98</f>
        <v>8.7733068195110536E-2</v>
      </c>
      <c r="E99" s="202">
        <f>1179.08/E98</f>
        <v>0.43783141477905679</v>
      </c>
      <c r="F99" s="202">
        <f>1388.88/F98</f>
        <v>0.26155932203389831</v>
      </c>
      <c r="G99" s="202">
        <f>874.24/G98</f>
        <v>0.2250875386199794</v>
      </c>
      <c r="H99" s="202">
        <f>764.78/H98</f>
        <v>0.23196239005156202</v>
      </c>
      <c r="I99" s="202">
        <f>1200/I98</f>
        <v>0.38961038961038963</v>
      </c>
      <c r="J99" s="202">
        <f>1173.23/J98</f>
        <v>0.19942716301206867</v>
      </c>
      <c r="K99" s="202">
        <f>850.52/K98</f>
        <v>0.13022814270402694</v>
      </c>
      <c r="L99" s="202">
        <f>774.75/L98</f>
        <v>0.22456521739130436</v>
      </c>
      <c r="M99" s="202">
        <f>918.67/M98</f>
        <v>0.23204597120484971</v>
      </c>
      <c r="N99" s="202">
        <f>1361.72/N98</f>
        <v>0.30040150011030226</v>
      </c>
      <c r="O99" s="202">
        <f>1414.83/O98</f>
        <v>0.35273747195213162</v>
      </c>
      <c r="P99" s="202">
        <f>1089.83/P98</f>
        <v>0.34752232142857142</v>
      </c>
      <c r="Q99" s="202">
        <f>1008.68/Q98</f>
        <v>0.17674434904503242</v>
      </c>
      <c r="R99" s="202">
        <f>746.81/R98</f>
        <v>8.3442458100558656E-2</v>
      </c>
      <c r="S99" s="202">
        <f>588.32/S98</f>
        <v>0.14501355681538083</v>
      </c>
      <c r="T99" s="202">
        <f>998.21/T98</f>
        <v>0.2209895948638477</v>
      </c>
      <c r="U99" s="202">
        <f>1029.84/U98</f>
        <v>0.17863660017346053</v>
      </c>
      <c r="V99" s="202">
        <f>1007.46/V98</f>
        <v>0.17378989132309816</v>
      </c>
      <c r="W99" s="202">
        <f>1109.2/W98</f>
        <v>0.20385958463517737</v>
      </c>
      <c r="X99" s="202">
        <f>1228/X98</f>
        <v>0.15254658385093167</v>
      </c>
      <c r="Y99" s="202">
        <f>874.74/Y98</f>
        <v>0.11221808851828095</v>
      </c>
      <c r="Z99" s="202">
        <f>836.29/Z98</f>
        <v>0.22711509058369519</v>
      </c>
      <c r="AA99" s="202">
        <f>781.06/AA98</f>
        <v>0.15969331425066446</v>
      </c>
      <c r="AB99" s="202">
        <f>1087.92/AB98</f>
        <v>0.19758808572466402</v>
      </c>
      <c r="AC99" s="202">
        <f>1068.29/AC98</f>
        <v>0.20398892495703647</v>
      </c>
      <c r="AD99" s="202">
        <f>1093.94/AD98</f>
        <v>0.20455123410620793</v>
      </c>
      <c r="AE99" s="202">
        <f>1334.64/AE98</f>
        <v>0.1652191136419906</v>
      </c>
      <c r="AF99" s="202">
        <f>1118.29/AF98</f>
        <v>0.1115056336623791</v>
      </c>
      <c r="AG99" s="202">
        <f>656.39/AG98</f>
        <v>8.2773013871374521E-2</v>
      </c>
      <c r="AH99" s="202">
        <f>2957.84/AH98</f>
        <v>0.44707376058041115</v>
      </c>
      <c r="AI99" s="187">
        <f>AVERAGE(D99:AG99)</f>
        <v>0.20734623430723439</v>
      </c>
      <c r="AJ99" s="227"/>
    </row>
    <row r="100" spans="1:36" x14ac:dyDescent="0.3">
      <c r="A100" s="203">
        <v>115</v>
      </c>
      <c r="B100" s="159" t="s">
        <v>41</v>
      </c>
      <c r="C100" s="160" t="s">
        <v>15</v>
      </c>
      <c r="D100" s="228">
        <v>85</v>
      </c>
      <c r="E100" s="228">
        <v>48</v>
      </c>
      <c r="F100" s="228">
        <v>28</v>
      </c>
      <c r="G100" s="228">
        <v>31</v>
      </c>
      <c r="H100" s="228">
        <v>37</v>
      </c>
      <c r="I100" s="228">
        <v>26</v>
      </c>
      <c r="J100" s="228">
        <v>37</v>
      </c>
      <c r="K100" s="228">
        <v>40</v>
      </c>
      <c r="L100" s="228">
        <v>21</v>
      </c>
      <c r="M100" s="228">
        <v>30</v>
      </c>
      <c r="N100" s="228">
        <v>30</v>
      </c>
      <c r="O100" s="228">
        <v>30</v>
      </c>
      <c r="P100" s="228">
        <v>32</v>
      </c>
      <c r="Q100" s="228">
        <v>74</v>
      </c>
      <c r="R100" s="228">
        <v>107</v>
      </c>
      <c r="S100" s="228">
        <v>35</v>
      </c>
      <c r="T100" s="228">
        <v>28</v>
      </c>
      <c r="U100" s="228">
        <v>33</v>
      </c>
      <c r="V100" s="228">
        <v>33</v>
      </c>
      <c r="W100" s="228">
        <v>33</v>
      </c>
      <c r="X100" s="228">
        <v>68</v>
      </c>
      <c r="Y100" s="228">
        <v>83</v>
      </c>
      <c r="Z100" s="228">
        <v>33</v>
      </c>
      <c r="AA100" s="228">
        <v>30</v>
      </c>
      <c r="AB100" s="228"/>
      <c r="AC100" s="228">
        <v>41</v>
      </c>
      <c r="AD100" s="228">
        <v>55</v>
      </c>
      <c r="AE100" s="228">
        <v>83</v>
      </c>
      <c r="AF100" s="228">
        <v>100</v>
      </c>
      <c r="AG100" s="228">
        <v>96</v>
      </c>
      <c r="AH100" s="228">
        <v>35</v>
      </c>
      <c r="AI100" s="189">
        <f>SUM(D100:AH100)</f>
        <v>1442</v>
      </c>
      <c r="AJ100" s="217">
        <f>+$AI100/$A$1*$AK$1</f>
        <v>44702</v>
      </c>
    </row>
    <row r="101" spans="1:36" x14ac:dyDescent="0.3">
      <c r="A101" s="203"/>
      <c r="B101" s="162"/>
      <c r="C101" s="163" t="s">
        <v>16</v>
      </c>
      <c r="D101" s="164">
        <f>+D100/$A100</f>
        <v>0.73913043478260865</v>
      </c>
      <c r="E101" s="164">
        <f t="shared" ref="E101:AG101" si="133">+E100/$A100</f>
        <v>0.41739130434782606</v>
      </c>
      <c r="F101" s="164">
        <f t="shared" si="133"/>
        <v>0.24347826086956523</v>
      </c>
      <c r="G101" s="164">
        <f t="shared" si="133"/>
        <v>0.26956521739130435</v>
      </c>
      <c r="H101" s="164">
        <f t="shared" si="133"/>
        <v>0.32173913043478258</v>
      </c>
      <c r="I101" s="164">
        <f t="shared" si="133"/>
        <v>0.22608695652173913</v>
      </c>
      <c r="J101" s="164">
        <f t="shared" si="133"/>
        <v>0.32173913043478258</v>
      </c>
      <c r="K101" s="164">
        <f t="shared" si="133"/>
        <v>0.34782608695652173</v>
      </c>
      <c r="L101" s="164">
        <f t="shared" si="133"/>
        <v>0.18260869565217391</v>
      </c>
      <c r="M101" s="164">
        <f t="shared" si="133"/>
        <v>0.2608695652173913</v>
      </c>
      <c r="N101" s="164">
        <f t="shared" ref="N101:AE101" si="134">+N100/$A100</f>
        <v>0.2608695652173913</v>
      </c>
      <c r="O101" s="164">
        <f t="shared" si="134"/>
        <v>0.2608695652173913</v>
      </c>
      <c r="P101" s="164">
        <f t="shared" si="134"/>
        <v>0.27826086956521739</v>
      </c>
      <c r="Q101" s="164">
        <f t="shared" si="134"/>
        <v>0.64347826086956517</v>
      </c>
      <c r="R101" s="164">
        <f t="shared" si="134"/>
        <v>0.93043478260869561</v>
      </c>
      <c r="S101" s="164">
        <f t="shared" si="134"/>
        <v>0.30434782608695654</v>
      </c>
      <c r="T101" s="164">
        <f t="shared" si="134"/>
        <v>0.24347826086956523</v>
      </c>
      <c r="U101" s="164">
        <f t="shared" si="134"/>
        <v>0.28695652173913044</v>
      </c>
      <c r="V101" s="164">
        <f t="shared" si="134"/>
        <v>0.28695652173913044</v>
      </c>
      <c r="W101" s="164">
        <f t="shared" si="134"/>
        <v>0.28695652173913044</v>
      </c>
      <c r="X101" s="164">
        <f t="shared" si="134"/>
        <v>0.59130434782608698</v>
      </c>
      <c r="Y101" s="164">
        <f t="shared" si="134"/>
        <v>0.72173913043478266</v>
      </c>
      <c r="Z101" s="164">
        <f t="shared" si="134"/>
        <v>0.28695652173913044</v>
      </c>
      <c r="AA101" s="164">
        <f t="shared" si="134"/>
        <v>0.2608695652173913</v>
      </c>
      <c r="AB101" s="164">
        <f t="shared" si="134"/>
        <v>0</v>
      </c>
      <c r="AC101" s="164">
        <f t="shared" si="134"/>
        <v>0.35652173913043478</v>
      </c>
      <c r="AD101" s="164">
        <f t="shared" si="134"/>
        <v>0.47826086956521741</v>
      </c>
      <c r="AE101" s="164">
        <f t="shared" si="134"/>
        <v>0.72173913043478266</v>
      </c>
      <c r="AF101" s="164">
        <f t="shared" si="133"/>
        <v>0.86956521739130432</v>
      </c>
      <c r="AG101" s="164">
        <f t="shared" si="133"/>
        <v>0.83478260869565213</v>
      </c>
      <c r="AH101" s="164">
        <f t="shared" ref="AH101" si="135">+AH100/$A100</f>
        <v>0.30434782608695654</v>
      </c>
      <c r="AI101" s="177">
        <f>+AI100/(A100*A$1)</f>
        <v>12.539130434782608</v>
      </c>
      <c r="AJ101" s="197">
        <f>AJ100/($A100*31)</f>
        <v>12.539130434782608</v>
      </c>
    </row>
    <row r="102" spans="1:36" x14ac:dyDescent="0.3">
      <c r="A102" s="203"/>
      <c r="B102" s="162"/>
      <c r="C102" s="163" t="s">
        <v>17</v>
      </c>
      <c r="D102" s="165">
        <f>+IFERROR(D104/D100,0)</f>
        <v>96.635294117647064</v>
      </c>
      <c r="E102" s="165">
        <f t="shared" ref="E102:AG102" si="136">+IFERROR(E104/E100,0)</f>
        <v>84.520833333333329</v>
      </c>
      <c r="F102" s="165">
        <f t="shared" si="136"/>
        <v>95.071428571428569</v>
      </c>
      <c r="G102" s="165">
        <f t="shared" si="136"/>
        <v>92.161290322580641</v>
      </c>
      <c r="H102" s="165">
        <f t="shared" si="136"/>
        <v>93.918918918918919</v>
      </c>
      <c r="I102" s="165">
        <f t="shared" si="136"/>
        <v>87.192307692307693</v>
      </c>
      <c r="J102" s="165">
        <f t="shared" si="136"/>
        <v>93.918918918918919</v>
      </c>
      <c r="K102" s="165">
        <f t="shared" si="136"/>
        <v>104.125</v>
      </c>
      <c r="L102" s="165">
        <f t="shared" si="136"/>
        <v>90.952380952380949</v>
      </c>
      <c r="M102" s="165">
        <f t="shared" si="136"/>
        <v>95.4</v>
      </c>
      <c r="N102" s="165">
        <f t="shared" ref="N102:AD102" si="137">+IFERROR(N104/N100,0)</f>
        <v>95.066666666666663</v>
      </c>
      <c r="O102" s="165">
        <f t="shared" si="137"/>
        <v>91.63333333333334</v>
      </c>
      <c r="P102" s="165">
        <f t="shared" si="137"/>
        <v>78.8125</v>
      </c>
      <c r="Q102" s="165">
        <f t="shared" si="137"/>
        <v>98.378378378378372</v>
      </c>
      <c r="R102" s="165">
        <f t="shared" si="137"/>
        <v>111.73831775700934</v>
      </c>
      <c r="S102" s="165">
        <f t="shared" si="137"/>
        <v>79.771428571428572</v>
      </c>
      <c r="T102" s="165">
        <f t="shared" si="137"/>
        <v>93.25</v>
      </c>
      <c r="U102" s="165">
        <f t="shared" si="137"/>
        <v>89.36363636363636</v>
      </c>
      <c r="V102" s="165">
        <f t="shared" si="137"/>
        <v>87.242424242424249</v>
      </c>
      <c r="W102" s="165">
        <f t="shared" si="137"/>
        <v>88.212121212121218</v>
      </c>
      <c r="X102" s="165">
        <f t="shared" si="137"/>
        <v>101.97058823529412</v>
      </c>
      <c r="Y102" s="165">
        <f t="shared" si="137"/>
        <v>100.5421686746988</v>
      </c>
      <c r="Z102" s="165">
        <f t="shared" si="137"/>
        <v>85.725757575757569</v>
      </c>
      <c r="AA102" s="165">
        <f t="shared" si="137"/>
        <v>89.6</v>
      </c>
      <c r="AB102" s="165">
        <f t="shared" si="137"/>
        <v>0</v>
      </c>
      <c r="AC102" s="165">
        <f t="shared" si="137"/>
        <v>93.463414634146346</v>
      </c>
      <c r="AD102" s="165">
        <f t="shared" si="137"/>
        <v>95.509090909090915</v>
      </c>
      <c r="AE102" s="165">
        <f t="shared" si="136"/>
        <v>114.43373493975903</v>
      </c>
      <c r="AF102" s="165">
        <f t="shared" si="136"/>
        <v>120.67</v>
      </c>
      <c r="AG102" s="165">
        <f t="shared" si="136"/>
        <v>94.833333333333329</v>
      </c>
      <c r="AH102" s="165">
        <f t="shared" ref="AH102" si="138">+IFERROR(AH104/AH100,0)</f>
        <v>86.171428571428578</v>
      </c>
      <c r="AI102" s="178">
        <f>+AI104/AI100</f>
        <v>97.788453536754517</v>
      </c>
      <c r="AJ102" s="198">
        <f>+AJ104/AJ100</f>
        <v>97.788453536754517</v>
      </c>
    </row>
    <row r="103" spans="1:36" x14ac:dyDescent="0.3">
      <c r="A103" s="203"/>
      <c r="B103" s="162"/>
      <c r="C103" s="163" t="s">
        <v>18</v>
      </c>
      <c r="D103" s="165">
        <f>+D101*D102</f>
        <v>71.426086956521743</v>
      </c>
      <c r="E103" s="165">
        <f t="shared" ref="E103:AG103" si="139">+E101*E102</f>
        <v>35.278260869565216</v>
      </c>
      <c r="F103" s="165">
        <f t="shared" si="139"/>
        <v>23.14782608695652</v>
      </c>
      <c r="G103" s="165">
        <f t="shared" si="139"/>
        <v>24.843478260869563</v>
      </c>
      <c r="H103" s="165">
        <f t="shared" si="139"/>
        <v>30.217391304347824</v>
      </c>
      <c r="I103" s="165">
        <f t="shared" si="139"/>
        <v>19.713043478260868</v>
      </c>
      <c r="J103" s="165">
        <f t="shared" si="139"/>
        <v>30.217391304347824</v>
      </c>
      <c r="K103" s="165">
        <f t="shared" si="139"/>
        <v>36.217391304347828</v>
      </c>
      <c r="L103" s="165">
        <f t="shared" si="139"/>
        <v>16.608695652173914</v>
      </c>
      <c r="M103" s="165">
        <f t="shared" si="139"/>
        <v>24.88695652173913</v>
      </c>
      <c r="N103" s="165">
        <f t="shared" ref="N103:AD103" si="140">+N101*N102</f>
        <v>24.799999999999997</v>
      </c>
      <c r="O103" s="165">
        <f t="shared" si="140"/>
        <v>23.904347826086958</v>
      </c>
      <c r="P103" s="165">
        <f t="shared" si="140"/>
        <v>21.930434782608696</v>
      </c>
      <c r="Q103" s="165">
        <f t="shared" si="140"/>
        <v>63.304347826086946</v>
      </c>
      <c r="R103" s="165">
        <f t="shared" si="140"/>
        <v>103.96521739130434</v>
      </c>
      <c r="S103" s="165">
        <f t="shared" si="140"/>
        <v>24.278260869565219</v>
      </c>
      <c r="T103" s="165">
        <f t="shared" si="140"/>
        <v>22.704347826086959</v>
      </c>
      <c r="U103" s="165">
        <f t="shared" si="140"/>
        <v>25.643478260869564</v>
      </c>
      <c r="V103" s="165">
        <f t="shared" si="140"/>
        <v>25.034782608695654</v>
      </c>
      <c r="W103" s="165">
        <f t="shared" si="140"/>
        <v>25.313043478260873</v>
      </c>
      <c r="X103" s="165">
        <f t="shared" si="140"/>
        <v>60.295652173913048</v>
      </c>
      <c r="Y103" s="165">
        <f t="shared" si="140"/>
        <v>72.565217391304358</v>
      </c>
      <c r="Z103" s="165">
        <f t="shared" si="140"/>
        <v>24.599565217391302</v>
      </c>
      <c r="AA103" s="165">
        <f t="shared" si="140"/>
        <v>23.373913043478257</v>
      </c>
      <c r="AB103" s="165">
        <f t="shared" si="140"/>
        <v>0</v>
      </c>
      <c r="AC103" s="165">
        <f t="shared" si="140"/>
        <v>33.321739130434786</v>
      </c>
      <c r="AD103" s="165">
        <f t="shared" si="140"/>
        <v>45.678260869565221</v>
      </c>
      <c r="AE103" s="165">
        <f t="shared" si="139"/>
        <v>82.591304347826096</v>
      </c>
      <c r="AF103" s="165">
        <f t="shared" si="139"/>
        <v>104.9304347826087</v>
      </c>
      <c r="AG103" s="165">
        <f t="shared" si="139"/>
        <v>79.165217391304338</v>
      </c>
      <c r="AH103" s="165">
        <f t="shared" ref="AH103" si="141">+AH101*AH102</f>
        <v>26.226086956521744</v>
      </c>
      <c r="AI103" s="178">
        <f>+AI102*AI101</f>
        <v>1226.1821739130435</v>
      </c>
      <c r="AJ103" s="198">
        <f>+AJ101*AJ102</f>
        <v>1226.1821739130435</v>
      </c>
    </row>
    <row r="104" spans="1:36" x14ac:dyDescent="0.3">
      <c r="A104" s="203"/>
      <c r="B104" s="162"/>
      <c r="C104" s="163" t="s">
        <v>19</v>
      </c>
      <c r="D104" s="166">
        <v>8214</v>
      </c>
      <c r="E104" s="166">
        <v>4057</v>
      </c>
      <c r="F104" s="166">
        <v>2662</v>
      </c>
      <c r="G104" s="166">
        <v>2857</v>
      </c>
      <c r="H104" s="166">
        <v>3475</v>
      </c>
      <c r="I104" s="166">
        <v>2267</v>
      </c>
      <c r="J104" s="166">
        <v>3475</v>
      </c>
      <c r="K104" s="166">
        <v>4165</v>
      </c>
      <c r="L104" s="166">
        <v>1910</v>
      </c>
      <c r="M104" s="166">
        <v>2862</v>
      </c>
      <c r="N104" s="166">
        <v>2852</v>
      </c>
      <c r="O104" s="166">
        <v>2749</v>
      </c>
      <c r="P104" s="166">
        <v>2522</v>
      </c>
      <c r="Q104" s="166">
        <v>7280</v>
      </c>
      <c r="R104" s="166">
        <v>11956</v>
      </c>
      <c r="S104" s="166">
        <v>2792</v>
      </c>
      <c r="T104" s="166">
        <v>2611</v>
      </c>
      <c r="U104" s="166">
        <v>2949</v>
      </c>
      <c r="V104" s="166">
        <v>2879</v>
      </c>
      <c r="W104" s="166">
        <v>2911</v>
      </c>
      <c r="X104" s="166">
        <v>6934</v>
      </c>
      <c r="Y104" s="166">
        <v>8345</v>
      </c>
      <c r="Z104" s="166">
        <v>2828.95</v>
      </c>
      <c r="AA104" s="166">
        <v>2688</v>
      </c>
      <c r="AB104" s="166"/>
      <c r="AC104" s="166">
        <v>3832</v>
      </c>
      <c r="AD104" s="166">
        <v>5253</v>
      </c>
      <c r="AE104" s="166">
        <v>9498</v>
      </c>
      <c r="AF104" s="166">
        <v>12067</v>
      </c>
      <c r="AG104" s="166">
        <v>9104</v>
      </c>
      <c r="AH104" s="166">
        <v>3016</v>
      </c>
      <c r="AI104" s="179">
        <f>SUM(D104:AH104)</f>
        <v>141010.95000000001</v>
      </c>
      <c r="AJ104" s="196">
        <f>+AI104/$A$1*$AK$1</f>
        <v>4371339.45</v>
      </c>
    </row>
    <row r="105" spans="1:36" ht="15" thickBot="1" x14ac:dyDescent="0.35">
      <c r="A105" s="237"/>
      <c r="B105" s="219"/>
      <c r="C105" s="229" t="s">
        <v>79</v>
      </c>
      <c r="D105" s="220">
        <f>1113.26/D104</f>
        <v>0.13553201850499147</v>
      </c>
      <c r="E105" s="220">
        <f>1167.36/E104</f>
        <v>0.28773970914468816</v>
      </c>
      <c r="F105" s="220">
        <f>1131.72/F104</f>
        <v>0.42513899323816678</v>
      </c>
      <c r="G105" s="220">
        <f>1073.27/G104</f>
        <v>0.3756632831641582</v>
      </c>
      <c r="H105" s="220">
        <f>935.61/H104</f>
        <v>0.2692402877697842</v>
      </c>
      <c r="I105" s="220">
        <f>1087.28/I104</f>
        <v>0.47961182179091311</v>
      </c>
      <c r="J105" s="220">
        <f>1106.32/J104</f>
        <v>0.31836546762589929</v>
      </c>
      <c r="K105" s="220">
        <f>972.28/K104</f>
        <v>0.23344057623049219</v>
      </c>
      <c r="L105" s="220">
        <f>631.1/L104</f>
        <v>0.3304188481675393</v>
      </c>
      <c r="M105" s="220">
        <f>999.31/M104</f>
        <v>0.34916491963661772</v>
      </c>
      <c r="N105" s="220">
        <f>1322.67/N104</f>
        <v>0.46376928471248252</v>
      </c>
      <c r="O105" s="220">
        <f>1482.39/O104</f>
        <v>0.5392469989086941</v>
      </c>
      <c r="P105" s="220">
        <f>1460.16/P104</f>
        <v>0.57896907216494853</v>
      </c>
      <c r="Q105" s="220">
        <f>1184.48/Q104</f>
        <v>0.1627032967032967</v>
      </c>
      <c r="R105" s="220">
        <f>1211.85/R104</f>
        <v>0.10135915021746403</v>
      </c>
      <c r="S105" s="220">
        <f>1044.38/S104</f>
        <v>0.37406160458452725</v>
      </c>
      <c r="T105" s="220">
        <f>825.3/T104</f>
        <v>0.3160857908847185</v>
      </c>
      <c r="U105" s="220">
        <f>710.95/U104</f>
        <v>0.24108172261783656</v>
      </c>
      <c r="V105" s="220">
        <f>1147.96/V104</f>
        <v>0.39873567210837096</v>
      </c>
      <c r="W105" s="220">
        <f>1384.36/W104</f>
        <v>0.47556166265888006</v>
      </c>
      <c r="X105" s="220">
        <f>1019.61/X104</f>
        <v>0.14704499567349294</v>
      </c>
      <c r="Y105" s="220">
        <f>978.6/Y104</f>
        <v>0.11726782504493709</v>
      </c>
      <c r="Z105" s="220">
        <f>1110.05/Z104</f>
        <v>0.39238940242846287</v>
      </c>
      <c r="AA105" s="220">
        <f>790.27/AA104</f>
        <v>0.29399925595238097</v>
      </c>
      <c r="AB105" s="220"/>
      <c r="AC105" s="220">
        <f>1262.29/AC104</f>
        <v>0.32940762004175367</v>
      </c>
      <c r="AD105" s="220">
        <f>1438.18/AD104</f>
        <v>0.27378260041880831</v>
      </c>
      <c r="AE105" s="220">
        <f>1252.73/AE104</f>
        <v>0.13189408296483471</v>
      </c>
      <c r="AF105" s="220">
        <f>1119.35/AF104</f>
        <v>9.276124968923509E-2</v>
      </c>
      <c r="AG105" s="220">
        <f>867.19/AG104</f>
        <v>9.5253734622144121E-2</v>
      </c>
      <c r="AH105" s="220">
        <f>1666.28/AH104</f>
        <v>0.55248010610079579</v>
      </c>
      <c r="AI105" s="190">
        <f>AVERAGE(D105:AG105)</f>
        <v>0.30102382578174203</v>
      </c>
      <c r="AJ105" s="230"/>
    </row>
    <row r="106" spans="1:36" x14ac:dyDescent="0.3">
      <c r="A106" s="203">
        <v>100</v>
      </c>
      <c r="B106" s="33" t="s">
        <v>42</v>
      </c>
      <c r="C106" s="34" t="s">
        <v>15</v>
      </c>
      <c r="D106" s="199">
        <v>72</v>
      </c>
      <c r="E106" s="199">
        <v>61</v>
      </c>
      <c r="F106" s="199">
        <v>68</v>
      </c>
      <c r="G106" s="199">
        <v>72</v>
      </c>
      <c r="H106" s="199">
        <v>75</v>
      </c>
      <c r="I106" s="199">
        <v>70</v>
      </c>
      <c r="J106" s="199">
        <v>77</v>
      </c>
      <c r="K106" s="199">
        <v>79</v>
      </c>
      <c r="L106" s="199">
        <v>61</v>
      </c>
      <c r="M106" s="199">
        <v>76</v>
      </c>
      <c r="N106" s="199">
        <v>79</v>
      </c>
      <c r="O106" s="199">
        <v>65</v>
      </c>
      <c r="P106" s="199">
        <v>59</v>
      </c>
      <c r="Q106" s="199">
        <v>61</v>
      </c>
      <c r="R106" s="199">
        <v>71</v>
      </c>
      <c r="S106" s="199">
        <v>69</v>
      </c>
      <c r="T106" s="199">
        <v>64</v>
      </c>
      <c r="U106" s="199">
        <v>62</v>
      </c>
      <c r="V106" s="199">
        <v>62</v>
      </c>
      <c r="W106" s="199">
        <v>77</v>
      </c>
      <c r="X106" s="199">
        <v>78</v>
      </c>
      <c r="Y106" s="199">
        <v>78</v>
      </c>
      <c r="Z106" s="199">
        <v>66</v>
      </c>
      <c r="AA106" s="199">
        <v>66</v>
      </c>
      <c r="AB106" s="199">
        <v>59</v>
      </c>
      <c r="AC106" s="199">
        <v>62</v>
      </c>
      <c r="AD106" s="199">
        <v>57</v>
      </c>
      <c r="AE106" s="199">
        <v>77</v>
      </c>
      <c r="AF106" s="199">
        <v>75</v>
      </c>
      <c r="AG106" s="199">
        <v>61</v>
      </c>
      <c r="AH106" s="199">
        <v>50</v>
      </c>
      <c r="AI106" s="200">
        <f>SUM(D106:AH106)</f>
        <v>2109</v>
      </c>
      <c r="AJ106" s="191">
        <f>+$AI106/$A$1*$AK$1</f>
        <v>65379</v>
      </c>
    </row>
    <row r="107" spans="1:36" x14ac:dyDescent="0.3">
      <c r="A107" s="203"/>
      <c r="B107" s="33"/>
      <c r="C107" s="34" t="s">
        <v>16</v>
      </c>
      <c r="D107" s="35">
        <f t="shared" ref="D107:AG107" si="142">+D106/$A106</f>
        <v>0.72</v>
      </c>
      <c r="E107" s="35">
        <f t="shared" si="142"/>
        <v>0.61</v>
      </c>
      <c r="F107" s="35">
        <f t="shared" si="142"/>
        <v>0.68</v>
      </c>
      <c r="G107" s="35">
        <f t="shared" si="142"/>
        <v>0.72</v>
      </c>
      <c r="H107" s="35">
        <f t="shared" si="142"/>
        <v>0.75</v>
      </c>
      <c r="I107" s="35">
        <f t="shared" si="142"/>
        <v>0.7</v>
      </c>
      <c r="J107" s="35">
        <f t="shared" si="142"/>
        <v>0.77</v>
      </c>
      <c r="K107" s="35">
        <f t="shared" si="142"/>
        <v>0.79</v>
      </c>
      <c r="L107" s="35">
        <f t="shared" si="142"/>
        <v>0.61</v>
      </c>
      <c r="M107" s="35">
        <f t="shared" si="142"/>
        <v>0.76</v>
      </c>
      <c r="N107" s="35">
        <v>0.79</v>
      </c>
      <c r="O107" s="35">
        <f t="shared" si="142"/>
        <v>0.65</v>
      </c>
      <c r="P107" s="35">
        <f t="shared" si="142"/>
        <v>0.59</v>
      </c>
      <c r="Q107" s="35">
        <f t="shared" si="142"/>
        <v>0.61</v>
      </c>
      <c r="R107" s="35">
        <f t="shared" si="142"/>
        <v>0.71</v>
      </c>
      <c r="S107" s="35">
        <f t="shared" si="142"/>
        <v>0.69</v>
      </c>
      <c r="T107" s="35">
        <f t="shared" si="142"/>
        <v>0.64</v>
      </c>
      <c r="U107" s="35">
        <f t="shared" si="142"/>
        <v>0.62</v>
      </c>
      <c r="V107" s="35">
        <f t="shared" si="142"/>
        <v>0.62</v>
      </c>
      <c r="W107" s="35">
        <f t="shared" si="142"/>
        <v>0.77</v>
      </c>
      <c r="X107" s="35">
        <f t="shared" si="142"/>
        <v>0.78</v>
      </c>
      <c r="Y107" s="35">
        <f t="shared" si="142"/>
        <v>0.78</v>
      </c>
      <c r="Z107" s="35">
        <f t="shared" si="142"/>
        <v>0.66</v>
      </c>
      <c r="AA107" s="35">
        <f t="shared" si="142"/>
        <v>0.66</v>
      </c>
      <c r="AB107" s="35">
        <f t="shared" si="142"/>
        <v>0.59</v>
      </c>
      <c r="AC107" s="35">
        <f t="shared" si="142"/>
        <v>0.62</v>
      </c>
      <c r="AD107" s="35">
        <f t="shared" si="142"/>
        <v>0.56999999999999995</v>
      </c>
      <c r="AE107" s="35">
        <f t="shared" si="142"/>
        <v>0.77</v>
      </c>
      <c r="AF107" s="35">
        <f t="shared" si="142"/>
        <v>0.75</v>
      </c>
      <c r="AG107" s="35">
        <f t="shared" si="142"/>
        <v>0.61</v>
      </c>
      <c r="AH107" s="35">
        <f t="shared" ref="AH107" si="143">+AH106/$A106</f>
        <v>0.5</v>
      </c>
      <c r="AI107" s="172">
        <f>+AI106/(A106*A$1)</f>
        <v>21.09</v>
      </c>
      <c r="AJ107" s="192">
        <f>AJ106/($A106*31)</f>
        <v>21.09</v>
      </c>
    </row>
    <row r="108" spans="1:36" x14ac:dyDescent="0.3">
      <c r="A108" s="203"/>
      <c r="B108" s="33"/>
      <c r="C108" s="34" t="s">
        <v>17</v>
      </c>
      <c r="D108" s="37">
        <f t="shared" ref="D108:AG108" si="144">+IFERROR(D110/D106,0)</f>
        <v>88.069444444444443</v>
      </c>
      <c r="E108" s="37">
        <f t="shared" si="144"/>
        <v>82.73770491803279</v>
      </c>
      <c r="F108" s="37">
        <f t="shared" si="144"/>
        <v>110.79411764705883</v>
      </c>
      <c r="G108" s="37">
        <f t="shared" si="144"/>
        <v>89.263888888888886</v>
      </c>
      <c r="H108" s="37">
        <f t="shared" si="144"/>
        <v>92.933333333333337</v>
      </c>
      <c r="I108" s="37">
        <f t="shared" si="144"/>
        <v>91.757142857142853</v>
      </c>
      <c r="J108" s="37">
        <f t="shared" si="144"/>
        <v>87.168831168831176</v>
      </c>
      <c r="K108" s="37">
        <f t="shared" si="144"/>
        <v>91.265822784810126</v>
      </c>
      <c r="L108" s="37">
        <f t="shared" si="144"/>
        <v>93.590163934426229</v>
      </c>
      <c r="M108" s="37">
        <f t="shared" si="144"/>
        <v>95.19736842105263</v>
      </c>
      <c r="N108" s="37">
        <v>99.151898734177209</v>
      </c>
      <c r="O108" s="37">
        <f t="shared" si="144"/>
        <v>94.676923076923075</v>
      </c>
      <c r="P108" s="37">
        <f t="shared" si="144"/>
        <v>92.152542372881356</v>
      </c>
      <c r="Q108" s="37">
        <f t="shared" si="144"/>
        <v>92.032786885245898</v>
      </c>
      <c r="R108" s="37">
        <f t="shared" si="144"/>
        <v>93.338028169014081</v>
      </c>
      <c r="S108" s="37">
        <f t="shared" si="144"/>
        <v>90.333333333333329</v>
      </c>
      <c r="T108" s="37">
        <f t="shared" si="144"/>
        <v>94.296875</v>
      </c>
      <c r="U108" s="37">
        <f t="shared" si="144"/>
        <v>94.064516129032256</v>
      </c>
      <c r="V108" s="37">
        <f t="shared" si="144"/>
        <v>95.451612903225808</v>
      </c>
      <c r="W108" s="37">
        <f t="shared" si="144"/>
        <v>99.467532467532465</v>
      </c>
      <c r="X108" s="37">
        <f t="shared" si="144"/>
        <v>99.397435897435898</v>
      </c>
      <c r="Y108" s="37">
        <f t="shared" si="144"/>
        <v>94.820512820512818</v>
      </c>
      <c r="Z108" s="37">
        <f t="shared" si="144"/>
        <v>86.924242424242422</v>
      </c>
      <c r="AA108" s="37">
        <f t="shared" si="144"/>
        <v>96.181818181818187</v>
      </c>
      <c r="AB108" s="37">
        <f t="shared" si="144"/>
        <v>100.72881355932203</v>
      </c>
      <c r="AC108" s="37">
        <f t="shared" si="144"/>
        <v>99.435483870967744</v>
      </c>
      <c r="AD108" s="37">
        <f t="shared" si="144"/>
        <v>98.89473684210526</v>
      </c>
      <c r="AE108" s="37">
        <f t="shared" si="144"/>
        <v>97.181818181818187</v>
      </c>
      <c r="AF108" s="37">
        <f t="shared" si="144"/>
        <v>96.693333333333328</v>
      </c>
      <c r="AG108" s="37">
        <f t="shared" si="144"/>
        <v>89.131147540983605</v>
      </c>
      <c r="AH108" s="37">
        <f t="shared" ref="AH108" si="145">+IFERROR(AH110/AH106,0)</f>
        <v>103.4</v>
      </c>
      <c r="AI108" s="173">
        <f>+AI110/AI106</f>
        <v>94.486012328117596</v>
      </c>
      <c r="AJ108" s="193">
        <f>+AJ110/AJ106</f>
        <v>94.486012328117596</v>
      </c>
    </row>
    <row r="109" spans="1:36" x14ac:dyDescent="0.3">
      <c r="A109" s="203"/>
      <c r="B109" s="33"/>
      <c r="C109" s="34" t="s">
        <v>18</v>
      </c>
      <c r="D109" s="37">
        <f t="shared" ref="D109:AG109" si="146">+D107*D108</f>
        <v>63.41</v>
      </c>
      <c r="E109" s="37">
        <f t="shared" si="146"/>
        <v>50.47</v>
      </c>
      <c r="F109" s="37">
        <f t="shared" si="146"/>
        <v>75.34</v>
      </c>
      <c r="G109" s="37">
        <f t="shared" si="146"/>
        <v>64.27</v>
      </c>
      <c r="H109" s="37">
        <f t="shared" si="146"/>
        <v>69.7</v>
      </c>
      <c r="I109" s="37">
        <f t="shared" si="146"/>
        <v>64.22999999999999</v>
      </c>
      <c r="J109" s="37">
        <f t="shared" si="146"/>
        <v>67.12</v>
      </c>
      <c r="K109" s="37">
        <f t="shared" si="146"/>
        <v>72.100000000000009</v>
      </c>
      <c r="L109" s="37">
        <f t="shared" si="146"/>
        <v>57.089999999999996</v>
      </c>
      <c r="M109" s="37">
        <f t="shared" si="146"/>
        <v>72.349999999999994</v>
      </c>
      <c r="N109" s="37">
        <v>78.33</v>
      </c>
      <c r="O109" s="37">
        <f t="shared" si="146"/>
        <v>61.54</v>
      </c>
      <c r="P109" s="37">
        <f t="shared" si="146"/>
        <v>54.37</v>
      </c>
      <c r="Q109" s="37">
        <f t="shared" si="146"/>
        <v>56.139999999999993</v>
      </c>
      <c r="R109" s="37">
        <f t="shared" si="146"/>
        <v>66.27</v>
      </c>
      <c r="S109" s="37">
        <f t="shared" si="146"/>
        <v>62.329999999999991</v>
      </c>
      <c r="T109" s="37">
        <f t="shared" si="146"/>
        <v>60.35</v>
      </c>
      <c r="U109" s="37">
        <f t="shared" si="146"/>
        <v>58.32</v>
      </c>
      <c r="V109" s="37">
        <f t="shared" si="146"/>
        <v>59.18</v>
      </c>
      <c r="W109" s="37">
        <f t="shared" si="146"/>
        <v>76.59</v>
      </c>
      <c r="X109" s="37">
        <f t="shared" si="146"/>
        <v>77.53</v>
      </c>
      <c r="Y109" s="37">
        <f t="shared" si="146"/>
        <v>73.959999999999994</v>
      </c>
      <c r="Z109" s="37">
        <f t="shared" si="146"/>
        <v>57.370000000000005</v>
      </c>
      <c r="AA109" s="37">
        <f t="shared" si="146"/>
        <v>63.480000000000004</v>
      </c>
      <c r="AB109" s="37">
        <f t="shared" si="146"/>
        <v>59.43</v>
      </c>
      <c r="AC109" s="37">
        <f t="shared" si="146"/>
        <v>61.65</v>
      </c>
      <c r="AD109" s="37">
        <f t="shared" si="146"/>
        <v>56.36999999999999</v>
      </c>
      <c r="AE109" s="37">
        <f t="shared" si="146"/>
        <v>74.830000000000013</v>
      </c>
      <c r="AF109" s="37">
        <f t="shared" si="146"/>
        <v>72.52</v>
      </c>
      <c r="AG109" s="37">
        <f t="shared" si="146"/>
        <v>54.37</v>
      </c>
      <c r="AH109" s="37">
        <f t="shared" ref="AH109" si="147">+AH107*AH108</f>
        <v>51.7</v>
      </c>
      <c r="AI109" s="173">
        <f>+AI108*AI107</f>
        <v>1992.71</v>
      </c>
      <c r="AJ109" s="193">
        <f>+AJ107*AJ108</f>
        <v>1992.71</v>
      </c>
    </row>
    <row r="110" spans="1:36" x14ac:dyDescent="0.3">
      <c r="A110" s="203"/>
      <c r="B110" s="33"/>
      <c r="C110" s="34" t="s">
        <v>19</v>
      </c>
      <c r="D110" s="158">
        <v>6341</v>
      </c>
      <c r="E110" s="158">
        <v>5047</v>
      </c>
      <c r="F110" s="158">
        <v>7534</v>
      </c>
      <c r="G110" s="158">
        <v>6427</v>
      </c>
      <c r="H110" s="158">
        <v>6970</v>
      </c>
      <c r="I110" s="158">
        <v>6423</v>
      </c>
      <c r="J110" s="158">
        <v>6712</v>
      </c>
      <c r="K110" s="158">
        <v>7210</v>
      </c>
      <c r="L110" s="158">
        <v>5709</v>
      </c>
      <c r="M110" s="158">
        <v>7235</v>
      </c>
      <c r="N110" s="158">
        <v>7833</v>
      </c>
      <c r="O110" s="158">
        <v>6154</v>
      </c>
      <c r="P110" s="158">
        <v>5437</v>
      </c>
      <c r="Q110" s="158">
        <v>5614</v>
      </c>
      <c r="R110" s="158">
        <v>6627</v>
      </c>
      <c r="S110" s="158">
        <v>6233</v>
      </c>
      <c r="T110" s="158">
        <v>6035</v>
      </c>
      <c r="U110" s="158">
        <v>5832</v>
      </c>
      <c r="V110" s="158">
        <v>5918</v>
      </c>
      <c r="W110" s="158">
        <v>7659</v>
      </c>
      <c r="X110" s="158">
        <v>7753</v>
      </c>
      <c r="Y110" s="158">
        <v>7396</v>
      </c>
      <c r="Z110" s="158">
        <v>5737</v>
      </c>
      <c r="AA110" s="158">
        <v>6348</v>
      </c>
      <c r="AB110" s="158">
        <v>5943</v>
      </c>
      <c r="AC110" s="158">
        <v>6165</v>
      </c>
      <c r="AD110" s="158">
        <v>5637</v>
      </c>
      <c r="AE110" s="158">
        <v>7483</v>
      </c>
      <c r="AF110" s="158">
        <v>7252</v>
      </c>
      <c r="AG110" s="158">
        <v>5437</v>
      </c>
      <c r="AH110" s="158">
        <v>5170</v>
      </c>
      <c r="AI110" s="174">
        <f>SUM(D110:AH110)</f>
        <v>199271</v>
      </c>
      <c r="AJ110" s="191">
        <f>+AI110/$A$1*$AK$1</f>
        <v>6177401</v>
      </c>
    </row>
    <row r="111" spans="1:36" ht="15" thickBot="1" x14ac:dyDescent="0.35">
      <c r="A111" s="237"/>
      <c r="B111" s="40"/>
      <c r="C111" s="34" t="s">
        <v>20</v>
      </c>
      <c r="D111" s="42">
        <f>477.3/D110</f>
        <v>7.5272039110550387E-2</v>
      </c>
      <c r="E111" s="42">
        <f>864.77/E110</f>
        <v>0.17134337230037647</v>
      </c>
      <c r="F111" s="42">
        <f>1067.39/F110</f>
        <v>0.14167640031855588</v>
      </c>
      <c r="G111" s="42">
        <f>1284.29/G110</f>
        <v>0.19982729111560604</v>
      </c>
      <c r="H111" s="42">
        <f>1058.83/H110</f>
        <v>0.15191248206599711</v>
      </c>
      <c r="I111" s="42">
        <f>964.66/I110</f>
        <v>0.15018838548964658</v>
      </c>
      <c r="J111" s="42">
        <f>1173.8/J110</f>
        <v>0.17488081048867699</v>
      </c>
      <c r="K111" s="42">
        <f>884.7/K110</f>
        <v>0.12270457697642165</v>
      </c>
      <c r="L111" s="42">
        <f>955.96/L110</f>
        <v>0.16744788929760029</v>
      </c>
      <c r="M111" s="42">
        <f>985.44/M110</f>
        <v>0.13620456116102281</v>
      </c>
      <c r="N111" s="42">
        <f>665.92/N110</f>
        <v>8.5014681475807471E-2</v>
      </c>
      <c r="O111" s="42">
        <f>1298.54/O110</f>
        <v>0.21100747481312968</v>
      </c>
      <c r="P111" s="42">
        <f>1191.73/P110</f>
        <v>0.21918889093249955</v>
      </c>
      <c r="Q111" s="42">
        <f>1415.66/Q110</f>
        <v>0.25216601353758461</v>
      </c>
      <c r="R111" s="42">
        <f>566.21/R110</f>
        <v>8.5439867209898906E-2</v>
      </c>
      <c r="S111" s="42">
        <f>675.01/S110</f>
        <v>0.10829616557035135</v>
      </c>
      <c r="T111" s="42">
        <f>1354.85/T110</f>
        <v>0.22449875724937862</v>
      </c>
      <c r="U111" s="42">
        <f>1365.6/U110</f>
        <v>0.23415637860082303</v>
      </c>
      <c r="V111" s="42">
        <f>1186.49/V110</f>
        <v>0.2004883406556269</v>
      </c>
      <c r="W111" s="42">
        <f>1134.03/W110</f>
        <v>0.14806502154328241</v>
      </c>
      <c r="X111" s="42">
        <f>1294.96/X110</f>
        <v>0.16702695730684897</v>
      </c>
      <c r="Y111" s="42">
        <f>598.24/Y110</f>
        <v>8.0886965927528393E-2</v>
      </c>
      <c r="Z111" s="42">
        <f>1007.99/Z110</f>
        <v>0.17569984312358375</v>
      </c>
      <c r="AA111" s="42">
        <f>1063.87/AA110</f>
        <v>0.16759136735979835</v>
      </c>
      <c r="AB111" s="42">
        <f>1160.64/AB110</f>
        <v>0.19529530540131249</v>
      </c>
      <c r="AC111" s="42">
        <f>1243.26/AC110</f>
        <v>0.20166423357664234</v>
      </c>
      <c r="AD111" s="42">
        <f>1240.3/AD110</f>
        <v>0.22002838389214119</v>
      </c>
      <c r="AE111" s="42">
        <f>1257.46/AE110</f>
        <v>0.16804222905251906</v>
      </c>
      <c r="AF111" s="42">
        <f>609.35/AF110</f>
        <v>8.4025096525096529E-2</v>
      </c>
      <c r="AG111" s="42">
        <f>884.92/AG110</f>
        <v>0.16275887437925327</v>
      </c>
      <c r="AH111" s="42">
        <f>1651.71/AH110</f>
        <v>0.31947969052224373</v>
      </c>
      <c r="AI111" s="182">
        <f>AVERAGE(D111:AG111)</f>
        <v>0.16275995521525208</v>
      </c>
      <c r="AJ111" s="193"/>
    </row>
    <row r="112" spans="1:36" x14ac:dyDescent="0.3">
      <c r="A112" s="203">
        <v>107</v>
      </c>
      <c r="B112" s="159" t="s">
        <v>43</v>
      </c>
      <c r="C112" s="160" t="s">
        <v>15</v>
      </c>
      <c r="D112" s="228">
        <v>108</v>
      </c>
      <c r="E112" s="228">
        <v>97</v>
      </c>
      <c r="F112" s="228">
        <v>93</v>
      </c>
      <c r="G112" s="228">
        <v>92</v>
      </c>
      <c r="H112" s="228">
        <v>103</v>
      </c>
      <c r="I112" s="228">
        <v>107</v>
      </c>
      <c r="J112" s="228">
        <v>104</v>
      </c>
      <c r="K112" s="228">
        <v>108</v>
      </c>
      <c r="L112" s="228">
        <v>93</v>
      </c>
      <c r="M112" s="228">
        <v>101</v>
      </c>
      <c r="N112" s="228">
        <v>104</v>
      </c>
      <c r="O112" s="228">
        <v>107</v>
      </c>
      <c r="P112" s="228">
        <v>107</v>
      </c>
      <c r="Q112" s="228">
        <v>107</v>
      </c>
      <c r="R112" s="228">
        <v>107</v>
      </c>
      <c r="S112" s="228">
        <v>95</v>
      </c>
      <c r="T112" s="228">
        <v>88</v>
      </c>
      <c r="U112" s="228">
        <v>100</v>
      </c>
      <c r="V112" s="228">
        <v>88</v>
      </c>
      <c r="W112" s="228">
        <v>100</v>
      </c>
      <c r="X112" s="228">
        <v>107</v>
      </c>
      <c r="Y112" s="228">
        <v>107</v>
      </c>
      <c r="Z112" s="228">
        <v>90</v>
      </c>
      <c r="AA112" s="228">
        <v>88</v>
      </c>
      <c r="AB112" s="228">
        <v>87</v>
      </c>
      <c r="AC112" s="228">
        <v>81</v>
      </c>
      <c r="AD112" s="228">
        <v>86</v>
      </c>
      <c r="AE112" s="228">
        <v>100</v>
      </c>
      <c r="AF112" s="228">
        <v>106</v>
      </c>
      <c r="AG112" s="228">
        <v>97</v>
      </c>
      <c r="AH112" s="228">
        <v>68</v>
      </c>
      <c r="AI112" s="189">
        <f>SUM(D112:AH112)</f>
        <v>3026</v>
      </c>
      <c r="AJ112" s="217">
        <f>+$AI112/$A$1*$AK$1</f>
        <v>93806</v>
      </c>
    </row>
    <row r="113" spans="1:36" x14ac:dyDescent="0.3">
      <c r="A113" s="203"/>
      <c r="B113" s="162"/>
      <c r="C113" s="163" t="s">
        <v>16</v>
      </c>
      <c r="D113" s="164">
        <f>+D112/$A112</f>
        <v>1.0093457943925233</v>
      </c>
      <c r="E113" s="164">
        <f t="shared" ref="E113:AG113" si="148">+E112/$A112</f>
        <v>0.90654205607476634</v>
      </c>
      <c r="F113" s="164">
        <f t="shared" si="148"/>
        <v>0.86915887850467288</v>
      </c>
      <c r="G113" s="164">
        <f t="shared" si="148"/>
        <v>0.85981308411214952</v>
      </c>
      <c r="H113" s="164">
        <f t="shared" si="148"/>
        <v>0.96261682242990654</v>
      </c>
      <c r="I113" s="164">
        <f t="shared" si="148"/>
        <v>1</v>
      </c>
      <c r="J113" s="164">
        <f t="shared" si="148"/>
        <v>0.9719626168224299</v>
      </c>
      <c r="K113" s="164">
        <f t="shared" si="148"/>
        <v>1.0093457943925233</v>
      </c>
      <c r="L113" s="164">
        <f t="shared" si="148"/>
        <v>0.86915887850467288</v>
      </c>
      <c r="M113" s="164">
        <f t="shared" si="148"/>
        <v>0.94392523364485981</v>
      </c>
      <c r="N113" s="164">
        <v>0.9719626168224299</v>
      </c>
      <c r="O113" s="164">
        <f t="shared" si="148"/>
        <v>1</v>
      </c>
      <c r="P113" s="164">
        <f t="shared" si="148"/>
        <v>1</v>
      </c>
      <c r="Q113" s="164">
        <f t="shared" si="148"/>
        <v>1</v>
      </c>
      <c r="R113" s="164">
        <f t="shared" si="148"/>
        <v>1</v>
      </c>
      <c r="S113" s="164">
        <f t="shared" si="148"/>
        <v>0.88785046728971961</v>
      </c>
      <c r="T113" s="164">
        <f t="shared" si="148"/>
        <v>0.82242990654205606</v>
      </c>
      <c r="U113" s="164">
        <f t="shared" si="148"/>
        <v>0.93457943925233644</v>
      </c>
      <c r="V113" s="164">
        <f t="shared" si="148"/>
        <v>0.82242990654205606</v>
      </c>
      <c r="W113" s="164">
        <f t="shared" si="148"/>
        <v>0.93457943925233644</v>
      </c>
      <c r="X113" s="164">
        <f t="shared" si="148"/>
        <v>1</v>
      </c>
      <c r="Y113" s="164">
        <f t="shared" si="148"/>
        <v>1</v>
      </c>
      <c r="Z113" s="164">
        <f t="shared" si="148"/>
        <v>0.84112149532710279</v>
      </c>
      <c r="AA113" s="164">
        <f>+AA112/$A112</f>
        <v>0.82242990654205606</v>
      </c>
      <c r="AB113" s="164">
        <f t="shared" si="148"/>
        <v>0.81308411214953269</v>
      </c>
      <c r="AC113" s="164">
        <f t="shared" si="148"/>
        <v>0.7570093457943925</v>
      </c>
      <c r="AD113" s="164">
        <f t="shared" si="148"/>
        <v>0.80373831775700932</v>
      </c>
      <c r="AE113" s="164">
        <f t="shared" si="148"/>
        <v>0.93457943925233644</v>
      </c>
      <c r="AF113" s="164">
        <f t="shared" si="148"/>
        <v>0.99065420560747663</v>
      </c>
      <c r="AG113" s="164">
        <f t="shared" si="148"/>
        <v>0.90654205607476634</v>
      </c>
      <c r="AH113" s="164">
        <f t="shared" ref="AH113" si="149">+AH112/$A112</f>
        <v>0.63551401869158874</v>
      </c>
      <c r="AI113" s="177">
        <f>+AI112/(A112*A$1)</f>
        <v>28.280373831775702</v>
      </c>
      <c r="AJ113" s="197">
        <f>AJ112/($A112*31)</f>
        <v>28.280373831775702</v>
      </c>
    </row>
    <row r="114" spans="1:36" x14ac:dyDescent="0.3">
      <c r="A114" s="203"/>
      <c r="B114" s="162"/>
      <c r="C114" s="163" t="s">
        <v>17</v>
      </c>
      <c r="D114" s="165">
        <f>+IFERROR(D116/D112,0)</f>
        <v>108.02777777777777</v>
      </c>
      <c r="E114" s="165">
        <f t="shared" ref="E114:AG114" si="150">+IFERROR(E116/E112,0)</f>
        <v>100.44329896907216</v>
      </c>
      <c r="F114" s="165">
        <f t="shared" si="150"/>
        <v>99.215053763440864</v>
      </c>
      <c r="G114" s="165">
        <f t="shared" si="150"/>
        <v>98.923913043478265</v>
      </c>
      <c r="H114" s="165">
        <f t="shared" si="150"/>
        <v>102.67961165048544</v>
      </c>
      <c r="I114" s="165">
        <f t="shared" si="150"/>
        <v>104.53271028037383</v>
      </c>
      <c r="J114" s="165">
        <f t="shared" si="150"/>
        <v>111.47115384615384</v>
      </c>
      <c r="K114" s="165">
        <f t="shared" si="150"/>
        <v>116.39814814814815</v>
      </c>
      <c r="L114" s="165">
        <f t="shared" si="150"/>
        <v>106.09677419354838</v>
      </c>
      <c r="M114" s="165">
        <f t="shared" si="150"/>
        <v>106.89108910891089</v>
      </c>
      <c r="N114" s="165">
        <v>111.5</v>
      </c>
      <c r="O114" s="165">
        <f t="shared" si="150"/>
        <v>105.07476635514018</v>
      </c>
      <c r="P114" s="165">
        <f t="shared" si="150"/>
        <v>106.59813084112149</v>
      </c>
      <c r="Q114" s="165">
        <f t="shared" si="150"/>
        <v>114.90654205607477</v>
      </c>
      <c r="R114" s="165">
        <f t="shared" si="150"/>
        <v>129.06542056074767</v>
      </c>
      <c r="S114" s="165">
        <f t="shared" si="150"/>
        <v>104.65263157894736</v>
      </c>
      <c r="T114" s="165">
        <f t="shared" si="150"/>
        <v>99.772727272727266</v>
      </c>
      <c r="U114" s="165">
        <f t="shared" si="150"/>
        <v>110.56</v>
      </c>
      <c r="V114" s="165">
        <f t="shared" si="150"/>
        <v>99.522727272727266</v>
      </c>
      <c r="W114" s="165">
        <f t="shared" si="150"/>
        <v>108.51</v>
      </c>
      <c r="X114" s="165">
        <f t="shared" si="150"/>
        <v>110.40186915887851</v>
      </c>
      <c r="Y114" s="165">
        <f t="shared" si="150"/>
        <v>115.51401869158879</v>
      </c>
      <c r="Z114" s="165">
        <f t="shared" si="150"/>
        <v>99.777777777777771</v>
      </c>
      <c r="AA114" s="165">
        <f t="shared" si="150"/>
        <v>108.42045454545455</v>
      </c>
      <c r="AB114" s="165">
        <f t="shared" si="150"/>
        <v>109.08045977011494</v>
      </c>
      <c r="AC114" s="165">
        <f t="shared" si="150"/>
        <v>108.90123456790124</v>
      </c>
      <c r="AD114" s="165">
        <f t="shared" si="150"/>
        <v>107.72093023255815</v>
      </c>
      <c r="AE114" s="165">
        <f t="shared" si="150"/>
        <v>114.16</v>
      </c>
      <c r="AF114" s="165">
        <f t="shared" si="150"/>
        <v>115.83018867924528</v>
      </c>
      <c r="AG114" s="165">
        <f t="shared" si="150"/>
        <v>110.24742268041237</v>
      </c>
      <c r="AH114" s="165">
        <f t="shared" ref="AH114" si="151">+IFERROR(AH116/AH112,0)</f>
        <v>104.57352941176471</v>
      </c>
      <c r="AI114" s="178">
        <f>+AI116/AI112</f>
        <v>108.33807005948447</v>
      </c>
      <c r="AJ114" s="198">
        <f>+AJ116/AJ112</f>
        <v>108.33807005948447</v>
      </c>
    </row>
    <row r="115" spans="1:36" x14ac:dyDescent="0.3">
      <c r="A115" s="203"/>
      <c r="B115" s="162"/>
      <c r="C115" s="163" t="s">
        <v>18</v>
      </c>
      <c r="D115" s="165">
        <f>+D113*D114</f>
        <v>109.03738317757008</v>
      </c>
      <c r="E115" s="165">
        <f t="shared" ref="E115:AG115" si="152">+E113*E114</f>
        <v>91.056074766355138</v>
      </c>
      <c r="F115" s="165">
        <f t="shared" si="152"/>
        <v>86.233644859813083</v>
      </c>
      <c r="G115" s="165">
        <f t="shared" si="152"/>
        <v>85.056074766355138</v>
      </c>
      <c r="H115" s="165">
        <f t="shared" si="152"/>
        <v>98.841121495327101</v>
      </c>
      <c r="I115" s="165">
        <f t="shared" si="152"/>
        <v>104.53271028037383</v>
      </c>
      <c r="J115" s="165">
        <f t="shared" si="152"/>
        <v>108.34579439252336</v>
      </c>
      <c r="K115" s="165">
        <f t="shared" si="152"/>
        <v>117.48598130841121</v>
      </c>
      <c r="L115" s="165">
        <f t="shared" si="152"/>
        <v>92.214953271028037</v>
      </c>
      <c r="M115" s="165">
        <f t="shared" si="152"/>
        <v>100.89719626168224</v>
      </c>
      <c r="N115" s="165">
        <v>108.37383177570094</v>
      </c>
      <c r="O115" s="165">
        <f t="shared" si="152"/>
        <v>105.07476635514018</v>
      </c>
      <c r="P115" s="165">
        <f t="shared" si="152"/>
        <v>106.59813084112149</v>
      </c>
      <c r="Q115" s="165">
        <f t="shared" si="152"/>
        <v>114.90654205607477</v>
      </c>
      <c r="R115" s="165">
        <f t="shared" si="152"/>
        <v>129.06542056074767</v>
      </c>
      <c r="S115" s="165">
        <f t="shared" si="152"/>
        <v>92.915887850467286</v>
      </c>
      <c r="T115" s="165">
        <f t="shared" si="152"/>
        <v>82.056074766355138</v>
      </c>
      <c r="U115" s="165">
        <f t="shared" si="152"/>
        <v>103.32710280373831</v>
      </c>
      <c r="V115" s="165">
        <f t="shared" si="152"/>
        <v>81.850467289719617</v>
      </c>
      <c r="W115" s="165">
        <f t="shared" si="152"/>
        <v>101.41121495327103</v>
      </c>
      <c r="X115" s="165">
        <f t="shared" si="152"/>
        <v>110.40186915887851</v>
      </c>
      <c r="Y115" s="165">
        <f t="shared" si="152"/>
        <v>115.51401869158879</v>
      </c>
      <c r="Z115" s="165">
        <f t="shared" si="152"/>
        <v>83.925233644859802</v>
      </c>
      <c r="AA115" s="165">
        <f t="shared" si="152"/>
        <v>89.168224299065415</v>
      </c>
      <c r="AB115" s="165">
        <f t="shared" si="152"/>
        <v>88.691588785046733</v>
      </c>
      <c r="AC115" s="165">
        <f t="shared" si="152"/>
        <v>82.439252336448604</v>
      </c>
      <c r="AD115" s="165">
        <f t="shared" si="152"/>
        <v>86.579439252336456</v>
      </c>
      <c r="AE115" s="165">
        <f t="shared" si="152"/>
        <v>106.69158878504672</v>
      </c>
      <c r="AF115" s="165">
        <f t="shared" si="152"/>
        <v>114.74766355140187</v>
      </c>
      <c r="AG115" s="165">
        <f t="shared" si="152"/>
        <v>99.943925233644862</v>
      </c>
      <c r="AH115" s="165">
        <f t="shared" ref="AH115" si="153">+AH113*AH114</f>
        <v>66.45794392523365</v>
      </c>
      <c r="AI115" s="178">
        <f>+AI114*AI113</f>
        <v>3063.8411214953271</v>
      </c>
      <c r="AJ115" s="198">
        <f>+AJ113*AJ114</f>
        <v>3063.8411214953271</v>
      </c>
    </row>
    <row r="116" spans="1:36" x14ac:dyDescent="0.3">
      <c r="A116" s="203"/>
      <c r="B116" s="162"/>
      <c r="C116" s="163" t="s">
        <v>19</v>
      </c>
      <c r="D116" s="166">
        <v>11667</v>
      </c>
      <c r="E116" s="166">
        <v>9743</v>
      </c>
      <c r="F116" s="166">
        <v>9227</v>
      </c>
      <c r="G116" s="166">
        <v>9101</v>
      </c>
      <c r="H116" s="166">
        <v>10576</v>
      </c>
      <c r="I116" s="166">
        <v>11185</v>
      </c>
      <c r="J116" s="166">
        <v>11593</v>
      </c>
      <c r="K116" s="166">
        <v>12571</v>
      </c>
      <c r="L116" s="166">
        <v>9867</v>
      </c>
      <c r="M116" s="166">
        <v>10796</v>
      </c>
      <c r="N116" s="166">
        <v>11596</v>
      </c>
      <c r="O116" s="166">
        <v>11243</v>
      </c>
      <c r="P116" s="166">
        <v>11406</v>
      </c>
      <c r="Q116" s="166">
        <v>12295</v>
      </c>
      <c r="R116" s="166">
        <v>13810</v>
      </c>
      <c r="S116" s="166">
        <v>9942</v>
      </c>
      <c r="T116" s="166">
        <v>8780</v>
      </c>
      <c r="U116" s="166">
        <v>11056</v>
      </c>
      <c r="V116" s="166">
        <v>8758</v>
      </c>
      <c r="W116" s="166">
        <v>10851</v>
      </c>
      <c r="X116" s="166">
        <v>11813</v>
      </c>
      <c r="Y116" s="166">
        <v>12360</v>
      </c>
      <c r="Z116" s="166">
        <v>8980</v>
      </c>
      <c r="AA116" s="166">
        <v>9541</v>
      </c>
      <c r="AB116" s="166">
        <v>9490</v>
      </c>
      <c r="AC116" s="166">
        <v>8821</v>
      </c>
      <c r="AD116" s="166">
        <v>9264</v>
      </c>
      <c r="AE116" s="166">
        <v>11416</v>
      </c>
      <c r="AF116" s="166">
        <v>12278</v>
      </c>
      <c r="AG116" s="166">
        <v>10694</v>
      </c>
      <c r="AH116" s="166">
        <v>7111</v>
      </c>
      <c r="AI116" s="179">
        <f>SUM(D116:AH116)</f>
        <v>327831</v>
      </c>
      <c r="AJ116" s="196">
        <f>+AI116/$A$1*$AK$1</f>
        <v>10162761</v>
      </c>
    </row>
    <row r="117" spans="1:36" ht="15" thickBot="1" x14ac:dyDescent="0.35">
      <c r="A117" s="237"/>
      <c r="B117" s="219"/>
      <c r="C117" s="206" t="s">
        <v>20</v>
      </c>
      <c r="D117" s="220">
        <f>1106.12/D116</f>
        <v>9.4807576926373524E-2</v>
      </c>
      <c r="E117" s="220">
        <f>780.49/E116</f>
        <v>8.010776968079647E-2</v>
      </c>
      <c r="F117" s="220">
        <f>977.43/F116</f>
        <v>0.10593150536469058</v>
      </c>
      <c r="G117" s="220">
        <f>1302.16/G116</f>
        <v>0.14307878255136799</v>
      </c>
      <c r="H117" s="220">
        <f>1267.01/H116</f>
        <v>0.11980049167927383</v>
      </c>
      <c r="I117" s="220">
        <f>1212.81/I116</f>
        <v>0.10843182834152883</v>
      </c>
      <c r="J117" s="220">
        <f>1052.35/J116</f>
        <v>9.077460536530664E-2</v>
      </c>
      <c r="K117" s="220">
        <f>1032.38/K116</f>
        <v>8.2123936043274212E-2</v>
      </c>
      <c r="L117" s="220">
        <f>910.39/L116</f>
        <v>9.2266139657443999E-2</v>
      </c>
      <c r="M117" s="220">
        <f>994.7/M116</f>
        <v>9.2135976287513896E-2</v>
      </c>
      <c r="N117" s="220">
        <f>1059.63/N116</f>
        <v>9.1378923766816153E-2</v>
      </c>
      <c r="O117" s="220">
        <f>1104.15/O116</f>
        <v>9.8207773725873887E-2</v>
      </c>
      <c r="P117" s="220">
        <f>573.84/P116</f>
        <v>5.0310362966859548E-2</v>
      </c>
      <c r="Q117" s="220">
        <f>1132.77/Q116</f>
        <v>9.213257421716145E-2</v>
      </c>
      <c r="R117" s="220">
        <f>882.13/R116</f>
        <v>6.387617668356263E-2</v>
      </c>
      <c r="S117" s="220">
        <f>725.86/S116</f>
        <v>7.3009454838060747E-2</v>
      </c>
      <c r="T117" s="220">
        <f>803.51/T116</f>
        <v>9.1515945330296125E-2</v>
      </c>
      <c r="U117" s="220">
        <f>1073.86/U116</f>
        <v>9.7129160636758319E-2</v>
      </c>
      <c r="V117" s="220">
        <f>1206.24/V116</f>
        <v>0.13773007535967116</v>
      </c>
      <c r="W117" s="220">
        <f>1084.47/W116</f>
        <v>9.9941940834946091E-2</v>
      </c>
      <c r="X117" s="220">
        <f>1100.72/X116</f>
        <v>9.3178701430627273E-2</v>
      </c>
      <c r="Y117" s="220">
        <f>1010.21/Y116</f>
        <v>8.173220064724919E-2</v>
      </c>
      <c r="Z117" s="220">
        <f>824.1/Z116</f>
        <v>9.1770601336302896E-2</v>
      </c>
      <c r="AA117" s="220">
        <f>1129.08/AA116</f>
        <v>0.11833979666701602</v>
      </c>
      <c r="AB117" s="220">
        <f>1229.83/AB116</f>
        <v>0.12959220231822971</v>
      </c>
      <c r="AC117" s="220">
        <f>1185.28/AC116</f>
        <v>0.13437025280580434</v>
      </c>
      <c r="AD117" s="220">
        <f>1203.21/AD116</f>
        <v>0.12988018134715026</v>
      </c>
      <c r="AE117" s="220">
        <f>1217.7/AE116</f>
        <v>0.10666608269096006</v>
      </c>
      <c r="AF117" s="220">
        <f>961.17/AF116</f>
        <v>7.8283922462941843E-2</v>
      </c>
      <c r="AG117" s="220">
        <f>753.53/AG116</f>
        <v>7.0462876379278103E-2</v>
      </c>
      <c r="AH117" s="220">
        <f>2149.63/AH116</f>
        <v>0.30229644213190832</v>
      </c>
      <c r="AI117" s="190">
        <f>AVERAGE(D117:AG117)</f>
        <v>9.7965593944771209E-2</v>
      </c>
      <c r="AJ117" s="230"/>
    </row>
    <row r="118" spans="1:36" x14ac:dyDescent="0.3">
      <c r="A118" s="203">
        <v>125</v>
      </c>
      <c r="B118" s="201" t="s">
        <v>44</v>
      </c>
      <c r="C118" s="104" t="s">
        <v>15</v>
      </c>
      <c r="D118" s="59">
        <v>125</v>
      </c>
      <c r="E118" s="59">
        <v>65</v>
      </c>
      <c r="F118" s="59">
        <v>65</v>
      </c>
      <c r="G118" s="59">
        <v>66</v>
      </c>
      <c r="H118" s="59">
        <v>71</v>
      </c>
      <c r="I118" s="59">
        <v>106</v>
      </c>
      <c r="J118" s="59">
        <v>124</v>
      </c>
      <c r="K118" s="59">
        <v>125</v>
      </c>
      <c r="L118" s="59">
        <v>88</v>
      </c>
      <c r="M118" s="59">
        <v>108</v>
      </c>
      <c r="N118" s="59">
        <v>113</v>
      </c>
      <c r="O118" s="59">
        <v>119</v>
      </c>
      <c r="P118" s="59">
        <v>125</v>
      </c>
      <c r="Q118" s="59">
        <v>125</v>
      </c>
      <c r="R118" s="59">
        <v>125</v>
      </c>
      <c r="S118" s="59">
        <v>74</v>
      </c>
      <c r="T118" s="59">
        <v>74</v>
      </c>
      <c r="U118" s="59">
        <v>80</v>
      </c>
      <c r="V118" s="59">
        <v>86</v>
      </c>
      <c r="W118" s="59">
        <v>106</v>
      </c>
      <c r="X118" s="59">
        <v>122</v>
      </c>
      <c r="Y118" s="59">
        <v>125</v>
      </c>
      <c r="Z118" s="59">
        <v>67</v>
      </c>
      <c r="AA118" s="59">
        <v>58</v>
      </c>
      <c r="AB118" s="59">
        <v>66</v>
      </c>
      <c r="AC118" s="59">
        <v>80</v>
      </c>
      <c r="AD118" s="59">
        <v>88</v>
      </c>
      <c r="AE118" s="59">
        <v>124</v>
      </c>
      <c r="AF118" s="59">
        <v>125</v>
      </c>
      <c r="AG118" s="59">
        <v>114</v>
      </c>
      <c r="AH118" s="59">
        <v>59</v>
      </c>
      <c r="AI118" s="183">
        <f>SUM(D118:AH118)</f>
        <v>2998</v>
      </c>
      <c r="AJ118" s="204">
        <f>+$AI118/$A$1*$AK$1</f>
        <v>92938</v>
      </c>
    </row>
    <row r="119" spans="1:36" x14ac:dyDescent="0.3">
      <c r="A119" s="203"/>
      <c r="B119" s="33"/>
      <c r="C119" s="34" t="s">
        <v>16</v>
      </c>
      <c r="D119" s="35">
        <f t="shared" ref="D119:AG119" si="154">+D118/$A118</f>
        <v>1</v>
      </c>
      <c r="E119" s="35">
        <f t="shared" si="154"/>
        <v>0.52</v>
      </c>
      <c r="F119" s="35">
        <f t="shared" si="154"/>
        <v>0.52</v>
      </c>
      <c r="G119" s="35">
        <f t="shared" si="154"/>
        <v>0.52800000000000002</v>
      </c>
      <c r="H119" s="35">
        <f t="shared" si="154"/>
        <v>0.56799999999999995</v>
      </c>
      <c r="I119" s="35">
        <f t="shared" si="154"/>
        <v>0.84799999999999998</v>
      </c>
      <c r="J119" s="35">
        <f t="shared" si="154"/>
        <v>0.99199999999999999</v>
      </c>
      <c r="K119" s="35">
        <f t="shared" si="154"/>
        <v>1</v>
      </c>
      <c r="L119" s="35">
        <f t="shared" si="154"/>
        <v>0.70399999999999996</v>
      </c>
      <c r="M119" s="35">
        <f t="shared" si="154"/>
        <v>0.86399999999999999</v>
      </c>
      <c r="N119" s="35">
        <v>0.90400000000000003</v>
      </c>
      <c r="O119" s="35">
        <f t="shared" si="154"/>
        <v>0.95199999999999996</v>
      </c>
      <c r="P119" s="35">
        <f t="shared" si="154"/>
        <v>1</v>
      </c>
      <c r="Q119" s="35">
        <f t="shared" si="154"/>
        <v>1</v>
      </c>
      <c r="R119" s="35">
        <f t="shared" si="154"/>
        <v>1</v>
      </c>
      <c r="S119" s="35">
        <f t="shared" si="154"/>
        <v>0.59199999999999997</v>
      </c>
      <c r="T119" s="35">
        <f t="shared" si="154"/>
        <v>0.59199999999999997</v>
      </c>
      <c r="U119" s="35">
        <f t="shared" si="154"/>
        <v>0.64</v>
      </c>
      <c r="V119" s="35">
        <f t="shared" si="154"/>
        <v>0.68799999999999994</v>
      </c>
      <c r="W119" s="35">
        <f t="shared" si="154"/>
        <v>0.84799999999999998</v>
      </c>
      <c r="X119" s="35">
        <f t="shared" si="154"/>
        <v>0.97599999999999998</v>
      </c>
      <c r="Y119" s="35">
        <f t="shared" si="154"/>
        <v>1</v>
      </c>
      <c r="Z119" s="35">
        <f t="shared" si="154"/>
        <v>0.53600000000000003</v>
      </c>
      <c r="AA119" s="35">
        <f t="shared" si="154"/>
        <v>0.46400000000000002</v>
      </c>
      <c r="AB119" s="35">
        <f t="shared" si="154"/>
        <v>0.52800000000000002</v>
      </c>
      <c r="AC119" s="35">
        <f t="shared" si="154"/>
        <v>0.64</v>
      </c>
      <c r="AD119" s="35">
        <f t="shared" si="154"/>
        <v>0.70399999999999996</v>
      </c>
      <c r="AE119" s="35">
        <f t="shared" si="154"/>
        <v>0.99199999999999999</v>
      </c>
      <c r="AF119" s="35">
        <f t="shared" si="154"/>
        <v>1</v>
      </c>
      <c r="AG119" s="35">
        <f t="shared" si="154"/>
        <v>0.91200000000000003</v>
      </c>
      <c r="AH119" s="35">
        <f t="shared" ref="AH119" si="155">+AH118/$A118</f>
        <v>0.47199999999999998</v>
      </c>
      <c r="AI119" s="172">
        <f>+AI118/(A118*A$1)</f>
        <v>23.984000000000002</v>
      </c>
      <c r="AJ119" s="192">
        <f>AJ118/($A118*31)</f>
        <v>23.984000000000002</v>
      </c>
    </row>
    <row r="120" spans="1:36" x14ac:dyDescent="0.3">
      <c r="A120" s="203"/>
      <c r="B120" s="33"/>
      <c r="C120" s="34" t="s">
        <v>17</v>
      </c>
      <c r="D120" s="37">
        <f>+IFERROR(D122/D118,0)</f>
        <v>110.048</v>
      </c>
      <c r="E120" s="37">
        <f t="shared" ref="E120:AG120" si="156">+IFERROR(E122/E118,0)</f>
        <v>89.046153846153842</v>
      </c>
      <c r="F120" s="37">
        <f t="shared" si="156"/>
        <v>92.123076923076923</v>
      </c>
      <c r="G120" s="37">
        <f t="shared" si="156"/>
        <v>94.742424242424249</v>
      </c>
      <c r="H120" s="37">
        <f t="shared" si="156"/>
        <v>93.478873239436624</v>
      </c>
      <c r="I120" s="37">
        <f t="shared" si="156"/>
        <v>91.839622641509436</v>
      </c>
      <c r="J120" s="37">
        <f t="shared" si="156"/>
        <v>109.84677419354838</v>
      </c>
      <c r="K120" s="37">
        <f t="shared" si="156"/>
        <v>111.768</v>
      </c>
      <c r="L120" s="37">
        <f t="shared" si="156"/>
        <v>95.681818181818187</v>
      </c>
      <c r="M120" s="37">
        <f t="shared" si="156"/>
        <v>100.63888888888889</v>
      </c>
      <c r="N120" s="37">
        <v>89.371681415929203</v>
      </c>
      <c r="O120" s="37">
        <f t="shared" si="156"/>
        <v>106.80672268907563</v>
      </c>
      <c r="P120" s="37">
        <f t="shared" si="156"/>
        <v>106.16800000000001</v>
      </c>
      <c r="Q120" s="37">
        <f t="shared" si="156"/>
        <v>119.544</v>
      </c>
      <c r="R120" s="37">
        <f t="shared" si="156"/>
        <v>117.928</v>
      </c>
      <c r="S120" s="37">
        <f t="shared" si="156"/>
        <v>87.567567567567565</v>
      </c>
      <c r="T120" s="37">
        <f t="shared" si="156"/>
        <v>92.702702702702709</v>
      </c>
      <c r="U120" s="37">
        <f t="shared" si="156"/>
        <v>94.9</v>
      </c>
      <c r="V120" s="37">
        <f t="shared" si="156"/>
        <v>91.755813953488371</v>
      </c>
      <c r="W120" s="37">
        <f t="shared" si="156"/>
        <v>101.5377358490566</v>
      </c>
      <c r="X120" s="37">
        <f t="shared" si="156"/>
        <v>114.01639344262296</v>
      </c>
      <c r="Y120" s="37">
        <f t="shared" si="156"/>
        <v>116.84</v>
      </c>
      <c r="Z120" s="37">
        <f t="shared" si="156"/>
        <v>86.343283582089555</v>
      </c>
      <c r="AA120" s="37">
        <f t="shared" si="156"/>
        <v>90.65517241379311</v>
      </c>
      <c r="AB120" s="37">
        <f t="shared" si="156"/>
        <v>91.712121212121218</v>
      </c>
      <c r="AC120" s="37">
        <f t="shared" si="156"/>
        <v>92.325000000000003</v>
      </c>
      <c r="AD120" s="37">
        <f t="shared" si="156"/>
        <v>103.85227272727273</v>
      </c>
      <c r="AE120" s="37">
        <f t="shared" si="156"/>
        <v>112.7258064516129</v>
      </c>
      <c r="AF120" s="37">
        <f t="shared" si="156"/>
        <v>124.976</v>
      </c>
      <c r="AG120" s="37">
        <f t="shared" si="156"/>
        <v>110.63157894736842</v>
      </c>
      <c r="AH120" s="37">
        <f t="shared" ref="AH120" si="157">+IFERROR(AH122/AH118,0)</f>
        <v>92.220338983050851</v>
      </c>
      <c r="AI120" s="173">
        <f>+AI122/AI118</f>
        <v>103.46130753835891</v>
      </c>
      <c r="AJ120" s="193">
        <f>+AJ122/AJ118</f>
        <v>103.46130753835891</v>
      </c>
    </row>
    <row r="121" spans="1:36" x14ac:dyDescent="0.3">
      <c r="A121" s="203"/>
      <c r="B121" s="33"/>
      <c r="C121" s="34" t="s">
        <v>18</v>
      </c>
      <c r="D121" s="37">
        <f t="shared" ref="D121:AG121" si="158">+D119*D120</f>
        <v>110.048</v>
      </c>
      <c r="E121" s="37">
        <f t="shared" si="158"/>
        <v>46.304000000000002</v>
      </c>
      <c r="F121" s="37">
        <f t="shared" si="158"/>
        <v>47.904000000000003</v>
      </c>
      <c r="G121" s="37">
        <f t="shared" si="158"/>
        <v>50.024000000000008</v>
      </c>
      <c r="H121" s="37">
        <f t="shared" si="158"/>
        <v>53.095999999999997</v>
      </c>
      <c r="I121" s="37">
        <f t="shared" si="158"/>
        <v>77.88</v>
      </c>
      <c r="J121" s="37">
        <f t="shared" si="158"/>
        <v>108.968</v>
      </c>
      <c r="K121" s="37">
        <f t="shared" si="158"/>
        <v>111.768</v>
      </c>
      <c r="L121" s="37">
        <f t="shared" si="158"/>
        <v>67.36</v>
      </c>
      <c r="M121" s="37">
        <f t="shared" si="158"/>
        <v>86.951999999999998</v>
      </c>
      <c r="N121" s="37">
        <v>80.792000000000002</v>
      </c>
      <c r="O121" s="37">
        <f t="shared" si="158"/>
        <v>101.67999999999999</v>
      </c>
      <c r="P121" s="37">
        <f t="shared" si="158"/>
        <v>106.16800000000001</v>
      </c>
      <c r="Q121" s="37">
        <f t="shared" si="158"/>
        <v>119.544</v>
      </c>
      <c r="R121" s="37">
        <f t="shared" si="158"/>
        <v>117.928</v>
      </c>
      <c r="S121" s="37">
        <f t="shared" si="158"/>
        <v>51.839999999999996</v>
      </c>
      <c r="T121" s="37">
        <f t="shared" si="158"/>
        <v>54.88</v>
      </c>
      <c r="U121" s="37">
        <f t="shared" si="158"/>
        <v>60.736000000000004</v>
      </c>
      <c r="V121" s="37">
        <f t="shared" si="158"/>
        <v>63.127999999999993</v>
      </c>
      <c r="W121" s="37">
        <f t="shared" si="158"/>
        <v>86.103999999999999</v>
      </c>
      <c r="X121" s="37">
        <f t="shared" si="158"/>
        <v>111.28</v>
      </c>
      <c r="Y121" s="37">
        <f t="shared" si="158"/>
        <v>116.84</v>
      </c>
      <c r="Z121" s="37">
        <f t="shared" si="158"/>
        <v>46.28</v>
      </c>
      <c r="AA121" s="37">
        <f t="shared" si="158"/>
        <v>42.064000000000007</v>
      </c>
      <c r="AB121" s="37">
        <f t="shared" si="158"/>
        <v>48.424000000000007</v>
      </c>
      <c r="AC121" s="37">
        <f t="shared" si="158"/>
        <v>59.088000000000001</v>
      </c>
      <c r="AD121" s="37">
        <f t="shared" si="158"/>
        <v>73.111999999999995</v>
      </c>
      <c r="AE121" s="37">
        <f t="shared" si="158"/>
        <v>111.824</v>
      </c>
      <c r="AF121" s="37">
        <f t="shared" si="158"/>
        <v>124.976</v>
      </c>
      <c r="AG121" s="37">
        <f t="shared" si="158"/>
        <v>100.896</v>
      </c>
      <c r="AH121" s="37">
        <f t="shared" ref="AH121" si="159">+AH119*AH120</f>
        <v>43.527999999999999</v>
      </c>
      <c r="AI121" s="173">
        <f>+AI120*AI119</f>
        <v>2481.4160000000002</v>
      </c>
      <c r="AJ121" s="193">
        <f>+AJ119*AJ120</f>
        <v>2481.4160000000002</v>
      </c>
    </row>
    <row r="122" spans="1:36" x14ac:dyDescent="0.3">
      <c r="A122" s="203"/>
      <c r="B122" s="33"/>
      <c r="C122" s="34" t="s">
        <v>19</v>
      </c>
      <c r="D122" s="158">
        <v>13756</v>
      </c>
      <c r="E122" s="158">
        <v>5788</v>
      </c>
      <c r="F122" s="158">
        <v>5988</v>
      </c>
      <c r="G122" s="158">
        <v>6253</v>
      </c>
      <c r="H122" s="158">
        <v>6637</v>
      </c>
      <c r="I122" s="158">
        <v>9735</v>
      </c>
      <c r="J122" s="158">
        <v>13621</v>
      </c>
      <c r="K122" s="158">
        <v>13971</v>
      </c>
      <c r="L122" s="158">
        <v>8420</v>
      </c>
      <c r="M122" s="158">
        <v>10869</v>
      </c>
      <c r="N122" s="158">
        <v>10099</v>
      </c>
      <c r="O122" s="158">
        <v>12710</v>
      </c>
      <c r="P122" s="158">
        <v>13271</v>
      </c>
      <c r="Q122" s="158">
        <v>14943</v>
      </c>
      <c r="R122" s="158">
        <v>14741</v>
      </c>
      <c r="S122" s="158">
        <v>6480</v>
      </c>
      <c r="T122" s="158">
        <v>6860</v>
      </c>
      <c r="U122" s="158">
        <v>7592</v>
      </c>
      <c r="V122" s="158">
        <v>7891</v>
      </c>
      <c r="W122" s="158">
        <v>10763</v>
      </c>
      <c r="X122" s="158">
        <v>13910</v>
      </c>
      <c r="Y122" s="158">
        <v>14605</v>
      </c>
      <c r="Z122" s="158">
        <v>5785</v>
      </c>
      <c r="AA122" s="158">
        <v>5258</v>
      </c>
      <c r="AB122" s="158">
        <v>6053</v>
      </c>
      <c r="AC122" s="158">
        <v>7386</v>
      </c>
      <c r="AD122" s="158">
        <v>9139</v>
      </c>
      <c r="AE122" s="158">
        <v>13978</v>
      </c>
      <c r="AF122" s="158">
        <v>15622</v>
      </c>
      <c r="AG122" s="158">
        <v>12612</v>
      </c>
      <c r="AH122" s="158">
        <v>5441</v>
      </c>
      <c r="AI122" s="174">
        <f>SUM(D122:AH122)</f>
        <v>310177</v>
      </c>
      <c r="AJ122" s="191">
        <f>+AI122/$A$1*$AK$1</f>
        <v>9615487</v>
      </c>
    </row>
    <row r="123" spans="1:36" ht="15" thickBot="1" x14ac:dyDescent="0.35">
      <c r="A123" s="237"/>
      <c r="B123" s="105"/>
      <c r="C123" s="65" t="s">
        <v>20</v>
      </c>
      <c r="D123" s="202">
        <f>618.63/D122</f>
        <v>4.497164873509741E-2</v>
      </c>
      <c r="E123" s="202">
        <f>1109.42/E122</f>
        <v>0.19167588113337941</v>
      </c>
      <c r="F123" s="202">
        <f>1770.11/F122</f>
        <v>0.29560955243820974</v>
      </c>
      <c r="G123" s="202">
        <f>1167.65/G122</f>
        <v>0.18673436750359829</v>
      </c>
      <c r="H123" s="202">
        <f>950.65/H122</f>
        <v>0.14323489528401387</v>
      </c>
      <c r="I123" s="202">
        <f>1165.87/I122</f>
        <v>0.11976065742167435</v>
      </c>
      <c r="J123" s="202">
        <f>1341.52/J122</f>
        <v>9.8489097716760884E-2</v>
      </c>
      <c r="K123" s="202">
        <f>638.74/K122</f>
        <v>4.5718989335051176E-2</v>
      </c>
      <c r="L123" s="202">
        <f>548.75/L122</f>
        <v>6.5172209026128261E-2</v>
      </c>
      <c r="M123" s="202">
        <f>1443.43/M122</f>
        <v>0.13280246572821788</v>
      </c>
      <c r="N123" s="202">
        <f>1200.38/N122</f>
        <v>0.1188612733934053</v>
      </c>
      <c r="O123" s="202">
        <f>1347.94/O122</f>
        <v>0.10605350118017309</v>
      </c>
      <c r="P123" s="202">
        <f>1500.97/P122</f>
        <v>0.11310149951021023</v>
      </c>
      <c r="Q123" s="202">
        <f>1291.81/Q122</f>
        <v>8.6449173526065709E-2</v>
      </c>
      <c r="R123" s="202">
        <f>657.91/R122</f>
        <v>4.4631300454514619E-2</v>
      </c>
      <c r="S123" s="202">
        <f>583.29/S122</f>
        <v>9.0013888888888879E-2</v>
      </c>
      <c r="T123" s="202">
        <f>1400.44/T122</f>
        <v>0.2041457725947522</v>
      </c>
      <c r="U123" s="202">
        <f>1231.62/U122</f>
        <v>0.16222602739726025</v>
      </c>
      <c r="V123" s="202">
        <f>1367.39/V122</f>
        <v>0.17328475478393107</v>
      </c>
      <c r="W123" s="202">
        <f>1535.15/W122</f>
        <v>0.14263216575304283</v>
      </c>
      <c r="X123" s="202">
        <f>1164.99/X122</f>
        <v>8.3751976994967656E-2</v>
      </c>
      <c r="Y123" s="202">
        <f>571.4/Y122</f>
        <v>3.9123587812393015E-2</v>
      </c>
      <c r="Z123" s="202">
        <f>1095.36/Z122</f>
        <v>0.1893448573898012</v>
      </c>
      <c r="AA123" s="202">
        <f>1677.17/AA122</f>
        <v>0.31897489539748958</v>
      </c>
      <c r="AB123" s="202">
        <f>1560.39/AB122</f>
        <v>0.2577878737815959</v>
      </c>
      <c r="AC123" s="202">
        <f>1324.51/AC122</f>
        <v>0.17932710533441645</v>
      </c>
      <c r="AD123" s="202">
        <f>1523.33/AD122</f>
        <v>0.16668453878980194</v>
      </c>
      <c r="AE123" s="202">
        <f>1597.87/AE122</f>
        <v>0.11431320646730576</v>
      </c>
      <c r="AF123" s="202">
        <f>645.16/AF122</f>
        <v>4.1298169248495706E-2</v>
      </c>
      <c r="AG123" s="202">
        <f>1314.94/AG122</f>
        <v>0.10426102124960356</v>
      </c>
      <c r="AH123" s="202">
        <f>2803.14/AH122</f>
        <v>0.51518838448814552</v>
      </c>
      <c r="AI123" s="187">
        <f>AVERAGE(D123:AG123)</f>
        <v>0.13534787847567484</v>
      </c>
      <c r="AJ123" s="227"/>
    </row>
    <row r="124" spans="1:36" x14ac:dyDescent="0.3">
      <c r="A124" s="203">
        <v>141</v>
      </c>
      <c r="B124" s="233" t="s">
        <v>45</v>
      </c>
      <c r="C124" s="160" t="s">
        <v>15</v>
      </c>
      <c r="D124" s="228">
        <v>92</v>
      </c>
      <c r="E124" s="228">
        <v>66</v>
      </c>
      <c r="F124" s="228">
        <v>61</v>
      </c>
      <c r="G124" s="228">
        <v>64</v>
      </c>
      <c r="H124" s="228">
        <v>55</v>
      </c>
      <c r="I124" s="228">
        <v>56</v>
      </c>
      <c r="J124" s="228">
        <v>78</v>
      </c>
      <c r="K124" s="228">
        <v>85</v>
      </c>
      <c r="L124" s="228">
        <v>71</v>
      </c>
      <c r="M124" s="228">
        <v>78</v>
      </c>
      <c r="N124" s="228">
        <v>67</v>
      </c>
      <c r="O124" s="228">
        <v>73</v>
      </c>
      <c r="P124" s="228">
        <v>76</v>
      </c>
      <c r="Q124" s="228">
        <v>113</v>
      </c>
      <c r="R124" s="228">
        <v>114</v>
      </c>
      <c r="S124" s="228">
        <v>73</v>
      </c>
      <c r="T124" s="228">
        <v>85</v>
      </c>
      <c r="U124" s="228">
        <v>86</v>
      </c>
      <c r="V124" s="228">
        <v>80</v>
      </c>
      <c r="W124" s="228">
        <v>89</v>
      </c>
      <c r="X124" s="228">
        <v>107</v>
      </c>
      <c r="Y124" s="228">
        <v>110</v>
      </c>
      <c r="Z124" s="228">
        <v>60</v>
      </c>
      <c r="AA124" s="228">
        <v>66</v>
      </c>
      <c r="AB124" s="228">
        <v>62</v>
      </c>
      <c r="AC124" s="228">
        <v>71</v>
      </c>
      <c r="AD124" s="228">
        <v>84</v>
      </c>
      <c r="AE124" s="228">
        <v>113</v>
      </c>
      <c r="AF124" s="228">
        <v>133</v>
      </c>
      <c r="AG124" s="228">
        <v>116</v>
      </c>
      <c r="AH124" s="228">
        <v>58</v>
      </c>
      <c r="AI124" s="189">
        <f>SUM(D124:AH124)</f>
        <v>2542</v>
      </c>
      <c r="AJ124" s="217">
        <f>+$AI124/$A$1*$AK$1</f>
        <v>78802</v>
      </c>
    </row>
    <row r="125" spans="1:36" x14ac:dyDescent="0.3">
      <c r="A125" s="237"/>
      <c r="B125" s="167"/>
      <c r="C125" s="163" t="s">
        <v>16</v>
      </c>
      <c r="D125" s="164">
        <f>D124/$A$124</f>
        <v>0.65248226950354615</v>
      </c>
      <c r="E125" s="164">
        <f t="shared" ref="E125:AG125" si="160">E124/$A$124</f>
        <v>0.46808510638297873</v>
      </c>
      <c r="F125" s="164">
        <f t="shared" si="160"/>
        <v>0.43262411347517732</v>
      </c>
      <c r="G125" s="164">
        <f t="shared" si="160"/>
        <v>0.45390070921985815</v>
      </c>
      <c r="H125" s="164">
        <f t="shared" si="160"/>
        <v>0.39007092198581561</v>
      </c>
      <c r="I125" s="164">
        <f t="shared" si="160"/>
        <v>0.3971631205673759</v>
      </c>
      <c r="J125" s="164">
        <f t="shared" si="160"/>
        <v>0.55319148936170215</v>
      </c>
      <c r="K125" s="164">
        <f t="shared" si="160"/>
        <v>0.6028368794326241</v>
      </c>
      <c r="L125" s="164">
        <f t="shared" si="160"/>
        <v>0.50354609929078009</v>
      </c>
      <c r="M125" s="164">
        <f t="shared" si="160"/>
        <v>0.55319148936170215</v>
      </c>
      <c r="N125" s="164">
        <v>0.47517730496453903</v>
      </c>
      <c r="O125" s="164">
        <f t="shared" si="160"/>
        <v>0.51773049645390068</v>
      </c>
      <c r="P125" s="164">
        <f t="shared" si="160"/>
        <v>0.53900709219858156</v>
      </c>
      <c r="Q125" s="164">
        <f t="shared" si="160"/>
        <v>0.8014184397163121</v>
      </c>
      <c r="R125" s="164">
        <f t="shared" si="160"/>
        <v>0.80851063829787229</v>
      </c>
      <c r="S125" s="164">
        <f t="shared" si="160"/>
        <v>0.51773049645390068</v>
      </c>
      <c r="T125" s="164">
        <f t="shared" si="160"/>
        <v>0.6028368794326241</v>
      </c>
      <c r="U125" s="164">
        <f t="shared" si="160"/>
        <v>0.60992907801418439</v>
      </c>
      <c r="V125" s="164">
        <f t="shared" si="160"/>
        <v>0.56737588652482274</v>
      </c>
      <c r="W125" s="164">
        <f t="shared" si="160"/>
        <v>0.63120567375886527</v>
      </c>
      <c r="X125" s="164">
        <f t="shared" si="160"/>
        <v>0.75886524822695034</v>
      </c>
      <c r="Y125" s="164">
        <f t="shared" si="160"/>
        <v>0.78014184397163122</v>
      </c>
      <c r="Z125" s="164">
        <f t="shared" si="160"/>
        <v>0.42553191489361702</v>
      </c>
      <c r="AA125" s="164">
        <f t="shared" si="160"/>
        <v>0.46808510638297873</v>
      </c>
      <c r="AB125" s="164">
        <f t="shared" si="160"/>
        <v>0.43971631205673761</v>
      </c>
      <c r="AC125" s="164">
        <f t="shared" si="160"/>
        <v>0.50354609929078009</v>
      </c>
      <c r="AD125" s="164">
        <f t="shared" si="160"/>
        <v>0.5957446808510638</v>
      </c>
      <c r="AE125" s="164">
        <f t="shared" si="160"/>
        <v>0.8014184397163121</v>
      </c>
      <c r="AF125" s="164">
        <f t="shared" si="160"/>
        <v>0.94326241134751776</v>
      </c>
      <c r="AG125" s="164">
        <f t="shared" si="160"/>
        <v>0.82269503546099287</v>
      </c>
      <c r="AH125" s="164">
        <f t="shared" ref="AH125" si="161">AH124/$A$124</f>
        <v>0.41134751773049644</v>
      </c>
      <c r="AI125" s="177">
        <f>+AI124/(A124*A$1)</f>
        <v>18.028368794326241</v>
      </c>
      <c r="AJ125" s="197">
        <f>AJ124/($A124*31)</f>
        <v>18.028368794326241</v>
      </c>
    </row>
    <row r="126" spans="1:36" x14ac:dyDescent="0.3">
      <c r="A126" s="237"/>
      <c r="B126" s="167"/>
      <c r="C126" s="163" t="s">
        <v>17</v>
      </c>
      <c r="D126" s="165">
        <f>+IFERROR(D128/D124,0)</f>
        <v>105.41304347826087</v>
      </c>
      <c r="E126" s="165">
        <f t="shared" ref="E126:AG126" si="162">+IFERROR(E128/E124,0)</f>
        <v>94.590909090909093</v>
      </c>
      <c r="F126" s="165">
        <f t="shared" si="162"/>
        <v>113.5972131147541</v>
      </c>
      <c r="G126" s="165">
        <f t="shared" si="162"/>
        <v>94.28125</v>
      </c>
      <c r="H126" s="165">
        <f t="shared" si="162"/>
        <v>113.98181818181818</v>
      </c>
      <c r="I126" s="165">
        <f t="shared" si="162"/>
        <v>111.48214285714286</v>
      </c>
      <c r="J126" s="165">
        <f t="shared" si="162"/>
        <v>100.02564102564102</v>
      </c>
      <c r="K126" s="165">
        <f t="shared" si="162"/>
        <v>111.02352941176471</v>
      </c>
      <c r="L126" s="165">
        <f t="shared" si="162"/>
        <v>96.957746478873233</v>
      </c>
      <c r="M126" s="165">
        <f t="shared" si="162"/>
        <v>99.666666666666671</v>
      </c>
      <c r="N126" s="165">
        <v>93.537313432835816</v>
      </c>
      <c r="O126" s="165">
        <f t="shared" si="162"/>
        <v>100.8082191780822</v>
      </c>
      <c r="P126" s="165">
        <f t="shared" si="162"/>
        <v>97.44736842105263</v>
      </c>
      <c r="Q126" s="165">
        <f t="shared" si="162"/>
        <v>109.1858407079646</v>
      </c>
      <c r="R126" s="165">
        <f t="shared" si="162"/>
        <v>105.24561403508773</v>
      </c>
      <c r="S126" s="165">
        <f t="shared" si="162"/>
        <v>89.863013698630141</v>
      </c>
      <c r="T126" s="165">
        <f t="shared" si="162"/>
        <v>116.26176470588236</v>
      </c>
      <c r="U126" s="165">
        <f t="shared" si="162"/>
        <v>98.406976744186053</v>
      </c>
      <c r="V126" s="165">
        <f t="shared" si="162"/>
        <v>97.35</v>
      </c>
      <c r="W126" s="165">
        <f t="shared" si="162"/>
        <v>97.988764044943821</v>
      </c>
      <c r="X126" s="165">
        <f t="shared" si="162"/>
        <v>103.02803738317758</v>
      </c>
      <c r="Y126" s="165">
        <f t="shared" si="162"/>
        <v>107.03636363636363</v>
      </c>
      <c r="Z126" s="165">
        <f t="shared" si="162"/>
        <v>86.108166666666662</v>
      </c>
      <c r="AA126" s="165">
        <f t="shared" si="162"/>
        <v>98.378787878787875</v>
      </c>
      <c r="AB126" s="165">
        <f t="shared" si="162"/>
        <v>99.903225806451616</v>
      </c>
      <c r="AC126" s="165">
        <f t="shared" si="162"/>
        <v>97.676056338028175</v>
      </c>
      <c r="AD126" s="165">
        <f t="shared" si="162"/>
        <v>94.845238095238102</v>
      </c>
      <c r="AE126" s="165">
        <f t="shared" si="162"/>
        <v>113.68141592920354</v>
      </c>
      <c r="AF126" s="165">
        <f t="shared" si="162"/>
        <v>120.69924812030075</v>
      </c>
      <c r="AG126" s="165">
        <f t="shared" si="162"/>
        <v>98.879310344827587</v>
      </c>
      <c r="AH126" s="165">
        <f t="shared" ref="AH126" si="163">+IFERROR(AH128/AH124,0)</f>
        <v>103.96551724137932</v>
      </c>
      <c r="AI126" s="178">
        <f>+AI128/AI124</f>
        <v>103.08739968528717</v>
      </c>
      <c r="AJ126" s="198">
        <f>+AJ128/AJ124</f>
        <v>103.08739968528717</v>
      </c>
    </row>
    <row r="127" spans="1:36" x14ac:dyDescent="0.3">
      <c r="A127" s="237"/>
      <c r="B127" s="167"/>
      <c r="C127" s="163" t="s">
        <v>18</v>
      </c>
      <c r="D127" s="165">
        <f>+D125*D126</f>
        <v>68.780141843971634</v>
      </c>
      <c r="E127" s="165">
        <f t="shared" ref="E127:AG127" si="164">+E125*E126</f>
        <v>44.276595744680854</v>
      </c>
      <c r="F127" s="165">
        <f t="shared" si="164"/>
        <v>49.144893617021275</v>
      </c>
      <c r="G127" s="165">
        <f t="shared" si="164"/>
        <v>42.794326241134748</v>
      </c>
      <c r="H127" s="165">
        <f t="shared" si="164"/>
        <v>44.460992907801419</v>
      </c>
      <c r="I127" s="165">
        <f t="shared" si="164"/>
        <v>44.276595744680854</v>
      </c>
      <c r="J127" s="165">
        <f t="shared" si="164"/>
        <v>55.333333333333336</v>
      </c>
      <c r="K127" s="165">
        <f t="shared" si="164"/>
        <v>66.929078014184398</v>
      </c>
      <c r="L127" s="165">
        <f t="shared" si="164"/>
        <v>48.822695035460981</v>
      </c>
      <c r="M127" s="165">
        <f t="shared" si="164"/>
        <v>55.134751773049651</v>
      </c>
      <c r="N127" s="165">
        <v>44.446808510638299</v>
      </c>
      <c r="O127" s="165">
        <f t="shared" si="164"/>
        <v>52.191489361702125</v>
      </c>
      <c r="P127" s="165">
        <f t="shared" si="164"/>
        <v>52.524822695035461</v>
      </c>
      <c r="Q127" s="165">
        <f t="shared" si="164"/>
        <v>87.503546099290787</v>
      </c>
      <c r="R127" s="165">
        <f t="shared" si="164"/>
        <v>85.092198581560282</v>
      </c>
      <c r="S127" s="165">
        <f t="shared" si="164"/>
        <v>46.524822695035461</v>
      </c>
      <c r="T127" s="165">
        <f t="shared" si="164"/>
        <v>70.086879432624116</v>
      </c>
      <c r="U127" s="165">
        <f t="shared" si="164"/>
        <v>60.021276595744688</v>
      </c>
      <c r="V127" s="165">
        <f t="shared" si="164"/>
        <v>55.234042553191493</v>
      </c>
      <c r="W127" s="165">
        <f t="shared" si="164"/>
        <v>61.851063829787236</v>
      </c>
      <c r="X127" s="165">
        <f t="shared" si="164"/>
        <v>78.184397163120565</v>
      </c>
      <c r="Y127" s="165">
        <f t="shared" si="164"/>
        <v>83.503546099290773</v>
      </c>
      <c r="Z127" s="165">
        <f t="shared" si="164"/>
        <v>36.641773049645387</v>
      </c>
      <c r="AA127" s="165">
        <f t="shared" si="164"/>
        <v>46.049645390070921</v>
      </c>
      <c r="AB127" s="165">
        <f t="shared" si="164"/>
        <v>43.929078014184398</v>
      </c>
      <c r="AC127" s="165">
        <f t="shared" si="164"/>
        <v>49.184397163120565</v>
      </c>
      <c r="AD127" s="165">
        <f t="shared" si="164"/>
        <v>56.50354609929078</v>
      </c>
      <c r="AE127" s="165">
        <f t="shared" si="164"/>
        <v>91.106382978723403</v>
      </c>
      <c r="AF127" s="165">
        <f t="shared" si="164"/>
        <v>113.85106382978724</v>
      </c>
      <c r="AG127" s="165">
        <f t="shared" si="164"/>
        <v>81.347517730496449</v>
      </c>
      <c r="AH127" s="165">
        <f t="shared" ref="AH127" si="165">+AH125*AH126</f>
        <v>42.765957446808514</v>
      </c>
      <c r="AI127" s="178">
        <f>+AI126*AI125</f>
        <v>1858.4976595744679</v>
      </c>
      <c r="AJ127" s="198">
        <f>+AJ125*AJ126</f>
        <v>1858.4976595744679</v>
      </c>
    </row>
    <row r="128" spans="1:36" x14ac:dyDescent="0.3">
      <c r="A128" s="203"/>
      <c r="B128" s="162"/>
      <c r="C128" s="163" t="s">
        <v>19</v>
      </c>
      <c r="D128" s="166">
        <v>9698</v>
      </c>
      <c r="E128" s="166">
        <v>6243</v>
      </c>
      <c r="F128" s="166">
        <v>6929.43</v>
      </c>
      <c r="G128" s="166">
        <v>6034</v>
      </c>
      <c r="H128" s="166">
        <v>6269</v>
      </c>
      <c r="I128" s="166">
        <v>6243</v>
      </c>
      <c r="J128" s="166">
        <v>7802</v>
      </c>
      <c r="K128" s="166">
        <v>9437</v>
      </c>
      <c r="L128" s="166">
        <v>6884</v>
      </c>
      <c r="M128" s="166">
        <v>7774</v>
      </c>
      <c r="N128" s="166">
        <v>6267</v>
      </c>
      <c r="O128" s="166">
        <v>7359</v>
      </c>
      <c r="P128" s="166">
        <v>7406</v>
      </c>
      <c r="Q128" s="166">
        <v>12338</v>
      </c>
      <c r="R128" s="166">
        <v>11998</v>
      </c>
      <c r="S128" s="166">
        <v>6560</v>
      </c>
      <c r="T128" s="166">
        <v>9882.25</v>
      </c>
      <c r="U128" s="166">
        <v>8463</v>
      </c>
      <c r="V128" s="166">
        <v>7788</v>
      </c>
      <c r="W128" s="166">
        <v>8721</v>
      </c>
      <c r="X128" s="166">
        <v>11024</v>
      </c>
      <c r="Y128" s="166">
        <v>11774</v>
      </c>
      <c r="Z128" s="166">
        <v>5166.49</v>
      </c>
      <c r="AA128" s="166">
        <v>6493</v>
      </c>
      <c r="AB128" s="166">
        <v>6194</v>
      </c>
      <c r="AC128" s="166">
        <v>6935</v>
      </c>
      <c r="AD128" s="166">
        <v>7967</v>
      </c>
      <c r="AE128" s="166">
        <v>12846</v>
      </c>
      <c r="AF128" s="166">
        <v>16053</v>
      </c>
      <c r="AG128" s="166">
        <v>11470</v>
      </c>
      <c r="AH128" s="166">
        <v>6030</v>
      </c>
      <c r="AI128" s="179">
        <f>SUM(D128:AH128)</f>
        <v>262048.16999999998</v>
      </c>
      <c r="AJ128" s="196">
        <f>+AI128/$A$1*$AK$1</f>
        <v>8123493.2699999996</v>
      </c>
    </row>
    <row r="129" spans="1:36" ht="15" thickBot="1" x14ac:dyDescent="0.35">
      <c r="A129" s="237"/>
      <c r="B129" s="219"/>
      <c r="C129" s="206" t="s">
        <v>20</v>
      </c>
      <c r="D129" s="220">
        <f>1396.02/D128</f>
        <v>0.14394926789028664</v>
      </c>
      <c r="E129" s="220">
        <f>1441.54/E128</f>
        <v>0.23090501361524907</v>
      </c>
      <c r="F129" s="220">
        <f>1628.47/F128</f>
        <v>0.23500778563316174</v>
      </c>
      <c r="G129" s="220">
        <f>1751.27/G128</f>
        <v>0.29023367583692411</v>
      </c>
      <c r="H129" s="220">
        <f>1267.72/H128</f>
        <v>0.20222044983250917</v>
      </c>
      <c r="I129" s="220">
        <f>1648.13/I128</f>
        <v>0.26399647605317955</v>
      </c>
      <c r="J129" s="220">
        <f>1524.37/J128</f>
        <v>0.19538195334529607</v>
      </c>
      <c r="K129" s="220">
        <f>1076.45/K128</f>
        <v>0.11406697043551976</v>
      </c>
      <c r="L129" s="220">
        <f>1404.1/L128</f>
        <v>0.20396571760604298</v>
      </c>
      <c r="M129" s="220">
        <f>1465.76/M128</f>
        <v>0.18854643684075123</v>
      </c>
      <c r="N129" s="220">
        <f>1783.55/N128</f>
        <v>0.28459390457954364</v>
      </c>
      <c r="O129" s="220">
        <f>1267.71/O128</f>
        <v>0.17226661231145537</v>
      </c>
      <c r="P129" s="220">
        <f>1401.5/P128</f>
        <v>0.18923845530650824</v>
      </c>
      <c r="Q129" s="220">
        <f>1524.47/Q128</f>
        <v>0.12355892365051062</v>
      </c>
      <c r="R129" s="220">
        <f>1369.48/R128</f>
        <v>0.11414235705950992</v>
      </c>
      <c r="S129" s="220">
        <f>1602.7/S128</f>
        <v>0.24431402439024391</v>
      </c>
      <c r="T129" s="220">
        <f>2019.73/T128</f>
        <v>0.20437956943003871</v>
      </c>
      <c r="U129" s="220">
        <f>1720.54/U128</f>
        <v>0.20330142975304266</v>
      </c>
      <c r="V129" s="220">
        <f>1530.31/V128</f>
        <v>0.19649589111453516</v>
      </c>
      <c r="W129" s="220">
        <f>1533.92/W128</f>
        <v>0.17588808622864352</v>
      </c>
      <c r="X129" s="220">
        <f>2242.17/X128</f>
        <v>0.20338987663280117</v>
      </c>
      <c r="Y129" s="220">
        <f>1104.09/Y128</f>
        <v>9.3773568880584329E-2</v>
      </c>
      <c r="Z129" s="220">
        <f>1652.16/Z128</f>
        <v>0.31978383776993669</v>
      </c>
      <c r="AA129" s="220">
        <f>1587.96/AA128</f>
        <v>0.24456491606345296</v>
      </c>
      <c r="AB129" s="220">
        <f>1491.39/AB128</f>
        <v>0.24077978689053925</v>
      </c>
      <c r="AC129" s="220">
        <f>1833.18/AC128</f>
        <v>0.26433741888968998</v>
      </c>
      <c r="AD129" s="220">
        <f>843.28/AD128</f>
        <v>0.10584661729634744</v>
      </c>
      <c r="AE129" s="220">
        <f>1665.84/AE128</f>
        <v>0.12967772069126576</v>
      </c>
      <c r="AF129" s="220">
        <f>961.17/AF128</f>
        <v>5.9874789758923561E-2</v>
      </c>
      <c r="AG129" s="220">
        <f>1193.65/AG128</f>
        <v>0.10406713164777681</v>
      </c>
      <c r="AH129" s="220">
        <f>2652.47/AH128</f>
        <v>0.43987893864013261</v>
      </c>
      <c r="AI129" s="190">
        <f>AVERAGE(D129:AG129)</f>
        <v>0.19141828884780895</v>
      </c>
      <c r="AJ129" s="230"/>
    </row>
    <row r="130" spans="1:36" x14ac:dyDescent="0.3">
      <c r="A130" s="203">
        <v>98</v>
      </c>
      <c r="B130" s="33" t="s">
        <v>46</v>
      </c>
      <c r="C130" s="34" t="s">
        <v>15</v>
      </c>
      <c r="D130" s="199">
        <v>86</v>
      </c>
      <c r="E130" s="199">
        <v>61</v>
      </c>
      <c r="F130" s="199">
        <v>60</v>
      </c>
      <c r="G130" s="199">
        <v>58</v>
      </c>
      <c r="H130" s="199">
        <v>54</v>
      </c>
      <c r="I130" s="199">
        <v>56</v>
      </c>
      <c r="J130" s="199">
        <v>74</v>
      </c>
      <c r="K130" s="199">
        <v>95</v>
      </c>
      <c r="L130" s="199">
        <v>54</v>
      </c>
      <c r="M130" s="199">
        <v>76</v>
      </c>
      <c r="N130" s="199">
        <v>78</v>
      </c>
      <c r="O130" s="199">
        <v>91</v>
      </c>
      <c r="P130" s="199">
        <v>75</v>
      </c>
      <c r="Q130" s="199">
        <v>87</v>
      </c>
      <c r="R130" s="199">
        <v>94</v>
      </c>
      <c r="S130" s="199">
        <v>62</v>
      </c>
      <c r="T130" s="199">
        <v>70</v>
      </c>
      <c r="U130" s="199">
        <v>75</v>
      </c>
      <c r="V130" s="199">
        <v>64</v>
      </c>
      <c r="W130" s="199">
        <v>62</v>
      </c>
      <c r="X130" s="199">
        <v>89</v>
      </c>
      <c r="Y130" s="199">
        <v>98</v>
      </c>
      <c r="Z130" s="199">
        <v>56</v>
      </c>
      <c r="AA130" s="199">
        <v>56</v>
      </c>
      <c r="AB130" s="199">
        <v>54</v>
      </c>
      <c r="AC130" s="199">
        <v>70</v>
      </c>
      <c r="AD130" s="199">
        <v>86</v>
      </c>
      <c r="AE130" s="199">
        <v>93</v>
      </c>
      <c r="AF130" s="199">
        <v>94</v>
      </c>
      <c r="AG130" s="199">
        <v>79</v>
      </c>
      <c r="AH130" s="199">
        <v>37</v>
      </c>
      <c r="AI130" s="200">
        <f>SUM(D130:AH130)</f>
        <v>2244</v>
      </c>
      <c r="AJ130" s="191">
        <f>+$AI130/$A$1*$AK$1</f>
        <v>69564</v>
      </c>
    </row>
    <row r="131" spans="1:36" x14ac:dyDescent="0.3">
      <c r="A131" s="203"/>
      <c r="B131" s="33"/>
      <c r="C131" s="34" t="s">
        <v>16</v>
      </c>
      <c r="D131" s="35">
        <f t="shared" ref="D131:AG131" si="166">+D130/$A130</f>
        <v>0.87755102040816324</v>
      </c>
      <c r="E131" s="35">
        <f t="shared" si="166"/>
        <v>0.62244897959183676</v>
      </c>
      <c r="F131" s="35">
        <f t="shared" si="166"/>
        <v>0.61224489795918369</v>
      </c>
      <c r="G131" s="35">
        <f t="shared" si="166"/>
        <v>0.59183673469387754</v>
      </c>
      <c r="H131" s="35">
        <f t="shared" si="166"/>
        <v>0.55102040816326525</v>
      </c>
      <c r="I131" s="35">
        <f t="shared" si="166"/>
        <v>0.5714285714285714</v>
      </c>
      <c r="J131" s="35">
        <f t="shared" si="166"/>
        <v>0.75510204081632648</v>
      </c>
      <c r="K131" s="35">
        <f t="shared" si="166"/>
        <v>0.96938775510204078</v>
      </c>
      <c r="L131" s="35">
        <f t="shared" si="166"/>
        <v>0.55102040816326525</v>
      </c>
      <c r="M131" s="35">
        <f t="shared" si="166"/>
        <v>0.77551020408163263</v>
      </c>
      <c r="N131" s="35">
        <v>0.79591836734693877</v>
      </c>
      <c r="O131" s="35">
        <f t="shared" si="166"/>
        <v>0.9285714285714286</v>
      </c>
      <c r="P131" s="35">
        <f t="shared" si="166"/>
        <v>0.76530612244897955</v>
      </c>
      <c r="Q131" s="35">
        <f t="shared" si="166"/>
        <v>0.88775510204081631</v>
      </c>
      <c r="R131" s="35">
        <f t="shared" si="166"/>
        <v>0.95918367346938771</v>
      </c>
      <c r="S131" s="35">
        <f t="shared" si="166"/>
        <v>0.63265306122448983</v>
      </c>
      <c r="T131" s="35">
        <f t="shared" si="166"/>
        <v>0.7142857142857143</v>
      </c>
      <c r="U131" s="35">
        <f t="shared" si="166"/>
        <v>0.76530612244897955</v>
      </c>
      <c r="V131" s="35">
        <f t="shared" si="166"/>
        <v>0.65306122448979587</v>
      </c>
      <c r="W131" s="35">
        <f t="shared" si="166"/>
        <v>0.63265306122448983</v>
      </c>
      <c r="X131" s="35">
        <f t="shared" si="166"/>
        <v>0.90816326530612246</v>
      </c>
      <c r="Y131" s="35">
        <f t="shared" si="166"/>
        <v>1</v>
      </c>
      <c r="Z131" s="35">
        <f t="shared" si="166"/>
        <v>0.5714285714285714</v>
      </c>
      <c r="AA131" s="35">
        <f t="shared" si="166"/>
        <v>0.5714285714285714</v>
      </c>
      <c r="AB131" s="35">
        <f t="shared" si="166"/>
        <v>0.55102040816326525</v>
      </c>
      <c r="AC131" s="35">
        <f t="shared" si="166"/>
        <v>0.7142857142857143</v>
      </c>
      <c r="AD131" s="35">
        <f t="shared" si="166"/>
        <v>0.87755102040816324</v>
      </c>
      <c r="AE131" s="35">
        <f t="shared" si="166"/>
        <v>0.94897959183673475</v>
      </c>
      <c r="AF131" s="35">
        <f t="shared" si="166"/>
        <v>0.95918367346938771</v>
      </c>
      <c r="AG131" s="35">
        <f t="shared" si="166"/>
        <v>0.80612244897959184</v>
      </c>
      <c r="AH131" s="35">
        <f t="shared" ref="AH131" si="167">+AH130/$A130</f>
        <v>0.37755102040816324</v>
      </c>
      <c r="AI131" s="172">
        <f>+AI130/(A130*A$1)</f>
        <v>22.897959183673468</v>
      </c>
      <c r="AJ131" s="192">
        <f>AJ130/($A130*31)</f>
        <v>22.897959183673468</v>
      </c>
    </row>
    <row r="132" spans="1:36" x14ac:dyDescent="0.3">
      <c r="A132" s="203"/>
      <c r="B132" s="33"/>
      <c r="C132" s="34" t="s">
        <v>17</v>
      </c>
      <c r="D132" s="37">
        <f t="shared" ref="D132:AG132" si="168">+IFERROR(D134/D130,0)</f>
        <v>140.97674418604652</v>
      </c>
      <c r="E132" s="37">
        <f t="shared" si="168"/>
        <v>94.360655737704917</v>
      </c>
      <c r="F132" s="37">
        <f t="shared" si="168"/>
        <v>92.983333333333334</v>
      </c>
      <c r="G132" s="37">
        <f t="shared" si="168"/>
        <v>97.779137931034469</v>
      </c>
      <c r="H132" s="37">
        <f t="shared" si="168"/>
        <v>101</v>
      </c>
      <c r="I132" s="37">
        <f t="shared" si="168"/>
        <v>99.660714285714292</v>
      </c>
      <c r="J132" s="37">
        <f t="shared" si="168"/>
        <v>121.56756756756756</v>
      </c>
      <c r="K132" s="37">
        <f t="shared" si="168"/>
        <v>138.58947368421053</v>
      </c>
      <c r="L132" s="37">
        <f t="shared" si="168"/>
        <v>91.370370370370367</v>
      </c>
      <c r="M132" s="37">
        <f t="shared" si="168"/>
        <v>97.736842105263165</v>
      </c>
      <c r="N132" s="37">
        <v>99.666666666666671</v>
      </c>
      <c r="O132" s="37">
        <f t="shared" si="168"/>
        <v>99.318681318681314</v>
      </c>
      <c r="P132" s="37">
        <f t="shared" si="168"/>
        <v>157.52000000000001</v>
      </c>
      <c r="Q132" s="37">
        <f t="shared" si="168"/>
        <v>119.42528735632185</v>
      </c>
      <c r="R132" s="37">
        <f t="shared" si="168"/>
        <v>139.75531914893617</v>
      </c>
      <c r="S132" s="37">
        <f t="shared" si="168"/>
        <v>103.41935483870968</v>
      </c>
      <c r="T132" s="37">
        <f t="shared" si="168"/>
        <v>103.32857142857142</v>
      </c>
      <c r="U132" s="37">
        <f t="shared" si="168"/>
        <v>100.86666666666666</v>
      </c>
      <c r="V132" s="37">
        <f t="shared" si="168"/>
        <v>104.28749999999999</v>
      </c>
      <c r="W132" s="37">
        <f t="shared" si="168"/>
        <v>108.62903225806451</v>
      </c>
      <c r="X132" s="37">
        <f t="shared" si="168"/>
        <v>126.07865168539325</v>
      </c>
      <c r="Y132" s="37">
        <f t="shared" si="168"/>
        <v>128.67346938775509</v>
      </c>
      <c r="Z132" s="37">
        <f t="shared" si="168"/>
        <v>96.964285714285708</v>
      </c>
      <c r="AA132" s="37">
        <f t="shared" si="168"/>
        <v>94.767857142857139</v>
      </c>
      <c r="AB132" s="37">
        <f t="shared" si="168"/>
        <v>93.81481481481481</v>
      </c>
      <c r="AC132" s="37">
        <f t="shared" si="168"/>
        <v>92.628571428571433</v>
      </c>
      <c r="AD132" s="37">
        <f t="shared" si="168"/>
        <v>91.686046511627907</v>
      </c>
      <c r="AE132" s="37">
        <f t="shared" si="168"/>
        <v>154.97849462365591</v>
      </c>
      <c r="AF132" s="37">
        <f t="shared" si="168"/>
        <v>147.95744680851064</v>
      </c>
      <c r="AG132" s="37">
        <f t="shared" si="168"/>
        <v>118.62025316455696</v>
      </c>
      <c r="AH132" s="37">
        <f t="shared" ref="AH132" si="169">+IFERROR(AH134/AH130,0)</f>
        <v>102.89189189189189</v>
      </c>
      <c r="AI132" s="173">
        <f>+AI134/AI130</f>
        <v>114.51140374331551</v>
      </c>
      <c r="AJ132" s="193">
        <f>+AJ134/AJ130</f>
        <v>114.51140374331551</v>
      </c>
    </row>
    <row r="133" spans="1:36" x14ac:dyDescent="0.3">
      <c r="A133" s="203"/>
      <c r="B133" s="33"/>
      <c r="C133" s="34" t="s">
        <v>18</v>
      </c>
      <c r="D133" s="37">
        <f t="shared" ref="D133:AG133" si="170">+D131*D132</f>
        <v>123.71428571428572</v>
      </c>
      <c r="E133" s="37">
        <f t="shared" si="170"/>
        <v>58.734693877551024</v>
      </c>
      <c r="F133" s="37">
        <f t="shared" si="170"/>
        <v>56.928571428571431</v>
      </c>
      <c r="G133" s="37">
        <f t="shared" si="170"/>
        <v>57.869285714285702</v>
      </c>
      <c r="H133" s="37">
        <f t="shared" si="170"/>
        <v>55.65306122448979</v>
      </c>
      <c r="I133" s="37">
        <f t="shared" si="170"/>
        <v>56.948979591836732</v>
      </c>
      <c r="J133" s="37">
        <f t="shared" si="170"/>
        <v>91.795918367346928</v>
      </c>
      <c r="K133" s="37">
        <f t="shared" si="170"/>
        <v>134.34693877551021</v>
      </c>
      <c r="L133" s="37">
        <f t="shared" si="170"/>
        <v>50.346938775510196</v>
      </c>
      <c r="M133" s="37">
        <f t="shared" si="170"/>
        <v>75.795918367346943</v>
      </c>
      <c r="N133" s="37">
        <v>79.326530612244895</v>
      </c>
      <c r="O133" s="37">
        <f t="shared" si="170"/>
        <v>92.224489795918373</v>
      </c>
      <c r="P133" s="37">
        <f t="shared" si="170"/>
        <v>120.55102040816327</v>
      </c>
      <c r="Q133" s="37">
        <f t="shared" si="170"/>
        <v>106.02040816326532</v>
      </c>
      <c r="R133" s="37">
        <f t="shared" si="170"/>
        <v>134.05102040816325</v>
      </c>
      <c r="S133" s="37">
        <f t="shared" si="170"/>
        <v>65.428571428571431</v>
      </c>
      <c r="T133" s="37">
        <f t="shared" si="170"/>
        <v>73.806122448979593</v>
      </c>
      <c r="U133" s="37">
        <f t="shared" si="170"/>
        <v>77.193877551020393</v>
      </c>
      <c r="V133" s="37">
        <f t="shared" si="170"/>
        <v>68.106122448979576</v>
      </c>
      <c r="W133" s="37">
        <f t="shared" si="170"/>
        <v>68.724489795918373</v>
      </c>
      <c r="X133" s="37">
        <f t="shared" si="170"/>
        <v>114.5</v>
      </c>
      <c r="Y133" s="37">
        <f t="shared" si="170"/>
        <v>128.67346938775509</v>
      </c>
      <c r="Z133" s="37">
        <f t="shared" si="170"/>
        <v>55.408163265306115</v>
      </c>
      <c r="AA133" s="37">
        <f t="shared" si="170"/>
        <v>54.15306122448979</v>
      </c>
      <c r="AB133" s="37">
        <f t="shared" si="170"/>
        <v>51.6938775510204</v>
      </c>
      <c r="AC133" s="37">
        <f t="shared" si="170"/>
        <v>66.163265306122454</v>
      </c>
      <c r="AD133" s="37">
        <f t="shared" si="170"/>
        <v>80.459183673469383</v>
      </c>
      <c r="AE133" s="37">
        <f t="shared" si="170"/>
        <v>147.07142857142858</v>
      </c>
      <c r="AF133" s="37">
        <f t="shared" si="170"/>
        <v>141.91836734693877</v>
      </c>
      <c r="AG133" s="37">
        <f t="shared" si="170"/>
        <v>95.622448979591837</v>
      </c>
      <c r="AH133" s="37">
        <f t="shared" ref="AH133" si="171">+AH131*AH132</f>
        <v>38.846938775510203</v>
      </c>
      <c r="AI133" s="173">
        <f>+AI132*AI131</f>
        <v>2622.0774489795917</v>
      </c>
      <c r="AJ133" s="193">
        <f>+AJ131*AJ132</f>
        <v>2622.0774489795917</v>
      </c>
    </row>
    <row r="134" spans="1:36" x14ac:dyDescent="0.3">
      <c r="A134" s="203"/>
      <c r="B134" s="33"/>
      <c r="C134" s="34" t="s">
        <v>19</v>
      </c>
      <c r="D134" s="158">
        <v>12124</v>
      </c>
      <c r="E134" s="158">
        <v>5756</v>
      </c>
      <c r="F134" s="158">
        <v>5579</v>
      </c>
      <c r="G134" s="158">
        <v>5671.19</v>
      </c>
      <c r="H134" s="158">
        <v>5454</v>
      </c>
      <c r="I134" s="158">
        <v>5581</v>
      </c>
      <c r="J134" s="158">
        <v>8996</v>
      </c>
      <c r="K134" s="158">
        <v>13166</v>
      </c>
      <c r="L134" s="158">
        <v>4934</v>
      </c>
      <c r="M134" s="158">
        <v>7428</v>
      </c>
      <c r="N134" s="158">
        <v>7774</v>
      </c>
      <c r="O134" s="158">
        <v>9038</v>
      </c>
      <c r="P134" s="158">
        <v>11814</v>
      </c>
      <c r="Q134" s="158">
        <v>10390</v>
      </c>
      <c r="R134" s="158">
        <v>13137</v>
      </c>
      <c r="S134" s="158">
        <v>6412</v>
      </c>
      <c r="T134" s="158">
        <v>7233</v>
      </c>
      <c r="U134" s="158">
        <v>7565</v>
      </c>
      <c r="V134" s="158">
        <v>6674.4</v>
      </c>
      <c r="W134" s="158">
        <v>6735</v>
      </c>
      <c r="X134" s="158">
        <v>11221</v>
      </c>
      <c r="Y134" s="158">
        <v>12610</v>
      </c>
      <c r="Z134" s="158">
        <v>5430</v>
      </c>
      <c r="AA134" s="158">
        <v>5307</v>
      </c>
      <c r="AB134" s="158">
        <v>5066</v>
      </c>
      <c r="AC134" s="158">
        <v>6484</v>
      </c>
      <c r="AD134" s="158">
        <v>7885</v>
      </c>
      <c r="AE134" s="158">
        <v>14413</v>
      </c>
      <c r="AF134" s="158">
        <v>13908</v>
      </c>
      <c r="AG134" s="158">
        <v>9371</v>
      </c>
      <c r="AH134" s="158">
        <v>3807</v>
      </c>
      <c r="AI134" s="174">
        <f>SUM(D134:AH134)</f>
        <v>256963.59</v>
      </c>
      <c r="AJ134" s="191">
        <f>+AI134/$A$1*$AK$1</f>
        <v>7965871.29</v>
      </c>
    </row>
    <row r="135" spans="1:36" ht="15" thickBot="1" x14ac:dyDescent="0.35">
      <c r="A135" s="237"/>
      <c r="B135" s="105"/>
      <c r="C135" s="65" t="s">
        <v>20</v>
      </c>
      <c r="D135" s="49">
        <f>830.83/D134</f>
        <v>6.8527713625866057E-2</v>
      </c>
      <c r="E135" s="49">
        <f>719.83/E134</f>
        <v>0.1250573314801946</v>
      </c>
      <c r="F135" s="49">
        <f>1388.88/F134</f>
        <v>0.24894784011471591</v>
      </c>
      <c r="G135" s="49">
        <f>1385.61/G134</f>
        <v>0.24432438341864759</v>
      </c>
      <c r="H135" s="49">
        <f>1026.78/H134</f>
        <v>0.18826182618261825</v>
      </c>
      <c r="I135" s="49">
        <f>1004.81/I134</f>
        <v>0.1800412112524637</v>
      </c>
      <c r="J135" s="49">
        <f>1240.99/J134</f>
        <v>0.13794908848377058</v>
      </c>
      <c r="K135" s="49">
        <f>894.03/K134</f>
        <v>6.7904450858271306E-2</v>
      </c>
      <c r="L135" s="49">
        <f>851.64/L134</f>
        <v>0.17260640453992704</v>
      </c>
      <c r="M135" s="49">
        <f>1272.88/M134</f>
        <v>0.17136241249326872</v>
      </c>
      <c r="N135" s="49">
        <f>1312.54/N134</f>
        <v>0.16883714947260098</v>
      </c>
      <c r="O135" s="49"/>
      <c r="P135" s="49">
        <f>1489.74/P134</f>
        <v>0.12609954291518538</v>
      </c>
      <c r="Q135" s="49">
        <f>1404.56/Q134</f>
        <v>0.13518383060635225</v>
      </c>
      <c r="R135" s="49">
        <f>931.95/R134</f>
        <v>7.0940854076273124E-2</v>
      </c>
      <c r="S135" s="49">
        <f>916.01/S134</f>
        <v>0.14285870243293824</v>
      </c>
      <c r="T135" s="49">
        <f>1570.54/T134</f>
        <v>0.2171353518595327</v>
      </c>
      <c r="U135" s="49">
        <f>1445.61/U134</f>
        <v>0.19109187045604759</v>
      </c>
      <c r="V135" s="49">
        <f>1468.8/V134</f>
        <v>0.22006472491909385</v>
      </c>
      <c r="W135" s="49">
        <f>1315.6/W134</f>
        <v>0.19533778767631774</v>
      </c>
      <c r="X135" s="49">
        <f>1355.75/X134</f>
        <v>0.12082256483379378</v>
      </c>
      <c r="Y135" s="49">
        <f>1240.12/Y134</f>
        <v>9.8344171292624891E-2</v>
      </c>
      <c r="Z135" s="49">
        <f>1053.5/Z134</f>
        <v>0.19401473296500921</v>
      </c>
      <c r="AA135" s="49">
        <f>1204.65/AA134</f>
        <v>0.22699265121537593</v>
      </c>
      <c r="AB135" s="49">
        <f>1351.79/AB134</f>
        <v>0.26683576786419266</v>
      </c>
      <c r="AC135" s="49">
        <f>1410.76/AC134</f>
        <v>0.21757557063541025</v>
      </c>
      <c r="AD135" s="49">
        <f>1274.58/AD134</f>
        <v>0.16164616360177553</v>
      </c>
      <c r="AE135" s="49">
        <f>1495.88/AE134</f>
        <v>0.10378685908554777</v>
      </c>
      <c r="AF135" s="49">
        <f>947.78/AF134</f>
        <v>6.8146390566580381E-2</v>
      </c>
      <c r="AG135" s="49">
        <f>1187/AG134</f>
        <v>0.1266673780813147</v>
      </c>
      <c r="AH135" s="49">
        <f>2850.78/AH134</f>
        <v>0.74882584712371947</v>
      </c>
      <c r="AI135" s="175">
        <f>AVERAGE(D135:AG135)</f>
        <v>0.16059878368985214</v>
      </c>
      <c r="AJ135" s="193"/>
    </row>
    <row r="136" spans="1:36" ht="15.6" thickTop="1" thickBot="1" x14ac:dyDescent="0.35">
      <c r="A136" s="203"/>
      <c r="B136" s="203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3"/>
      <c r="AJ136" s="244">
        <f>+AI134+AI122+AI116+AI110+AI104+AI98+AI92+AI83+AI77+AI72+AI64+AI50+AI44+AI38+AI32+AI23+AI14+AI128</f>
        <v>4343618.2299999995</v>
      </c>
    </row>
    <row r="137" spans="1:36" ht="28.8" x14ac:dyDescent="0.3">
      <c r="A137" s="203"/>
      <c r="B137" s="203"/>
      <c r="C137" s="240"/>
      <c r="D137" s="240">
        <v>1</v>
      </c>
      <c r="E137" s="240">
        <v>2</v>
      </c>
      <c r="F137" s="240">
        <v>3</v>
      </c>
      <c r="G137" s="240">
        <v>4</v>
      </c>
      <c r="H137" s="240">
        <v>5</v>
      </c>
      <c r="I137" s="240">
        <v>6</v>
      </c>
      <c r="J137" s="240">
        <v>7</v>
      </c>
      <c r="K137" s="240">
        <v>8</v>
      </c>
      <c r="L137" s="240">
        <v>9</v>
      </c>
      <c r="M137" s="240">
        <v>10</v>
      </c>
      <c r="N137" s="240">
        <v>11</v>
      </c>
      <c r="O137" s="240">
        <v>12</v>
      </c>
      <c r="P137" s="240">
        <v>13</v>
      </c>
      <c r="Q137" s="240">
        <v>14</v>
      </c>
      <c r="R137" s="240">
        <v>15</v>
      </c>
      <c r="S137" s="240">
        <v>16</v>
      </c>
      <c r="T137" s="240">
        <v>17</v>
      </c>
      <c r="U137" s="240">
        <v>18</v>
      </c>
      <c r="V137" s="240">
        <v>19</v>
      </c>
      <c r="W137" s="240">
        <v>20</v>
      </c>
      <c r="X137" s="240">
        <v>21</v>
      </c>
      <c r="Y137" s="240">
        <v>22</v>
      </c>
      <c r="Z137" s="240">
        <v>23</v>
      </c>
      <c r="AA137" s="240">
        <v>24</v>
      </c>
      <c r="AB137" s="240">
        <v>25</v>
      </c>
      <c r="AC137" s="240">
        <v>26</v>
      </c>
      <c r="AD137" s="240">
        <v>27</v>
      </c>
      <c r="AE137" s="240">
        <v>28</v>
      </c>
      <c r="AF137" s="240">
        <v>29</v>
      </c>
      <c r="AG137" s="240">
        <v>30</v>
      </c>
      <c r="AH137" s="240">
        <v>31</v>
      </c>
      <c r="AI137" s="245" t="s">
        <v>47</v>
      </c>
      <c r="AJ137" s="245" t="s">
        <v>48</v>
      </c>
    </row>
    <row r="138" spans="1:36" x14ac:dyDescent="0.3">
      <c r="A138" s="203"/>
      <c r="B138" s="203" t="s">
        <v>49</v>
      </c>
      <c r="C138" s="240"/>
      <c r="D138" s="158">
        <f t="shared" ref="D138:AH138" si="172">+D134+D128+D122+D116+D110+D104+D98+D92+D83+D77+D72+D66+D50+D44+D38+D32+D23+D14</f>
        <v>156229</v>
      </c>
      <c r="E138" s="158">
        <f t="shared" si="172"/>
        <v>99411</v>
      </c>
      <c r="F138" s="158">
        <f t="shared" si="172"/>
        <v>117414.09</v>
      </c>
      <c r="G138" s="158">
        <f t="shared" si="172"/>
        <v>114155.91</v>
      </c>
      <c r="H138" s="158">
        <f t="shared" si="172"/>
        <v>134176</v>
      </c>
      <c r="I138" s="158">
        <f t="shared" si="172"/>
        <v>162837</v>
      </c>
      <c r="J138" s="158">
        <f>+J134+J128+J122+J116+J110+J104+J98+J92+J83+J77+J72+J66+J50+J44+J38+J32+J23+J14</f>
        <v>197340</v>
      </c>
      <c r="K138" s="158">
        <f t="shared" si="172"/>
        <v>198021</v>
      </c>
      <c r="L138" s="158">
        <f t="shared" si="172"/>
        <v>103991</v>
      </c>
      <c r="M138" s="158">
        <f t="shared" si="172"/>
        <v>127447</v>
      </c>
      <c r="N138" s="158">
        <f t="shared" si="172"/>
        <v>142785.91999999998</v>
      </c>
      <c r="O138" s="158">
        <f t="shared" si="172"/>
        <v>139859</v>
      </c>
      <c r="P138" s="158">
        <f t="shared" si="172"/>
        <v>143979</v>
      </c>
      <c r="Q138" s="158">
        <f t="shared" si="172"/>
        <v>173155</v>
      </c>
      <c r="R138" s="158">
        <f t="shared" si="172"/>
        <v>184072</v>
      </c>
      <c r="S138" s="158">
        <f t="shared" si="172"/>
        <v>107218</v>
      </c>
      <c r="T138" s="158">
        <f t="shared" si="172"/>
        <v>116805.95000000001</v>
      </c>
      <c r="U138" s="158">
        <f t="shared" si="172"/>
        <v>127852.84</v>
      </c>
      <c r="V138" s="158">
        <f t="shared" si="172"/>
        <v>125428.05</v>
      </c>
      <c r="W138" s="158">
        <f t="shared" si="172"/>
        <v>144537</v>
      </c>
      <c r="X138" s="158">
        <f t="shared" si="172"/>
        <v>170496.86</v>
      </c>
      <c r="Y138" s="158">
        <f t="shared" si="172"/>
        <v>186746</v>
      </c>
      <c r="Z138" s="158">
        <f t="shared" si="172"/>
        <v>102595.87</v>
      </c>
      <c r="AA138" s="158">
        <f t="shared" si="172"/>
        <v>121368.97</v>
      </c>
      <c r="AB138" s="158">
        <f t="shared" si="172"/>
        <v>123628.31</v>
      </c>
      <c r="AC138" s="158">
        <f t="shared" si="172"/>
        <v>126397</v>
      </c>
      <c r="AD138" s="158">
        <f t="shared" si="172"/>
        <v>128256</v>
      </c>
      <c r="AE138" s="158">
        <f t="shared" si="172"/>
        <v>182497</v>
      </c>
      <c r="AF138" s="158">
        <f t="shared" si="172"/>
        <v>210322</v>
      </c>
      <c r="AG138" s="158">
        <f t="shared" si="172"/>
        <v>145618</v>
      </c>
      <c r="AH138" s="158">
        <f t="shared" si="172"/>
        <v>101664</v>
      </c>
      <c r="AI138" s="246">
        <f>AVERAGE(D138:AH138)</f>
        <v>142461.44419354838</v>
      </c>
      <c r="AJ138" s="247">
        <f t="shared" ref="AJ138:AJ149" si="173">+AI138/AI139-1</f>
        <v>-1.2566129754487676E-4</v>
      </c>
    </row>
    <row r="139" spans="1:36" x14ac:dyDescent="0.3">
      <c r="A139" s="203"/>
      <c r="B139" s="203" t="s">
        <v>58</v>
      </c>
      <c r="C139" s="240"/>
      <c r="D139" s="158">
        <v>125816</v>
      </c>
      <c r="E139" s="158">
        <v>151249</v>
      </c>
      <c r="F139" s="158">
        <v>141145</v>
      </c>
      <c r="G139" s="158">
        <v>93520.08</v>
      </c>
      <c r="H139" s="158">
        <v>116368</v>
      </c>
      <c r="I139" s="158">
        <v>136980.30000000002</v>
      </c>
      <c r="J139" s="158">
        <v>143928</v>
      </c>
      <c r="K139" s="158">
        <v>128919</v>
      </c>
      <c r="L139" s="158">
        <v>170958</v>
      </c>
      <c r="M139" s="158">
        <v>197432</v>
      </c>
      <c r="N139" s="158">
        <v>112043.97</v>
      </c>
      <c r="O139" s="158">
        <v>127835.8</v>
      </c>
      <c r="P139" s="158">
        <v>134140.18</v>
      </c>
      <c r="Q139" s="158">
        <v>130958.37999999999</v>
      </c>
      <c r="R139" s="158">
        <v>147825</v>
      </c>
      <c r="S139" s="158">
        <v>189635</v>
      </c>
      <c r="T139" s="158">
        <v>188260</v>
      </c>
      <c r="U139" s="158">
        <v>98840</v>
      </c>
      <c r="V139" s="158">
        <v>121850.33</v>
      </c>
      <c r="W139" s="158">
        <v>134832.26</v>
      </c>
      <c r="X139" s="158">
        <v>133406</v>
      </c>
      <c r="Y139" s="158">
        <v>147170</v>
      </c>
      <c r="Z139" s="158">
        <v>185144</v>
      </c>
      <c r="AA139" s="158">
        <v>182561</v>
      </c>
      <c r="AB139" s="158">
        <v>103377</v>
      </c>
      <c r="AC139" s="158">
        <v>141346.15</v>
      </c>
      <c r="AD139" s="158">
        <v>129926</v>
      </c>
      <c r="AE139" s="158">
        <v>133654</v>
      </c>
      <c r="AF139" s="158">
        <v>140970</v>
      </c>
      <c r="AG139" s="158">
        <v>184290</v>
      </c>
      <c r="AH139" s="158"/>
      <c r="AI139" s="246">
        <f>AVERAGE(D139:AH139)</f>
        <v>142479.3483333333</v>
      </c>
      <c r="AJ139" s="247">
        <f t="shared" si="173"/>
        <v>5.5268287586315301E-2</v>
      </c>
    </row>
    <row r="140" spans="1:36" x14ac:dyDescent="0.3">
      <c r="A140" s="203"/>
      <c r="B140" s="203" t="s">
        <v>59</v>
      </c>
      <c r="C140" s="240"/>
      <c r="D140" s="158">
        <v>114623.50999999998</v>
      </c>
      <c r="E140" s="158">
        <v>117829.61</v>
      </c>
      <c r="F140" s="158">
        <v>122917.56999999999</v>
      </c>
      <c r="G140" s="158">
        <v>130495.9</v>
      </c>
      <c r="H140" s="158">
        <v>137863.53999999998</v>
      </c>
      <c r="I140" s="158">
        <v>147506.49000000002</v>
      </c>
      <c r="J140" s="158">
        <v>112811.34</v>
      </c>
      <c r="K140" s="158">
        <v>116217.00000000001</v>
      </c>
      <c r="L140" s="158">
        <v>126765.45</v>
      </c>
      <c r="M140" s="158">
        <v>128354.98999999999</v>
      </c>
      <c r="N140" s="158">
        <v>132118</v>
      </c>
      <c r="O140" s="158">
        <v>158761.15</v>
      </c>
      <c r="P140" s="158">
        <v>166812.37000000002</v>
      </c>
      <c r="Q140" s="158">
        <v>119556.14</v>
      </c>
      <c r="R140" s="158">
        <v>129791.56999999998</v>
      </c>
      <c r="S140" s="158">
        <v>134517.78</v>
      </c>
      <c r="T140" s="158">
        <v>142856.24</v>
      </c>
      <c r="U140" s="158">
        <v>143916.46999999997</v>
      </c>
      <c r="V140" s="158">
        <v>174275.35</v>
      </c>
      <c r="W140" s="158">
        <v>178301.25</v>
      </c>
      <c r="X140" s="158">
        <v>113992.63</v>
      </c>
      <c r="Y140" s="158">
        <v>127051.5</v>
      </c>
      <c r="Z140" s="158">
        <v>138426.22</v>
      </c>
      <c r="AA140" s="158">
        <v>145337.99</v>
      </c>
      <c r="AB140" s="158">
        <v>141152</v>
      </c>
      <c r="AC140" s="158">
        <v>163152</v>
      </c>
      <c r="AD140" s="158">
        <v>184053</v>
      </c>
      <c r="AE140" s="158">
        <v>105809.09</v>
      </c>
      <c r="AF140" s="158">
        <v>116549.62000000001</v>
      </c>
      <c r="AG140" s="158">
        <v>126650</v>
      </c>
      <c r="AH140" s="158">
        <v>135017.18</v>
      </c>
      <c r="AI140" s="246">
        <v>135017.18</v>
      </c>
      <c r="AJ140" s="247">
        <f t="shared" si="173"/>
        <v>0.34345155973884345</v>
      </c>
    </row>
    <row r="141" spans="1:36" x14ac:dyDescent="0.3">
      <c r="A141" s="203"/>
      <c r="B141" s="203" t="s">
        <v>60</v>
      </c>
      <c r="C141" s="240"/>
      <c r="D141" s="158">
        <v>73863.600000000006</v>
      </c>
      <c r="E141" s="158">
        <v>79060.419999999984</v>
      </c>
      <c r="F141" s="158">
        <v>81003.360000000001</v>
      </c>
      <c r="G141" s="158">
        <v>76954.900000000009</v>
      </c>
      <c r="H141" s="158">
        <v>91299.05799999999</v>
      </c>
      <c r="I141" s="158">
        <v>88235.790000000008</v>
      </c>
      <c r="J141" s="158">
        <v>58618.97</v>
      </c>
      <c r="K141" s="158">
        <v>71658.139999999985</v>
      </c>
      <c r="L141" s="158">
        <v>78494.25</v>
      </c>
      <c r="M141" s="158">
        <v>86823.1</v>
      </c>
      <c r="N141" s="158">
        <v>84585.727999999988</v>
      </c>
      <c r="O141" s="158">
        <v>79436.500000000015</v>
      </c>
      <c r="P141" s="158">
        <v>107050.59999999999</v>
      </c>
      <c r="Q141" s="158">
        <v>110143.86999999998</v>
      </c>
      <c r="R141" s="158">
        <v>122240.58</v>
      </c>
      <c r="S141" s="158">
        <v>121024.60999999999</v>
      </c>
      <c r="T141" s="158">
        <v>116009.29</v>
      </c>
      <c r="U141" s="158">
        <v>109786.48000000001</v>
      </c>
      <c r="V141" s="158">
        <v>112968.72</v>
      </c>
      <c r="W141" s="158">
        <v>112812.02</v>
      </c>
      <c r="X141" s="158">
        <v>88597.29</v>
      </c>
      <c r="Y141" s="158">
        <v>111025.8</v>
      </c>
      <c r="Z141" s="158">
        <v>132492.99</v>
      </c>
      <c r="AA141" s="158">
        <v>121294.78</v>
      </c>
      <c r="AB141" s="158">
        <v>144013.08000000002</v>
      </c>
      <c r="AC141" s="158">
        <v>131690.88999999998</v>
      </c>
      <c r="AD141" s="158">
        <v>122800.08999999998</v>
      </c>
      <c r="AE141" s="158">
        <v>100021.31000000001</v>
      </c>
      <c r="AF141" s="158"/>
      <c r="AG141" s="158"/>
      <c r="AH141" s="158"/>
      <c r="AI141" s="246">
        <f>AVERAGE(D141:AG141)</f>
        <v>100500.22199999998</v>
      </c>
      <c r="AJ141" s="247">
        <f t="shared" si="173"/>
        <v>0.27548293357685361</v>
      </c>
    </row>
    <row r="142" spans="1:36" x14ac:dyDescent="0.3">
      <c r="B142" s="203" t="s">
        <v>61</v>
      </c>
      <c r="C142" s="240"/>
      <c r="D142" s="158">
        <v>82854.86</v>
      </c>
      <c r="E142" s="158">
        <v>80638.539999999994</v>
      </c>
      <c r="F142" s="158">
        <v>60554.259999999995</v>
      </c>
      <c r="G142" s="158">
        <v>64807.009999999995</v>
      </c>
      <c r="H142" s="158">
        <v>76514.759999999995</v>
      </c>
      <c r="I142" s="158">
        <v>83320.000000000015</v>
      </c>
      <c r="J142" s="158">
        <v>71398.990000000005</v>
      </c>
      <c r="K142" s="158">
        <v>79576.290000000008</v>
      </c>
      <c r="L142" s="158">
        <v>79602.19</v>
      </c>
      <c r="M142" s="158">
        <v>62180.97</v>
      </c>
      <c r="N142" s="158">
        <v>72936.51999999999</v>
      </c>
      <c r="O142" s="158">
        <v>77463.539999999994</v>
      </c>
      <c r="P142" s="158">
        <v>82155.279999999984</v>
      </c>
      <c r="Q142" s="158">
        <v>87161.51999999999</v>
      </c>
      <c r="R142" s="158">
        <v>100886.34999999999</v>
      </c>
      <c r="S142" s="158">
        <v>107066.53999999998</v>
      </c>
      <c r="T142" s="158">
        <v>74252.77</v>
      </c>
      <c r="U142" s="158">
        <v>74107.56</v>
      </c>
      <c r="V142" s="158">
        <v>83657.62</v>
      </c>
      <c r="W142" s="158">
        <v>75423.94</v>
      </c>
      <c r="X142" s="158">
        <v>70802.810000000012</v>
      </c>
      <c r="Y142" s="158">
        <v>77494.189999999988</v>
      </c>
      <c r="Z142" s="158">
        <v>84626.680000000008</v>
      </c>
      <c r="AA142" s="158">
        <v>65300.72</v>
      </c>
      <c r="AB142" s="158">
        <v>77262.150000000009</v>
      </c>
      <c r="AC142" s="158">
        <v>78740.91</v>
      </c>
      <c r="AD142" s="158">
        <v>81055.740000000005</v>
      </c>
      <c r="AE142" s="158">
        <v>80039.549999999988</v>
      </c>
      <c r="AF142" s="158">
        <v>84612.52</v>
      </c>
      <c r="AG142" s="158">
        <v>87320.98</v>
      </c>
      <c r="AH142" s="158">
        <v>65515.239999999991</v>
      </c>
      <c r="AI142" s="246">
        <f>AVERAGE(D142:AG142)</f>
        <v>78793.858666666652</v>
      </c>
      <c r="AJ142" s="247">
        <f t="shared" si="173"/>
        <v>0.16481058729716236</v>
      </c>
    </row>
    <row r="143" spans="1:36" x14ac:dyDescent="0.3">
      <c r="B143" s="203" t="s">
        <v>51</v>
      </c>
      <c r="C143" s="240"/>
      <c r="D143" s="158">
        <v>67602.77</v>
      </c>
      <c r="E143" s="158">
        <v>66458.939999999988</v>
      </c>
      <c r="F143" s="158">
        <v>83823.130000000019</v>
      </c>
      <c r="G143" s="158">
        <v>97534.23000000001</v>
      </c>
      <c r="H143" s="158">
        <v>93973.470000000016</v>
      </c>
      <c r="I143" s="158">
        <v>60633.320000000007</v>
      </c>
      <c r="J143" s="158">
        <v>71392.59</v>
      </c>
      <c r="K143" s="158">
        <v>74964.61</v>
      </c>
      <c r="L143" s="158">
        <v>77754.549999999988</v>
      </c>
      <c r="M143" s="158">
        <v>72153.59</v>
      </c>
      <c r="N143" s="158">
        <v>97852.160000000003</v>
      </c>
      <c r="O143" s="158">
        <v>96924.62</v>
      </c>
      <c r="P143" s="158">
        <v>57639.839999999997</v>
      </c>
      <c r="Q143" s="158">
        <v>66461.450000000012</v>
      </c>
      <c r="R143" s="158">
        <v>63997.119999999995</v>
      </c>
      <c r="S143" s="158">
        <v>66648.78</v>
      </c>
      <c r="T143" s="158">
        <v>67478.63</v>
      </c>
      <c r="U143" s="158">
        <v>74443.569999999992</v>
      </c>
      <c r="V143" s="158">
        <v>78196.569999999992</v>
      </c>
      <c r="W143" s="158">
        <v>55414.229999999996</v>
      </c>
      <c r="X143" s="158">
        <v>55682.65</v>
      </c>
      <c r="Y143" s="158">
        <v>49132.170000000006</v>
      </c>
      <c r="Z143" s="158">
        <v>45279.17</v>
      </c>
      <c r="AA143" s="158">
        <v>43029.96</v>
      </c>
      <c r="AB143" s="158">
        <v>52906.930000000008</v>
      </c>
      <c r="AC143" s="158">
        <v>59619.35</v>
      </c>
      <c r="AD143" s="158">
        <v>49546.95</v>
      </c>
      <c r="AE143" s="158">
        <v>55525.320000000007</v>
      </c>
      <c r="AF143" s="158">
        <v>56721.73</v>
      </c>
      <c r="AG143" s="158">
        <v>60370.54</v>
      </c>
      <c r="AH143" s="158">
        <v>77838.62000000001</v>
      </c>
      <c r="AI143" s="246">
        <v>67645.211612903237</v>
      </c>
      <c r="AJ143" s="247">
        <f t="shared" si="173"/>
        <v>-0.12070281664214377</v>
      </c>
    </row>
    <row r="144" spans="1:36" x14ac:dyDescent="0.3">
      <c r="B144" s="203" t="s">
        <v>52</v>
      </c>
      <c r="C144" s="240"/>
      <c r="D144" s="158">
        <v>70065</v>
      </c>
      <c r="E144" s="158">
        <v>66144.81</v>
      </c>
      <c r="F144" s="158">
        <v>75735.520000000019</v>
      </c>
      <c r="G144" s="158">
        <v>86485.090000000011</v>
      </c>
      <c r="H144" s="158">
        <v>83527.02</v>
      </c>
      <c r="I144" s="158">
        <v>96226.680000000008</v>
      </c>
      <c r="J144" s="158">
        <v>112884.18999999997</v>
      </c>
      <c r="K144" s="158">
        <v>66614.469999999987</v>
      </c>
      <c r="L144" s="158">
        <v>79859.41</v>
      </c>
      <c r="M144" s="158">
        <v>85053.95</v>
      </c>
      <c r="N144" s="158">
        <v>89977.71</v>
      </c>
      <c r="O144" s="158">
        <v>86370.739999999991</v>
      </c>
      <c r="P144" s="158">
        <v>109352.45999999999</v>
      </c>
      <c r="Q144" s="158">
        <v>106708.48999999999</v>
      </c>
      <c r="R144" s="158">
        <v>61864.179999999993</v>
      </c>
      <c r="S144" s="158">
        <v>72865.290000000008</v>
      </c>
      <c r="T144" s="158">
        <v>74909.69</v>
      </c>
      <c r="U144" s="158">
        <v>77430.179999999993</v>
      </c>
      <c r="V144" s="158">
        <v>78790.110000000015</v>
      </c>
      <c r="W144" s="158">
        <v>96551.599999999991</v>
      </c>
      <c r="X144" s="158">
        <v>90910.9</v>
      </c>
      <c r="Y144" s="158">
        <v>53908.470000000008</v>
      </c>
      <c r="Z144" s="158">
        <v>55233.39</v>
      </c>
      <c r="AA144" s="158">
        <v>56637.599999999999</v>
      </c>
      <c r="AB144" s="158">
        <v>54914.99</v>
      </c>
      <c r="AC144" s="158">
        <v>61969.72</v>
      </c>
      <c r="AD144" s="158">
        <v>74137.399999999994</v>
      </c>
      <c r="AE144" s="158">
        <v>72565.25</v>
      </c>
      <c r="AF144" s="158">
        <v>48777.47</v>
      </c>
      <c r="AG144" s="158">
        <v>61456.729999999996</v>
      </c>
      <c r="AH144" s="158"/>
      <c r="AI144" s="246">
        <v>76931</v>
      </c>
      <c r="AJ144" s="247">
        <f t="shared" si="173"/>
        <v>-0.15140564912971455</v>
      </c>
    </row>
    <row r="145" spans="2:36" x14ac:dyDescent="0.3">
      <c r="B145" s="203" t="s">
        <v>62</v>
      </c>
      <c r="C145" s="240"/>
      <c r="D145" s="158">
        <v>90900.959999999977</v>
      </c>
      <c r="E145" s="158">
        <v>110402.01</v>
      </c>
      <c r="F145" s="158">
        <v>105326.36999999998</v>
      </c>
      <c r="G145" s="158">
        <v>66581.670000000013</v>
      </c>
      <c r="H145" s="158">
        <v>74482.51999999999</v>
      </c>
      <c r="I145" s="158">
        <v>77418.439999999988</v>
      </c>
      <c r="J145" s="158">
        <v>79867.890000000014</v>
      </c>
      <c r="K145" s="158">
        <v>93534.050000000017</v>
      </c>
      <c r="L145" s="158">
        <v>130042.68000000001</v>
      </c>
      <c r="M145" s="158">
        <v>140749.15999999997</v>
      </c>
      <c r="N145" s="158">
        <v>73838.139999999985</v>
      </c>
      <c r="O145" s="158">
        <v>74852.73</v>
      </c>
      <c r="P145" s="158">
        <v>77689.62999999999</v>
      </c>
      <c r="Q145" s="158">
        <v>82940.800000000003</v>
      </c>
      <c r="R145" s="158">
        <v>91217.34</v>
      </c>
      <c r="S145" s="158">
        <v>120190.80000000002</v>
      </c>
      <c r="T145" s="158">
        <v>120174.86</v>
      </c>
      <c r="U145" s="158">
        <v>68984.239999999991</v>
      </c>
      <c r="V145" s="158">
        <v>78411.680000000008</v>
      </c>
      <c r="W145" s="158">
        <v>83139.08</v>
      </c>
      <c r="X145" s="158">
        <v>81866.12000000001</v>
      </c>
      <c r="Y145" s="158">
        <v>85785.35</v>
      </c>
      <c r="Z145" s="158">
        <v>117856.4</v>
      </c>
      <c r="AA145" s="158">
        <v>127161.93999999999</v>
      </c>
      <c r="AB145" s="158">
        <v>68498.410000000018</v>
      </c>
      <c r="AC145" s="158">
        <v>76958.27</v>
      </c>
      <c r="AD145" s="158">
        <v>80332.850000000006</v>
      </c>
      <c r="AE145" s="158">
        <v>80516.19</v>
      </c>
      <c r="AF145" s="158">
        <v>70980.319999999992</v>
      </c>
      <c r="AG145" s="158">
        <v>83606.89</v>
      </c>
      <c r="AH145" s="158">
        <v>96058.549999999988</v>
      </c>
      <c r="AI145" s="246">
        <v>90656.978709677423</v>
      </c>
      <c r="AJ145" s="247">
        <f t="shared" si="173"/>
        <v>4.1842966451314689E-2</v>
      </c>
    </row>
    <row r="146" spans="2:36" x14ac:dyDescent="0.3">
      <c r="B146" s="203" t="s">
        <v>54</v>
      </c>
      <c r="C146" s="240"/>
      <c r="D146" s="158">
        <v>84754.189999999988</v>
      </c>
      <c r="E146" s="158">
        <v>77509.83</v>
      </c>
      <c r="F146" s="158">
        <v>86097.87000000001</v>
      </c>
      <c r="G146" s="158">
        <v>114711.41999999998</v>
      </c>
      <c r="H146" s="158">
        <v>144350.47</v>
      </c>
      <c r="I146" s="158">
        <v>103110.33000000002</v>
      </c>
      <c r="J146" s="158">
        <v>63647.21</v>
      </c>
      <c r="K146" s="158">
        <v>76126.25</v>
      </c>
      <c r="L146" s="158">
        <v>82670.789999999979</v>
      </c>
      <c r="M146" s="158">
        <v>80723.710000000006</v>
      </c>
      <c r="N146" s="158">
        <v>91710.989999999991</v>
      </c>
      <c r="O146" s="158">
        <v>97999.8</v>
      </c>
      <c r="P146" s="158">
        <v>73673.760000000009</v>
      </c>
      <c r="Q146" s="158">
        <v>81090.11</v>
      </c>
      <c r="R146" s="158">
        <v>95424.680000000008</v>
      </c>
      <c r="S146" s="158">
        <v>88123.109999999986</v>
      </c>
      <c r="T146" s="158">
        <v>86107.98000000001</v>
      </c>
      <c r="U146" s="158">
        <v>94430.400000000009</v>
      </c>
      <c r="V146" s="158">
        <v>108674.07999999999</v>
      </c>
      <c r="W146" s="158">
        <v>63410.119999999995</v>
      </c>
      <c r="X146" s="158">
        <v>71808.240000000005</v>
      </c>
      <c r="Y146" s="158">
        <v>72142.2</v>
      </c>
      <c r="Z146" s="158">
        <v>82430.219999999987</v>
      </c>
      <c r="AA146" s="158">
        <v>78378.259999999995</v>
      </c>
      <c r="AB146" s="158">
        <v>98445.599999999977</v>
      </c>
      <c r="AC146" s="158">
        <v>111067.27900000001</v>
      </c>
      <c r="AD146" s="158">
        <v>65574.12000000001</v>
      </c>
      <c r="AE146" s="158">
        <v>68571.259999999995</v>
      </c>
      <c r="AF146" s="158">
        <v>77694.38</v>
      </c>
      <c r="AG146" s="158">
        <v>90020.51</v>
      </c>
      <c r="AH146" s="158"/>
      <c r="AI146" s="246">
        <v>87015.972299999994</v>
      </c>
      <c r="AJ146" s="247">
        <f t="shared" si="173"/>
        <v>-5.286343324641285E-3</v>
      </c>
    </row>
    <row r="147" spans="2:36" x14ac:dyDescent="0.3">
      <c r="B147" s="203" t="s">
        <v>55</v>
      </c>
      <c r="C147" s="240"/>
      <c r="D147" s="158">
        <v>100183.41</v>
      </c>
      <c r="E147" s="158">
        <v>64601.049999999996</v>
      </c>
      <c r="F147" s="158">
        <v>68269.820000000007</v>
      </c>
      <c r="G147" s="158">
        <v>72258.659999999989</v>
      </c>
      <c r="H147" s="158">
        <v>72333.430000000008</v>
      </c>
      <c r="I147" s="158">
        <v>87807.180000000008</v>
      </c>
      <c r="J147" s="158">
        <v>108556.6</v>
      </c>
      <c r="K147" s="158">
        <v>115466.53999999998</v>
      </c>
      <c r="L147" s="158">
        <v>66024.539999999994</v>
      </c>
      <c r="M147" s="158">
        <v>67539.360000000001</v>
      </c>
      <c r="N147" s="158">
        <v>74683.11</v>
      </c>
      <c r="O147" s="158">
        <v>70834.399999999994</v>
      </c>
      <c r="P147" s="158">
        <v>77578</v>
      </c>
      <c r="Q147" s="158">
        <v>95943.329999999987</v>
      </c>
      <c r="R147" s="158">
        <v>104559.17000000001</v>
      </c>
      <c r="S147" s="158">
        <v>77145.600000000006</v>
      </c>
      <c r="T147" s="158">
        <v>83957.91</v>
      </c>
      <c r="U147" s="158">
        <v>88179.42</v>
      </c>
      <c r="V147" s="158">
        <v>90305.080000000016</v>
      </c>
      <c r="W147" s="158">
        <v>90852.430000000022</v>
      </c>
      <c r="X147" s="158">
        <v>94160.400000000009</v>
      </c>
      <c r="Y147" s="158">
        <v>100448.5</v>
      </c>
      <c r="Z147" s="158">
        <v>58556.94</v>
      </c>
      <c r="AA147" s="158">
        <v>74305.420000000013</v>
      </c>
      <c r="AB147" s="158">
        <v>110828.91999999998</v>
      </c>
      <c r="AC147" s="158">
        <v>131833.35</v>
      </c>
      <c r="AD147" s="158">
        <v>108369.62000000001</v>
      </c>
      <c r="AE147" s="158">
        <v>100972.90000000002</v>
      </c>
      <c r="AF147" s="158">
        <v>102375.05999999997</v>
      </c>
      <c r="AG147" s="158">
        <v>73325.179999999993</v>
      </c>
      <c r="AH147" s="158">
        <v>79575.48000000001</v>
      </c>
      <c r="AI147" s="246">
        <v>87478.413225806449</v>
      </c>
      <c r="AJ147" s="247">
        <f t="shared" si="173"/>
        <v>0.15589313615477463</v>
      </c>
    </row>
    <row r="148" spans="2:36" x14ac:dyDescent="0.3">
      <c r="B148" s="203" t="s">
        <v>56</v>
      </c>
      <c r="C148" s="240"/>
      <c r="D148" s="158">
        <v>73444.495945945935</v>
      </c>
      <c r="E148" s="158">
        <v>70000.913513513515</v>
      </c>
      <c r="F148" s="158">
        <v>82405.333783783775</v>
      </c>
      <c r="G148" s="158">
        <v>81409.199189189181</v>
      </c>
      <c r="H148" s="158">
        <v>56865.548378378378</v>
      </c>
      <c r="I148" s="158">
        <v>62159.099054054052</v>
      </c>
      <c r="J148" s="158">
        <v>68168.310270270274</v>
      </c>
      <c r="K148" s="158">
        <v>72491.048378378386</v>
      </c>
      <c r="L148" s="158">
        <v>79462.536621621635</v>
      </c>
      <c r="M148" s="158">
        <v>82286.569999999992</v>
      </c>
      <c r="N148" s="158">
        <v>87756.881891891884</v>
      </c>
      <c r="O148" s="158">
        <v>60813.235405405416</v>
      </c>
      <c r="P148" s="158">
        <v>67185.838918918933</v>
      </c>
      <c r="Q148" s="158">
        <v>71968.58</v>
      </c>
      <c r="R148" s="158">
        <v>77449.497972972982</v>
      </c>
      <c r="S148" s="158">
        <v>77877.45608108108</v>
      </c>
      <c r="T148" s="158">
        <v>92299.417837837827</v>
      </c>
      <c r="U148" s="158">
        <v>95235.570540540561</v>
      </c>
      <c r="V148" s="158">
        <v>66435.505135135143</v>
      </c>
      <c r="W148" s="158">
        <v>71817.671216216215</v>
      </c>
      <c r="X148" s="158">
        <v>77909.038648648653</v>
      </c>
      <c r="Y148" s="158">
        <v>76039.610000000015</v>
      </c>
      <c r="Z148" s="158">
        <v>83017.246891891889</v>
      </c>
      <c r="AA148" s="158">
        <v>97788.939054054033</v>
      </c>
      <c r="AB148" s="158">
        <v>100716.69608108109</v>
      </c>
      <c r="AC148" s="158">
        <v>60620.706621621626</v>
      </c>
      <c r="AD148" s="158">
        <v>65791.327972972969</v>
      </c>
      <c r="AE148" s="158">
        <v>67384.328513513508</v>
      </c>
      <c r="AF148" s="158">
        <v>68441.759459459456</v>
      </c>
      <c r="AG148" s="158">
        <v>70813.988918918913</v>
      </c>
      <c r="AH148" s="158">
        <v>80034.929999999993</v>
      </c>
      <c r="AI148" s="246">
        <v>75680.363945074118</v>
      </c>
      <c r="AJ148" s="247">
        <f t="shared" si="173"/>
        <v>0.17129975883137716</v>
      </c>
    </row>
    <row r="149" spans="2:36" x14ac:dyDescent="0.3">
      <c r="B149" s="203" t="s">
        <v>57</v>
      </c>
      <c r="C149" s="240"/>
      <c r="D149" s="158">
        <v>33656.116941360997</v>
      </c>
      <c r="E149" s="158">
        <v>59686.468693291514</v>
      </c>
      <c r="F149" s="158">
        <v>58711.559712837836</v>
      </c>
      <c r="G149" s="158">
        <v>58839.028445945951</v>
      </c>
      <c r="H149" s="158">
        <v>60982.806381515446</v>
      </c>
      <c r="I149" s="158">
        <v>61858.128717422784</v>
      </c>
      <c r="J149" s="158">
        <v>51575.66097852317</v>
      </c>
      <c r="K149" s="158">
        <v>56701.234278474905</v>
      </c>
      <c r="L149" s="158">
        <v>57605.917512065636</v>
      </c>
      <c r="M149" s="158">
        <v>61577.438005550182</v>
      </c>
      <c r="N149" s="158">
        <v>58640.260154440148</v>
      </c>
      <c r="O149" s="158">
        <v>68436.549682673736</v>
      </c>
      <c r="P149" s="158">
        <v>73227.321708494215</v>
      </c>
      <c r="Q149" s="158">
        <v>51023.233935810807</v>
      </c>
      <c r="R149" s="158">
        <v>64623.597294884159</v>
      </c>
      <c r="S149" s="158">
        <v>67981.496738658287</v>
      </c>
      <c r="T149" s="158">
        <v>67756.304453426652</v>
      </c>
      <c r="U149" s="158">
        <v>68129.117726833982</v>
      </c>
      <c r="V149" s="158">
        <v>82579.69435328187</v>
      </c>
      <c r="W149" s="158">
        <v>86104.767290057935</v>
      </c>
      <c r="X149" s="158">
        <v>54908.009784025096</v>
      </c>
      <c r="Y149" s="158">
        <v>64694.263143098447</v>
      </c>
      <c r="Z149" s="158">
        <v>68642.409522200775</v>
      </c>
      <c r="AA149" s="158">
        <v>76101.53125241313</v>
      </c>
      <c r="AB149" s="158">
        <v>72255.067227316613</v>
      </c>
      <c r="AC149" s="158">
        <v>87091.800108590745</v>
      </c>
      <c r="AD149" s="158">
        <v>88778.279335183397</v>
      </c>
      <c r="AE149" s="158">
        <v>58176.199035955593</v>
      </c>
      <c r="AF149" s="158">
        <v>63073.101497345568</v>
      </c>
      <c r="AG149" s="158">
        <v>54951.444955357139</v>
      </c>
      <c r="AH149" s="158"/>
      <c r="AI149" s="246">
        <v>64612.293628901214</v>
      </c>
      <c r="AJ149" s="247">
        <f t="shared" si="173"/>
        <v>0.39263580344961979</v>
      </c>
    </row>
    <row r="150" spans="2:36" x14ac:dyDescent="0.3">
      <c r="B150" s="203" t="s">
        <v>49</v>
      </c>
      <c r="C150" s="240"/>
      <c r="D150" s="158">
        <v>38972.550000000003</v>
      </c>
      <c r="E150" s="158">
        <v>39174.61</v>
      </c>
      <c r="F150" s="158">
        <v>34707.620000000003</v>
      </c>
      <c r="G150" s="158">
        <v>40887.170000000006</v>
      </c>
      <c r="H150" s="158">
        <v>44251.140000000007</v>
      </c>
      <c r="I150" s="158">
        <v>46034.819999999992</v>
      </c>
      <c r="J150" s="158">
        <v>39862.78</v>
      </c>
      <c r="K150" s="158">
        <v>41413.649999999994</v>
      </c>
      <c r="L150" s="158">
        <v>42345.120000000003</v>
      </c>
      <c r="M150" s="158">
        <v>33456.019999999997</v>
      </c>
      <c r="N150" s="158">
        <v>43313.859999999993</v>
      </c>
      <c r="O150" s="158">
        <v>43531.740000000005</v>
      </c>
      <c r="P150" s="158">
        <v>51145.510000000009</v>
      </c>
      <c r="Q150" s="158">
        <v>50218.990000000005</v>
      </c>
      <c r="R150" s="158">
        <v>46705.89</v>
      </c>
      <c r="S150" s="158">
        <v>47389.38</v>
      </c>
      <c r="T150" s="158">
        <v>38041.599999999999</v>
      </c>
      <c r="U150" s="158">
        <v>45036.49</v>
      </c>
      <c r="V150" s="158">
        <v>57478.16</v>
      </c>
      <c r="W150" s="158">
        <v>49952.299999999996</v>
      </c>
      <c r="X150" s="158">
        <v>46827.219999999994</v>
      </c>
      <c r="Y150" s="158">
        <v>53260.289999999994</v>
      </c>
      <c r="Z150" s="158">
        <v>59358.32</v>
      </c>
      <c r="AA150" s="158">
        <v>48776.539999999994</v>
      </c>
      <c r="AB150" s="158">
        <v>36573.770000000004</v>
      </c>
      <c r="AC150" s="158">
        <v>44737.770000000004</v>
      </c>
      <c r="AD150" s="158">
        <v>47850.439999999995</v>
      </c>
      <c r="AE150" s="158">
        <v>53364.35</v>
      </c>
      <c r="AF150" s="158">
        <v>57628.400000000009</v>
      </c>
      <c r="AG150" s="158">
        <v>63124.35</v>
      </c>
      <c r="AH150" s="158">
        <v>52845.420000000006</v>
      </c>
      <c r="AI150" s="246">
        <v>46395.686129032256</v>
      </c>
      <c r="AJ150" s="237"/>
    </row>
  </sheetData>
  <mergeCells count="2">
    <mergeCell ref="B52:C52"/>
    <mergeCell ref="B53:C53"/>
  </mergeCells>
  <phoneticPr fontId="8" type="noConversion"/>
  <conditionalFormatting sqref="D14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AH15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:AH15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AH138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:AH13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AH138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8:AH14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8:AH14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AH144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AH144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AH144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9:AH149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9:AH14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AH141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AH147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7:AH14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AH15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AH15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:AH145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5:AH14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AH13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9:AH13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AH13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9:AH150 D13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6:AH11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6:AH11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N11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N11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AH11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2:AH12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2:AH12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N122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2:N12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AH122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4:AH13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4:AH13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:N13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:N13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:AH13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0:AH11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0:AH11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N11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0:N11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AH11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4:AH10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4:AH10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:N10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N10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:AH10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AH9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AH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N9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N9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AH9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N9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:N9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AH9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3:AH8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3:AH8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N8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3:N8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AH8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:AH7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:AH7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N7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:N7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AH7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AH7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AH7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N7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2:N7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AH7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U66 W66:AH6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U66 W66:AH6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N66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6:N6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U66 W66:AH6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AH5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AH5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N5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N5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AH5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AH4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AH4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N4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N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AH4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:AH3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:AH3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N3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:N3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AH3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AH3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AH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N3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N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AH3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AH2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AH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N2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N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AH2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H1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H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N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H1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AH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AH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T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T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AH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8:AH150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M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M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M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8:AH1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8:AH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N1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N1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May!D128:AG128</xm:f>
              <xm:sqref>B128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May!D104:AG104</xm:f>
              <xm:sqref>B104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May!D66:AG66</xm:f>
              <xm:sqref>B66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May!D72:AG72</xm:f>
              <xm:sqref>B72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May!D77:AG77</xm:f>
              <xm:sqref>B77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May!D82:AG82</xm:f>
              <xm:sqref>B82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May!D92:AG92</xm:f>
              <xm:sqref>B92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May!D98:AG98</xm:f>
              <xm:sqref>B98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May!D110:AG110</xm:f>
              <xm:sqref>B110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May!D116:AG116</xm:f>
              <xm:sqref>B116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May!D122:AG122</xm:f>
              <xm:sqref>B122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May!D134:AG134</xm:f>
              <xm:sqref>B134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May!D145:AG145</xm:f>
              <xm:sqref>C145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May!D146:AG146</xm:f>
              <xm:sqref>C146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May!D150:AG150</xm:f>
              <xm:sqref>C150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May!D149:AG149</xm:f>
              <xm:sqref>C149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May!D148:AG148</xm:f>
              <xm:sqref>C148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May!D147:AG147</xm:f>
              <xm:sqref>C147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May!D144:AG144</xm:f>
              <xm:sqref>C144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May!D50:AG50</xm:f>
              <xm:sqref>B50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May!D44:AG44</xm:f>
              <xm:sqref>B44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May!D38:AG38</xm:f>
              <xm:sqref>B38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May!D32:AG32</xm:f>
              <xm:sqref>B32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May!D23:AG23</xm:f>
              <xm:sqref>B23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May!D14:AG14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May!D143:AG143</xm:f>
              <xm:sqref>C143</xm:sqref>
            </x14:sparkline>
            <x14:sparkline>
              <xm:f>May!D142:AG142</xm:f>
              <xm:sqref>C142</xm:sqref>
            </x14:sparkline>
            <x14:sparkline>
              <xm:f>May!D141:AG141</xm:f>
              <xm:sqref>C141</xm:sqref>
            </x14:sparkline>
            <x14:sparkline>
              <xm:f>May!D140:AG140</xm:f>
              <xm:sqref>C140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May!D139:AG139</xm:f>
              <xm:sqref>C139</xm:sqref>
            </x14:sparkline>
            <x14:sparkline>
              <xm:f>May!D138:AG138</xm:f>
              <xm:sqref>C138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0"/>
  <sheetViews>
    <sheetView workbookViewId="0">
      <pane xSplit="3" ySplit="3" topLeftCell="Z4" activePane="bottomRight" state="frozen"/>
      <selection pane="topRight" activeCell="D1" sqref="D1"/>
      <selection pane="bottomLeft" activeCell="A4" sqref="A4"/>
      <selection pane="bottomRight" activeCell="AG4" sqref="D4:AG4"/>
    </sheetView>
  </sheetViews>
  <sheetFormatPr defaultColWidth="8.88671875" defaultRowHeight="14.4" x14ac:dyDescent="0.3"/>
  <cols>
    <col min="2" max="2" width="30.44140625" bestFit="1" customWidth="1"/>
    <col min="3" max="3" width="16.33203125" bestFit="1" customWidth="1"/>
    <col min="4" max="9" width="10" customWidth="1"/>
    <col min="10" max="10" width="11.33203125" bestFit="1" customWidth="1"/>
    <col min="11" max="34" width="10" customWidth="1"/>
    <col min="35" max="35" width="13.33203125" bestFit="1" customWidth="1"/>
    <col min="36" max="36" width="19.33203125" bestFit="1" customWidth="1"/>
  </cols>
  <sheetData>
    <row r="1" spans="1:37" x14ac:dyDescent="0.3">
      <c r="A1" s="1">
        <v>30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5">
        <f>+AI14+AI23+AI32+AI38+AI44+AI50+AI64+AI72+AI77+AI83+AI92+AI98+AI104+AI110+AI116+AI122+AI134+AI128</f>
        <v>4204486.2299999995</v>
      </c>
      <c r="AJ1" s="6">
        <f>+AI1/$A$1</f>
        <v>140149.541</v>
      </c>
    </row>
    <row r="2" spans="1:37" x14ac:dyDescent="0.3">
      <c r="A2" s="2"/>
      <c r="B2" s="2"/>
      <c r="C2" s="3"/>
      <c r="D2" s="4" t="s">
        <v>6</v>
      </c>
      <c r="E2" s="4" t="s">
        <v>7</v>
      </c>
      <c r="F2" s="4" t="s">
        <v>8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2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2</v>
      </c>
      <c r="AC2" s="4" t="s">
        <v>3</v>
      </c>
      <c r="AD2" s="4" t="s">
        <v>4</v>
      </c>
      <c r="AE2" s="4" t="s">
        <v>5</v>
      </c>
      <c r="AF2" s="4" t="s">
        <v>6</v>
      </c>
      <c r="AG2" s="4" t="s">
        <v>7</v>
      </c>
      <c r="AH2" s="4"/>
      <c r="AI2" s="4" t="s">
        <v>9</v>
      </c>
      <c r="AJ2" s="6">
        <f>+AJ1*30</f>
        <v>4204486.2299999995</v>
      </c>
      <c r="AK2">
        <v>4300000</v>
      </c>
    </row>
    <row r="3" spans="1:37" ht="15" thickBot="1" x14ac:dyDescent="0.35">
      <c r="A3" s="2"/>
      <c r="B3" s="2" t="s">
        <v>10</v>
      </c>
      <c r="C3" s="3" t="s">
        <v>11</v>
      </c>
      <c r="D3" s="7">
        <v>1</v>
      </c>
      <c r="E3" s="7">
        <f>+D3+1</f>
        <v>2</v>
      </c>
      <c r="F3" s="7">
        <f t="shared" ref="F3:AG3" si="0">+E3+1</f>
        <v>3</v>
      </c>
      <c r="G3" s="7">
        <f t="shared" si="0"/>
        <v>4</v>
      </c>
      <c r="H3" s="7">
        <f t="shared" si="0"/>
        <v>5</v>
      </c>
      <c r="I3" s="7">
        <f t="shared" si="0"/>
        <v>6</v>
      </c>
      <c r="J3" s="7">
        <f t="shared" si="0"/>
        <v>7</v>
      </c>
      <c r="K3" s="7">
        <f t="shared" si="0"/>
        <v>8</v>
      </c>
      <c r="L3" s="7">
        <f t="shared" si="0"/>
        <v>9</v>
      </c>
      <c r="M3" s="7">
        <f t="shared" si="0"/>
        <v>10</v>
      </c>
      <c r="N3" s="7">
        <f t="shared" si="0"/>
        <v>11</v>
      </c>
      <c r="O3" s="7">
        <f t="shared" si="0"/>
        <v>12</v>
      </c>
      <c r="P3" s="7">
        <f t="shared" si="0"/>
        <v>13</v>
      </c>
      <c r="Q3" s="7">
        <f t="shared" si="0"/>
        <v>14</v>
      </c>
      <c r="R3" s="7">
        <f t="shared" si="0"/>
        <v>15</v>
      </c>
      <c r="S3" s="7">
        <f t="shared" si="0"/>
        <v>16</v>
      </c>
      <c r="T3" s="7">
        <f t="shared" si="0"/>
        <v>17</v>
      </c>
      <c r="U3" s="7">
        <f t="shared" si="0"/>
        <v>18</v>
      </c>
      <c r="V3" s="7">
        <f t="shared" si="0"/>
        <v>19</v>
      </c>
      <c r="W3" s="7">
        <f t="shared" si="0"/>
        <v>20</v>
      </c>
      <c r="X3" s="7">
        <f t="shared" si="0"/>
        <v>21</v>
      </c>
      <c r="Y3" s="7">
        <f t="shared" si="0"/>
        <v>22</v>
      </c>
      <c r="Z3" s="7">
        <f t="shared" si="0"/>
        <v>23</v>
      </c>
      <c r="AA3" s="7">
        <f t="shared" si="0"/>
        <v>24</v>
      </c>
      <c r="AB3" s="7">
        <f t="shared" si="0"/>
        <v>25</v>
      </c>
      <c r="AC3" s="7">
        <f t="shared" si="0"/>
        <v>26</v>
      </c>
      <c r="AD3" s="7">
        <f t="shared" si="0"/>
        <v>27</v>
      </c>
      <c r="AE3" s="7">
        <f t="shared" si="0"/>
        <v>28</v>
      </c>
      <c r="AF3" s="7">
        <f t="shared" si="0"/>
        <v>29</v>
      </c>
      <c r="AG3" s="7">
        <f t="shared" si="0"/>
        <v>30</v>
      </c>
      <c r="AH3" s="7"/>
      <c r="AI3" s="4" t="s">
        <v>12</v>
      </c>
      <c r="AJ3" s="6"/>
    </row>
    <row r="4" spans="1:37" ht="15" thickTop="1" x14ac:dyDescent="0.3">
      <c r="A4" s="2">
        <f>+A10+A19+A28+A34+A40+A46+A64+A68+A73+A79+A88+A94+A100+A106+A112+A118+A130+A124</f>
        <v>2079</v>
      </c>
      <c r="B4" s="28" t="s">
        <v>14</v>
      </c>
      <c r="C4" s="29" t="s">
        <v>15</v>
      </c>
      <c r="D4" s="30">
        <f t="shared" ref="D4:AF4" si="1">+D10+D19+D28+D34+D40+D46+D54+D68+D73+D79+D88+D94+D100+D106+D112+D118+D130+D124+D59</f>
        <v>1248</v>
      </c>
      <c r="E4" s="30">
        <f t="shared" si="1"/>
        <v>1406</v>
      </c>
      <c r="F4" s="30">
        <f t="shared" si="1"/>
        <v>1326</v>
      </c>
      <c r="G4" s="30">
        <f t="shared" si="1"/>
        <v>926</v>
      </c>
      <c r="H4" s="30">
        <f t="shared" si="1"/>
        <v>1168</v>
      </c>
      <c r="I4" s="30">
        <f t="shared" si="1"/>
        <v>1250</v>
      </c>
      <c r="J4" s="30">
        <f t="shared" si="1"/>
        <v>1254</v>
      </c>
      <c r="K4" s="30">
        <f t="shared" si="1"/>
        <v>1248</v>
      </c>
      <c r="L4" s="30">
        <f t="shared" si="1"/>
        <v>1500</v>
      </c>
      <c r="M4" s="30">
        <f t="shared" si="1"/>
        <v>1614</v>
      </c>
      <c r="N4" s="30">
        <f t="shared" si="1"/>
        <v>1020</v>
      </c>
      <c r="O4" s="30">
        <f t="shared" si="1"/>
        <v>1137</v>
      </c>
      <c r="P4" s="30">
        <f t="shared" si="1"/>
        <v>1264</v>
      </c>
      <c r="Q4" s="30">
        <f t="shared" si="1"/>
        <v>1231</v>
      </c>
      <c r="R4" s="30">
        <f t="shared" si="1"/>
        <v>1327</v>
      </c>
      <c r="S4" s="30">
        <f t="shared" si="1"/>
        <v>1555</v>
      </c>
      <c r="T4" s="30">
        <f t="shared" si="1"/>
        <v>1571</v>
      </c>
      <c r="U4" s="30">
        <f t="shared" si="1"/>
        <v>927</v>
      </c>
      <c r="V4" s="30">
        <f t="shared" si="1"/>
        <v>1102</v>
      </c>
      <c r="W4" s="30">
        <f t="shared" si="1"/>
        <v>1205</v>
      </c>
      <c r="X4" s="30">
        <f t="shared" si="1"/>
        <v>1359</v>
      </c>
      <c r="Y4" s="30">
        <f t="shared" si="1"/>
        <v>1432</v>
      </c>
      <c r="Z4" s="30">
        <f t="shared" si="1"/>
        <v>1652</v>
      </c>
      <c r="AA4" s="30">
        <f t="shared" si="1"/>
        <v>1715</v>
      </c>
      <c r="AB4" s="30">
        <f t="shared" si="1"/>
        <v>1111</v>
      </c>
      <c r="AC4" s="30">
        <f t="shared" si="1"/>
        <v>1295</v>
      </c>
      <c r="AD4" s="30">
        <f t="shared" si="1"/>
        <v>1339</v>
      </c>
      <c r="AE4" s="30">
        <f t="shared" si="1"/>
        <v>1385</v>
      </c>
      <c r="AF4" s="30">
        <f t="shared" si="1"/>
        <v>1434</v>
      </c>
      <c r="AG4" s="30">
        <f>+AG10+AG19+AG28+AG34+AG40+AG46+AG54+AG68+AG73+AG79+AG88+AG94+AG100+AG106+AG112+AG118+AG130+AG124+AG59</f>
        <v>1690</v>
      </c>
      <c r="AH4" s="30"/>
      <c r="AI4" s="89">
        <f>SUM(D4:AG4)</f>
        <v>39691</v>
      </c>
      <c r="AJ4" s="6"/>
    </row>
    <row r="5" spans="1:37" x14ac:dyDescent="0.3">
      <c r="A5" s="2"/>
      <c r="B5" s="33"/>
      <c r="C5" s="34" t="s">
        <v>16</v>
      </c>
      <c r="D5" s="35">
        <f t="shared" ref="D5:AG5" si="2">+D4/$A$4</f>
        <v>0.60028860028860032</v>
      </c>
      <c r="E5" s="35">
        <f t="shared" si="2"/>
        <v>0.67628667628667627</v>
      </c>
      <c r="F5" s="35">
        <f t="shared" si="2"/>
        <v>0.63780663780663782</v>
      </c>
      <c r="G5" s="35">
        <f t="shared" si="2"/>
        <v>0.44540644540644542</v>
      </c>
      <c r="H5" s="35">
        <f t="shared" si="2"/>
        <v>0.56180856180856176</v>
      </c>
      <c r="I5" s="35">
        <f t="shared" si="2"/>
        <v>0.60125060125060126</v>
      </c>
      <c r="J5" s="35">
        <f t="shared" si="2"/>
        <v>0.60317460317460314</v>
      </c>
      <c r="K5" s="35">
        <f t="shared" si="2"/>
        <v>0.60028860028860032</v>
      </c>
      <c r="L5" s="35">
        <f t="shared" si="2"/>
        <v>0.72150072150072153</v>
      </c>
      <c r="M5" s="35">
        <f t="shared" si="2"/>
        <v>0.77633477633477632</v>
      </c>
      <c r="N5" s="35">
        <f t="shared" si="2"/>
        <v>0.49062049062049062</v>
      </c>
      <c r="O5" s="35">
        <f t="shared" si="2"/>
        <v>0.54689754689754688</v>
      </c>
      <c r="P5" s="35">
        <f t="shared" si="2"/>
        <v>0.60798460798460796</v>
      </c>
      <c r="Q5" s="35">
        <f t="shared" si="2"/>
        <v>0.59211159211159214</v>
      </c>
      <c r="R5" s="35">
        <f t="shared" si="2"/>
        <v>0.63828763828763824</v>
      </c>
      <c r="S5" s="35">
        <f t="shared" si="2"/>
        <v>0.74795574795574793</v>
      </c>
      <c r="T5" s="35">
        <f t="shared" si="2"/>
        <v>0.75565175565175569</v>
      </c>
      <c r="U5" s="35">
        <f t="shared" si="2"/>
        <v>0.44588744588744589</v>
      </c>
      <c r="V5" s="35">
        <f t="shared" si="2"/>
        <v>0.53006253006253001</v>
      </c>
      <c r="W5" s="35">
        <f t="shared" si="2"/>
        <v>0.57960557960557957</v>
      </c>
      <c r="X5" s="35">
        <f t="shared" si="2"/>
        <v>0.65367965367965364</v>
      </c>
      <c r="Y5" s="35">
        <f t="shared" si="2"/>
        <v>0.68879268879268885</v>
      </c>
      <c r="Z5" s="35">
        <f t="shared" si="2"/>
        <v>0.79461279461279466</v>
      </c>
      <c r="AA5" s="35">
        <f t="shared" si="2"/>
        <v>0.82491582491582494</v>
      </c>
      <c r="AB5" s="35">
        <f t="shared" si="2"/>
        <v>0.53439153439153442</v>
      </c>
      <c r="AC5" s="35">
        <f t="shared" si="2"/>
        <v>0.62289562289562295</v>
      </c>
      <c r="AD5" s="35">
        <f t="shared" si="2"/>
        <v>0.64405964405964411</v>
      </c>
      <c r="AE5" s="35">
        <f t="shared" si="2"/>
        <v>0.66618566618566621</v>
      </c>
      <c r="AF5" s="35">
        <f t="shared" si="2"/>
        <v>0.68975468975468979</v>
      </c>
      <c r="AG5" s="35">
        <f t="shared" si="2"/>
        <v>0.81289081289081289</v>
      </c>
      <c r="AH5" s="35"/>
      <c r="AI5" s="36">
        <f>AI4/(A4*A$1)</f>
        <v>0.63637966971300308</v>
      </c>
      <c r="AJ5" s="6"/>
    </row>
    <row r="6" spans="1:37" x14ac:dyDescent="0.3">
      <c r="A6" s="2"/>
      <c r="B6" s="33"/>
      <c r="C6" s="34" t="s">
        <v>17</v>
      </c>
      <c r="D6" s="37">
        <f t="shared" ref="D6:I6" si="3">+IFERROR(D8/D4,0)</f>
        <v>100.29807692307692</v>
      </c>
      <c r="E6" s="37">
        <f t="shared" si="3"/>
        <v>106.82005689900427</v>
      </c>
      <c r="F6" s="37">
        <f t="shared" si="3"/>
        <v>106.14027149321267</v>
      </c>
      <c r="G6" s="37">
        <f t="shared" si="3"/>
        <v>100.5627213822894</v>
      </c>
      <c r="H6" s="37">
        <f t="shared" si="3"/>
        <v>99.05393835616438</v>
      </c>
      <c r="I6" s="37">
        <f t="shared" si="3"/>
        <v>108.57623999999998</v>
      </c>
      <c r="J6" s="37">
        <f t="shared" ref="J6:AG6" si="4">+IFERROR(J8/J4,0)</f>
        <v>109.61323763955343</v>
      </c>
      <c r="K6" s="37">
        <f t="shared" si="4"/>
        <v>102.59535256410257</v>
      </c>
      <c r="L6" s="37">
        <f t="shared" si="4"/>
        <v>113.55866666666667</v>
      </c>
      <c r="M6" s="37">
        <f t="shared" si="4"/>
        <v>118.62081784386618</v>
      </c>
      <c r="N6" s="37">
        <f t="shared" si="4"/>
        <v>108.98134313725488</v>
      </c>
      <c r="O6" s="37">
        <f t="shared" si="4"/>
        <v>106.75401055408972</v>
      </c>
      <c r="P6" s="37">
        <f t="shared" si="4"/>
        <v>105.46521360759496</v>
      </c>
      <c r="Q6" s="37">
        <f t="shared" si="4"/>
        <v>105.62363931762795</v>
      </c>
      <c r="R6" s="37">
        <f t="shared" si="4"/>
        <v>109.52147701582517</v>
      </c>
      <c r="S6" s="37">
        <f t="shared" si="4"/>
        <v>119.96977491961415</v>
      </c>
      <c r="T6" s="37">
        <f t="shared" si="4"/>
        <v>118.56078930617441</v>
      </c>
      <c r="U6" s="37">
        <f t="shared" si="4"/>
        <v>106.65048543689321</v>
      </c>
      <c r="V6" s="37">
        <f t="shared" si="4"/>
        <v>109.28160617059891</v>
      </c>
      <c r="W6" s="37">
        <f t="shared" si="4"/>
        <v>109.73984232365146</v>
      </c>
      <c r="X6" s="37">
        <f t="shared" si="4"/>
        <v>97.760117733627666</v>
      </c>
      <c r="Y6" s="37">
        <f t="shared" si="4"/>
        <v>101.81634078212291</v>
      </c>
      <c r="Z6" s="37">
        <f t="shared" si="4"/>
        <v>111.51937046004842</v>
      </c>
      <c r="AA6" s="37">
        <f t="shared" si="4"/>
        <v>106.05655976676385</v>
      </c>
      <c r="AB6" s="37">
        <f t="shared" si="4"/>
        <v>92.565256525652572</v>
      </c>
      <c r="AC6" s="37">
        <f t="shared" si="4"/>
        <v>92.905791505791512</v>
      </c>
      <c r="AD6" s="37">
        <f t="shared" si="4"/>
        <v>95.288274831964159</v>
      </c>
      <c r="AE6" s="37">
        <f t="shared" si="4"/>
        <v>95.860649819494583</v>
      </c>
      <c r="AF6" s="37">
        <f t="shared" si="4"/>
        <v>97.006973500697356</v>
      </c>
      <c r="AG6" s="37">
        <f t="shared" si="4"/>
        <v>108.6508875739645</v>
      </c>
      <c r="AH6" s="37"/>
      <c r="AI6" s="38">
        <f>AI8/AI4</f>
        <v>105.93046862009018</v>
      </c>
      <c r="AJ6" s="6"/>
    </row>
    <row r="7" spans="1:37" x14ac:dyDescent="0.3">
      <c r="A7" s="2"/>
      <c r="B7" s="33"/>
      <c r="C7" s="34" t="s">
        <v>18</v>
      </c>
      <c r="D7" s="37">
        <f t="shared" ref="D7:J7" si="5">+IFERROR(D6*D5,0)</f>
        <v>60.20779220779221</v>
      </c>
      <c r="E7" s="37">
        <f t="shared" si="5"/>
        <v>72.240981240981242</v>
      </c>
      <c r="F7" s="37">
        <f t="shared" si="5"/>
        <v>67.696969696969703</v>
      </c>
      <c r="G7" s="37">
        <f t="shared" si="5"/>
        <v>44.791284271284262</v>
      </c>
      <c r="H7" s="37">
        <f t="shared" si="5"/>
        <v>55.649350649350644</v>
      </c>
      <c r="I7" s="37">
        <f t="shared" si="5"/>
        <v>65.281529581529568</v>
      </c>
      <c r="J7" s="37">
        <f t="shared" si="5"/>
        <v>66.115921115921111</v>
      </c>
      <c r="K7" s="37">
        <f t="shared" ref="K7:AG7" si="6">+IFERROR(K6*K5,0)</f>
        <v>61.586820586820593</v>
      </c>
      <c r="L7" s="37">
        <f t="shared" si="6"/>
        <v>81.932659932659931</v>
      </c>
      <c r="M7" s="37">
        <f t="shared" si="6"/>
        <v>92.0894660894661</v>
      </c>
      <c r="N7" s="37">
        <f t="shared" si="6"/>
        <v>53.468480038480031</v>
      </c>
      <c r="O7" s="37">
        <f t="shared" si="6"/>
        <v>58.383506493506495</v>
      </c>
      <c r="P7" s="37">
        <f t="shared" si="6"/>
        <v>64.12122655122657</v>
      </c>
      <c r="Q7" s="37">
        <f t="shared" si="6"/>
        <v>62.540981240981246</v>
      </c>
      <c r="R7" s="37">
        <f t="shared" si="6"/>
        <v>69.906204906204906</v>
      </c>
      <c r="S7" s="37">
        <f t="shared" si="6"/>
        <v>89.732082732082731</v>
      </c>
      <c r="T7" s="37">
        <f t="shared" si="6"/>
        <v>89.590668590668599</v>
      </c>
      <c r="U7" s="37">
        <f t="shared" si="6"/>
        <v>47.554112554112557</v>
      </c>
      <c r="V7" s="37">
        <f t="shared" si="6"/>
        <v>57.926084656084647</v>
      </c>
      <c r="W7" s="37">
        <f t="shared" si="6"/>
        <v>63.605824915824918</v>
      </c>
      <c r="X7" s="37">
        <f t="shared" si="6"/>
        <v>63.9037999037999</v>
      </c>
      <c r="Y7" s="37">
        <f t="shared" si="6"/>
        <v>70.130351130351144</v>
      </c>
      <c r="Z7" s="37">
        <f t="shared" si="6"/>
        <v>88.614718614718612</v>
      </c>
      <c r="AA7" s="37">
        <f t="shared" si="6"/>
        <v>87.4877344877345</v>
      </c>
      <c r="AB7" s="37">
        <f t="shared" si="6"/>
        <v>49.466089466089471</v>
      </c>
      <c r="AC7" s="37">
        <f t="shared" si="6"/>
        <v>57.870610870610882</v>
      </c>
      <c r="AD7" s="37">
        <f t="shared" si="6"/>
        <v>61.371332371332379</v>
      </c>
      <c r="AE7" s="37">
        <f t="shared" si="6"/>
        <v>63.86099086099086</v>
      </c>
      <c r="AF7" s="37">
        <f t="shared" si="6"/>
        <v>66.911014911014917</v>
      </c>
      <c r="AG7" s="37">
        <f t="shared" si="6"/>
        <v>88.321308321308322</v>
      </c>
      <c r="AH7" s="37"/>
      <c r="AI7" s="38">
        <f>AI6*AI5</f>
        <v>67.411996632996633</v>
      </c>
      <c r="AJ7" s="6"/>
    </row>
    <row r="8" spans="1:37" x14ac:dyDescent="0.3">
      <c r="A8" s="2"/>
      <c r="B8" s="33"/>
      <c r="C8" s="34" t="s">
        <v>19</v>
      </c>
      <c r="D8" s="20">
        <f t="shared" ref="D8:Y8" si="7">+IFERROR(D14+D23+D32+D38+D44+D50+D64+D72+D77+D83+D92+D98+D104+D110+D116+D122+D128+D134,0)</f>
        <v>125172</v>
      </c>
      <c r="E8" s="20">
        <f t="shared" si="7"/>
        <v>150189</v>
      </c>
      <c r="F8" s="20">
        <f t="shared" si="7"/>
        <v>140742</v>
      </c>
      <c r="G8" s="20">
        <f t="shared" si="7"/>
        <v>93121.079999999987</v>
      </c>
      <c r="H8" s="20">
        <f t="shared" si="7"/>
        <v>115695</v>
      </c>
      <c r="I8" s="20">
        <f t="shared" si="7"/>
        <v>135720.29999999999</v>
      </c>
      <c r="J8" s="20">
        <f t="shared" si="7"/>
        <v>137455</v>
      </c>
      <c r="K8" s="20">
        <f t="shared" si="7"/>
        <v>128039</v>
      </c>
      <c r="L8" s="20">
        <f t="shared" si="7"/>
        <v>170338</v>
      </c>
      <c r="M8" s="20">
        <f t="shared" si="7"/>
        <v>191454</v>
      </c>
      <c r="N8" s="20">
        <f t="shared" si="7"/>
        <v>111160.96999999999</v>
      </c>
      <c r="O8" s="20">
        <f t="shared" si="7"/>
        <v>121379.31000000001</v>
      </c>
      <c r="P8" s="20">
        <f t="shared" si="7"/>
        <v>133308.03000000003</v>
      </c>
      <c r="Q8" s="20">
        <f t="shared" si="7"/>
        <v>130022.7</v>
      </c>
      <c r="R8" s="20">
        <f t="shared" si="7"/>
        <v>145335</v>
      </c>
      <c r="S8" s="20">
        <f t="shared" si="7"/>
        <v>186553</v>
      </c>
      <c r="T8" s="20">
        <f t="shared" si="7"/>
        <v>186259</v>
      </c>
      <c r="U8" s="20">
        <f t="shared" si="7"/>
        <v>98865</v>
      </c>
      <c r="V8" s="20">
        <f t="shared" si="7"/>
        <v>120428.33</v>
      </c>
      <c r="W8" s="20">
        <f t="shared" si="7"/>
        <v>132236.51</v>
      </c>
      <c r="X8" s="20">
        <f t="shared" si="7"/>
        <v>132856</v>
      </c>
      <c r="Y8" s="20">
        <f t="shared" si="7"/>
        <v>145801</v>
      </c>
      <c r="Z8" s="20">
        <f t="shared" ref="Z8:AG8" si="8">+IFERROR(Z14+Z23+Z32+Z38+Z44+Z50+Z64+Z72+Z77+Z83+Z92+Z98+Z104+Z110+Z116+Z122+Z128+Z134,0)</f>
        <v>184230</v>
      </c>
      <c r="AA8" s="20">
        <f t="shared" si="8"/>
        <v>181887</v>
      </c>
      <c r="AB8" s="20">
        <f t="shared" si="8"/>
        <v>102840</v>
      </c>
      <c r="AC8" s="20">
        <f t="shared" si="8"/>
        <v>120313</v>
      </c>
      <c r="AD8" s="20">
        <f t="shared" si="8"/>
        <v>127591</v>
      </c>
      <c r="AE8" s="20">
        <f t="shared" si="8"/>
        <v>132767</v>
      </c>
      <c r="AF8" s="20">
        <f t="shared" si="8"/>
        <v>139108</v>
      </c>
      <c r="AG8" s="20">
        <f t="shared" si="8"/>
        <v>183620</v>
      </c>
      <c r="AH8" s="20"/>
      <c r="AI8" s="39">
        <f>SUM(D8:AG8)</f>
        <v>4204486.2299999995</v>
      </c>
      <c r="AJ8" s="6"/>
    </row>
    <row r="9" spans="1:37" ht="15" thickBot="1" x14ac:dyDescent="0.35">
      <c r="A9" s="145"/>
      <c r="B9" s="48"/>
      <c r="C9" s="41" t="s">
        <v>20</v>
      </c>
      <c r="D9" s="49">
        <f t="shared" ref="D9:I9" si="9">IFERROR(AVERAGE(D15,D24,D33,D39,D45,D51,D67,D78,D87,D93,D99,D105,D111,D117,D123,D129,D135),0)</f>
        <v>0.20499766753778004</v>
      </c>
      <c r="E9" s="49">
        <f t="shared" si="9"/>
        <v>0.14061018923977162</v>
      </c>
      <c r="F9" s="49">
        <f t="shared" si="9"/>
        <v>0.10294609964398731</v>
      </c>
      <c r="G9" s="49">
        <f t="shared" si="9"/>
        <v>0.16944876632996886</v>
      </c>
      <c r="H9" s="49">
        <f t="shared" si="9"/>
        <v>0.24005035915266523</v>
      </c>
      <c r="I9" s="49">
        <f t="shared" si="9"/>
        <v>0.18519979150551547</v>
      </c>
      <c r="J9" s="49">
        <f>IFERROR(AVERAGE(J15,J24,J33,J39,J45,J51,#REF!,J78,J87,J93,J99,J105,J111,J117,J123,J129,J135),0)</f>
        <v>0</v>
      </c>
      <c r="K9" s="49">
        <f>IFERROR(AVERAGE(J15,J24,J33,J39,J45,J51,J67,K78,K87,K93,K99,K105,K111,K117,K123,K129,K135),0)</f>
        <v>0.22104207600449985</v>
      </c>
      <c r="L9" s="49">
        <f>IFERROR(AVERAGE(K15,K24,K33,K39,K45,K51,K67,L78,L87,L93,L99,L105,L111,L117,L123,L129,L135),0)</f>
        <v>0.16654363925386093</v>
      </c>
      <c r="M9" s="49">
        <f>IFERROR(AVERAGE(M15,M24,M33,M39,M45,M51,M67,M78,M87,M93,M99,M105,M111,M117,M123,M129,M135),0)</f>
        <v>7.6103406618751854E-2</v>
      </c>
      <c r="N9" s="49">
        <f>IFERROR(AVERAGE(N15,N24,N33,N39,N45,N51,N67,N78,N87,N93,N99,N105,N111,N117,N123,N129,N135),0)</f>
        <v>0.16480123615149359</v>
      </c>
      <c r="O9" s="49">
        <f>IFERROR(AVERAGE(O15,O24,O33,O39,O45,O51,O67,O78,O87,O93,O99,O105,O111,O117,O123,O129,O135),0)</f>
        <v>0.20952633896201905</v>
      </c>
      <c r="P9" s="49">
        <f>IFERROR(AVERAGE(P15,P24,P33,P39,P45,P51,P67,P78,P84,P93,P99,P105,P111,P117,P123,P129,P135),0)</f>
        <v>0.20579777518809317</v>
      </c>
      <c r="Q9" s="49">
        <f>IFERROR(AVERAGE(Q15,Q24,Q33,Q39,Q45,Q51,Q67,Q78,Q84,Q93,Q99,Q105,Q111,Q117,Q123,Q129,Q135),0)</f>
        <v>0.19538227197487376</v>
      </c>
      <c r="R9" s="49">
        <f>IFERROR(AVERAGE(R15,R24,R33,R39,R45,R51,R67,R78,R84,R93,R99,R105,R111,R117,R123,R129,R135),0)</f>
        <v>0.20962856027363191</v>
      </c>
      <c r="S9" s="49">
        <f t="shared" ref="S9:AG9" si="10">IFERROR(AVERAGE(S15,S24,S33,S39,S45,S51,S67,S78,S87,S93,S99,S105,S111,S117,S123,S129,S135),0)</f>
        <v>0.14359395519927148</v>
      </c>
      <c r="T9" s="49">
        <f t="shared" si="10"/>
        <v>7.7710438455198094E-2</v>
      </c>
      <c r="U9" s="49">
        <f t="shared" si="10"/>
        <v>0.18867985651757457</v>
      </c>
      <c r="V9" s="49">
        <f t="shared" si="10"/>
        <v>0.2161577934136234</v>
      </c>
      <c r="W9" s="49">
        <f t="shared" si="10"/>
        <v>0.19026929640785012</v>
      </c>
      <c r="X9" s="49">
        <f t="shared" si="10"/>
        <v>0.21232334386105883</v>
      </c>
      <c r="Y9" s="49">
        <f>IFERROR(AVERAGE(Y15,Y24,Y33,Y39,Y45,Y51,Y67,Y78,Y84,Y93,Y99,Y105,Y111,Y117,Y123,Y129,Y135),0)</f>
        <v>0.18090415954928132</v>
      </c>
      <c r="Z9" s="49">
        <f t="shared" si="10"/>
        <v>0.14646548961185277</v>
      </c>
      <c r="AA9" s="49">
        <f>IFERROR(AVERAGE(AA15,AA24,AA33,AA39,AA45,AA51,AA67,AA78,AA87,AA93,AA99,AA105,AA111,AA117,AA123,AA129,AA135),0)</f>
        <v>0.12125860159710174</v>
      </c>
      <c r="AB9" s="49">
        <f>IFERROR(AVERAGE(AB15,AB24,AB33,AB39,AB45,AB51,AB67,AB78,AB84,AB93,AB99,AB105,AB111,AB117,AB123,AB129,AB135),0)</f>
        <v>0.18623250802333438</v>
      </c>
      <c r="AC9" s="49">
        <f>IFERROR(AVERAGE(AC15,AC24,AC33,AC39,AC45,AC51,AC67,AC78,AC84,AC93,AC99,AC105,AC111,AC117,AC123,AC129,AC135),0)</f>
        <v>0.18200702238092317</v>
      </c>
      <c r="AD9" s="49">
        <f>IFERROR(AVERAGE(AD15,AD24,AD33,AD39,AD45,AD51,AD67,AD78,AD84,AD93,AD99,AD105,AD111,AD117,AD123,AD129,AD135),0)</f>
        <v>0</v>
      </c>
      <c r="AE9" s="49">
        <f t="shared" si="10"/>
        <v>56.88</v>
      </c>
      <c r="AF9" s="49">
        <f t="shared" si="10"/>
        <v>0</v>
      </c>
      <c r="AG9" s="49">
        <f t="shared" si="10"/>
        <v>28.39</v>
      </c>
      <c r="AH9" s="49"/>
      <c r="AI9" s="51">
        <f>AVERAGE(D9:AE9)</f>
        <v>2.186345737244785</v>
      </c>
      <c r="AJ9" s="6"/>
    </row>
    <row r="10" spans="1:37" ht="15" thickTop="1" x14ac:dyDescent="0.3">
      <c r="A10" s="2">
        <v>103</v>
      </c>
      <c r="B10" s="9" t="s">
        <v>21</v>
      </c>
      <c r="C10" s="10" t="s">
        <v>15</v>
      </c>
      <c r="D10" s="11">
        <v>85</v>
      </c>
      <c r="E10" s="11">
        <v>89</v>
      </c>
      <c r="F10" s="11">
        <v>89</v>
      </c>
      <c r="G10" s="11">
        <v>85</v>
      </c>
      <c r="H10" s="11">
        <v>95</v>
      </c>
      <c r="I10" s="11">
        <v>99</v>
      </c>
      <c r="J10" s="11">
        <v>96</v>
      </c>
      <c r="K10" s="11">
        <v>82</v>
      </c>
      <c r="L10" s="11">
        <v>89</v>
      </c>
      <c r="M10" s="11">
        <v>99</v>
      </c>
      <c r="N10" s="11">
        <v>89</v>
      </c>
      <c r="O10" s="11">
        <v>100</v>
      </c>
      <c r="P10" s="11">
        <v>102</v>
      </c>
      <c r="Q10" s="11">
        <v>91</v>
      </c>
      <c r="R10" s="11">
        <v>81</v>
      </c>
      <c r="S10" s="11">
        <v>82</v>
      </c>
      <c r="T10" s="11">
        <v>100</v>
      </c>
      <c r="U10" s="11">
        <v>71</v>
      </c>
      <c r="V10" s="11">
        <v>91</v>
      </c>
      <c r="W10" s="11">
        <v>101</v>
      </c>
      <c r="X10" s="11">
        <v>100</v>
      </c>
      <c r="Y10" s="11">
        <v>89</v>
      </c>
      <c r="Z10" s="11">
        <v>101</v>
      </c>
      <c r="AA10" s="11">
        <v>100</v>
      </c>
      <c r="AB10" s="11">
        <v>79</v>
      </c>
      <c r="AC10" s="11">
        <v>87</v>
      </c>
      <c r="AD10" s="11">
        <v>96</v>
      </c>
      <c r="AE10" s="11">
        <v>99</v>
      </c>
      <c r="AF10" s="11">
        <v>99</v>
      </c>
      <c r="AG10" s="11">
        <v>101</v>
      </c>
      <c r="AH10" s="11"/>
      <c r="AI10" s="13">
        <f>SUM(D10:AG10)</f>
        <v>2767</v>
      </c>
      <c r="AJ10" s="6"/>
    </row>
    <row r="11" spans="1:37" x14ac:dyDescent="0.3">
      <c r="A11" s="2"/>
      <c r="B11" s="14"/>
      <c r="C11" s="15" t="s">
        <v>16</v>
      </c>
      <c r="D11" s="16">
        <f>+D10/$A10</f>
        <v>0.82524271844660191</v>
      </c>
      <c r="E11" s="16">
        <f t="shared" ref="E11:AG11" si="11">+E10/$A10</f>
        <v>0.86407766990291257</v>
      </c>
      <c r="F11" s="16">
        <f t="shared" si="11"/>
        <v>0.86407766990291257</v>
      </c>
      <c r="G11" s="16">
        <f t="shared" si="11"/>
        <v>0.82524271844660191</v>
      </c>
      <c r="H11" s="16">
        <f t="shared" si="11"/>
        <v>0.92233009708737868</v>
      </c>
      <c r="I11" s="16">
        <f t="shared" si="11"/>
        <v>0.96116504854368934</v>
      </c>
      <c r="J11" s="16">
        <f t="shared" si="11"/>
        <v>0.93203883495145634</v>
      </c>
      <c r="K11" s="16">
        <f t="shared" si="11"/>
        <v>0.79611650485436891</v>
      </c>
      <c r="L11" s="16">
        <f t="shared" si="11"/>
        <v>0.86407766990291257</v>
      </c>
      <c r="M11" s="16">
        <f t="shared" si="11"/>
        <v>0.96116504854368934</v>
      </c>
      <c r="N11" s="16">
        <f t="shared" si="11"/>
        <v>0.86407766990291257</v>
      </c>
      <c r="O11" s="16">
        <f t="shared" si="11"/>
        <v>0.970873786407767</v>
      </c>
      <c r="P11" s="16">
        <f t="shared" si="11"/>
        <v>0.99029126213592233</v>
      </c>
      <c r="Q11" s="16">
        <f t="shared" si="11"/>
        <v>0.88349514563106801</v>
      </c>
      <c r="R11" s="16">
        <f t="shared" si="11"/>
        <v>0.78640776699029125</v>
      </c>
      <c r="S11" s="16">
        <f t="shared" si="11"/>
        <v>0.79611650485436891</v>
      </c>
      <c r="T11" s="16">
        <f t="shared" si="11"/>
        <v>0.970873786407767</v>
      </c>
      <c r="U11" s="16">
        <f t="shared" si="11"/>
        <v>0.68932038834951459</v>
      </c>
      <c r="V11" s="16">
        <f t="shared" si="11"/>
        <v>0.88349514563106801</v>
      </c>
      <c r="W11" s="16">
        <f t="shared" si="11"/>
        <v>0.98058252427184467</v>
      </c>
      <c r="X11" s="16">
        <f t="shared" si="11"/>
        <v>0.970873786407767</v>
      </c>
      <c r="Y11" s="16">
        <f t="shared" si="11"/>
        <v>0.86407766990291257</v>
      </c>
      <c r="Z11" s="16">
        <f t="shared" si="11"/>
        <v>0.98058252427184467</v>
      </c>
      <c r="AA11" s="16">
        <f t="shared" si="11"/>
        <v>0.970873786407767</v>
      </c>
      <c r="AB11" s="16">
        <f t="shared" si="11"/>
        <v>0.76699029126213591</v>
      </c>
      <c r="AC11" s="16">
        <f t="shared" si="11"/>
        <v>0.84466019417475724</v>
      </c>
      <c r="AD11" s="16">
        <f t="shared" si="11"/>
        <v>0.93203883495145634</v>
      </c>
      <c r="AE11" s="16">
        <f t="shared" si="11"/>
        <v>0.96116504854368934</v>
      </c>
      <c r="AF11" s="16">
        <f t="shared" si="11"/>
        <v>0.96116504854368934</v>
      </c>
      <c r="AG11" s="16">
        <f t="shared" si="11"/>
        <v>0.98058252427184467</v>
      </c>
      <c r="AH11" s="16"/>
      <c r="AI11" s="17">
        <f>+AI10/(A10*A$1)</f>
        <v>0.89546925566343039</v>
      </c>
      <c r="AJ11" s="6"/>
    </row>
    <row r="12" spans="1:37" x14ac:dyDescent="0.3">
      <c r="A12" s="2"/>
      <c r="B12" s="14"/>
      <c r="C12" s="15" t="s">
        <v>17</v>
      </c>
      <c r="D12" s="18">
        <f t="shared" ref="D12:AG12" si="12">+IFERROR(D14/D10,0)</f>
        <v>102.05882352941177</v>
      </c>
      <c r="E12" s="18">
        <f t="shared" si="12"/>
        <v>107.93258426966293</v>
      </c>
      <c r="F12" s="18">
        <f t="shared" si="12"/>
        <v>107.74157303370787</v>
      </c>
      <c r="G12" s="18">
        <f t="shared" si="12"/>
        <v>106.11764705882354</v>
      </c>
      <c r="H12" s="18">
        <f t="shared" si="12"/>
        <v>107.15789473684211</v>
      </c>
      <c r="I12" s="18">
        <f t="shared" si="12"/>
        <v>106.87606060606061</v>
      </c>
      <c r="J12" s="18">
        <f t="shared" si="12"/>
        <v>105.36458333333333</v>
      </c>
      <c r="K12" s="18">
        <f t="shared" si="12"/>
        <v>104</v>
      </c>
      <c r="L12" s="18">
        <f t="shared" si="12"/>
        <v>109.15730337078652</v>
      </c>
      <c r="M12" s="18">
        <f t="shared" si="12"/>
        <v>112.63636363636364</v>
      </c>
      <c r="N12" s="18">
        <f t="shared" si="12"/>
        <v>110.1685393258427</v>
      </c>
      <c r="O12" s="18">
        <f t="shared" si="12"/>
        <v>110.25</v>
      </c>
      <c r="P12" s="18">
        <f t="shared" si="12"/>
        <v>111.13725490196079</v>
      </c>
      <c r="Q12" s="18">
        <f t="shared" si="12"/>
        <v>112.3</v>
      </c>
      <c r="R12" s="18">
        <f t="shared" si="12"/>
        <v>111.32098765432099</v>
      </c>
      <c r="S12" s="18">
        <f t="shared" si="12"/>
        <v>110.26829268292683</v>
      </c>
      <c r="T12" s="18">
        <f t="shared" si="12"/>
        <v>104.28</v>
      </c>
      <c r="U12" s="18">
        <f t="shared" si="12"/>
        <v>109.29577464788733</v>
      </c>
      <c r="V12" s="18">
        <f t="shared" si="12"/>
        <v>111.4065934065934</v>
      </c>
      <c r="W12" s="18">
        <f t="shared" si="12"/>
        <v>112.6930693069307</v>
      </c>
      <c r="X12" s="18">
        <f t="shared" si="12"/>
        <v>112.39</v>
      </c>
      <c r="Y12" s="18">
        <f t="shared" si="12"/>
        <v>107.87640449438203</v>
      </c>
      <c r="Z12" s="18">
        <f t="shared" si="12"/>
        <v>117.4950495049505</v>
      </c>
      <c r="AA12" s="18">
        <f t="shared" si="12"/>
        <v>115.15</v>
      </c>
      <c r="AB12" s="18">
        <f t="shared" si="12"/>
        <v>107.81012658227849</v>
      </c>
      <c r="AC12" s="18">
        <f t="shared" si="12"/>
        <v>113.74712643678161</v>
      </c>
      <c r="AD12" s="18">
        <f t="shared" si="12"/>
        <v>114.14583333333333</v>
      </c>
      <c r="AE12" s="18">
        <f t="shared" si="12"/>
        <v>107.76767676767676</v>
      </c>
      <c r="AF12" s="18">
        <f t="shared" si="12"/>
        <v>111.48484848484848</v>
      </c>
      <c r="AG12" s="18">
        <f t="shared" si="12"/>
        <v>115.41584158415841</v>
      </c>
      <c r="AH12" s="18"/>
      <c r="AI12" s="19">
        <f>+IFERROR(AI14/AI10,0)</f>
        <v>109.96314781351646</v>
      </c>
      <c r="AJ12" s="6"/>
    </row>
    <row r="13" spans="1:37" x14ac:dyDescent="0.3">
      <c r="A13" s="2"/>
      <c r="B13" s="14"/>
      <c r="C13" s="15" t="s">
        <v>18</v>
      </c>
      <c r="D13" s="18">
        <f>+D11*D12</f>
        <v>84.22330097087378</v>
      </c>
      <c r="E13" s="18">
        <f t="shared" ref="E13:AG13" si="13">+E11*E12</f>
        <v>93.262135922330089</v>
      </c>
      <c r="F13" s="18">
        <f t="shared" si="13"/>
        <v>93.097087378640765</v>
      </c>
      <c r="G13" s="18">
        <f t="shared" si="13"/>
        <v>87.572815533980588</v>
      </c>
      <c r="H13" s="18">
        <f t="shared" si="13"/>
        <v>98.834951456310691</v>
      </c>
      <c r="I13" s="18">
        <f t="shared" si="13"/>
        <v>102.72553398058253</v>
      </c>
      <c r="J13" s="18">
        <f t="shared" si="13"/>
        <v>98.203883495145632</v>
      </c>
      <c r="K13" s="18">
        <f t="shared" si="13"/>
        <v>82.796116504854368</v>
      </c>
      <c r="L13" s="18">
        <f t="shared" si="13"/>
        <v>94.320388349514559</v>
      </c>
      <c r="M13" s="18">
        <f t="shared" si="13"/>
        <v>108.2621359223301</v>
      </c>
      <c r="N13" s="18">
        <f t="shared" si="13"/>
        <v>95.194174757281559</v>
      </c>
      <c r="O13" s="18">
        <f t="shared" si="13"/>
        <v>107.03883495145631</v>
      </c>
      <c r="P13" s="18">
        <f t="shared" si="13"/>
        <v>110.05825242718447</v>
      </c>
      <c r="Q13" s="18">
        <f t="shared" si="13"/>
        <v>99.216504854368935</v>
      </c>
      <c r="R13" s="18">
        <f t="shared" si="13"/>
        <v>87.543689320388353</v>
      </c>
      <c r="S13" s="18">
        <f t="shared" si="13"/>
        <v>87.786407766990294</v>
      </c>
      <c r="T13" s="18">
        <f t="shared" si="13"/>
        <v>101.24271844660194</v>
      </c>
      <c r="U13" s="18">
        <f t="shared" si="13"/>
        <v>75.339805825242721</v>
      </c>
      <c r="V13" s="18">
        <f t="shared" si="13"/>
        <v>98.427184466019412</v>
      </c>
      <c r="W13" s="18">
        <f t="shared" si="13"/>
        <v>110.50485436893204</v>
      </c>
      <c r="X13" s="18">
        <f t="shared" si="13"/>
        <v>109.11650485436894</v>
      </c>
      <c r="Y13" s="18">
        <f t="shared" si="13"/>
        <v>93.213592233009706</v>
      </c>
      <c r="Z13" s="18">
        <f t="shared" si="13"/>
        <v>115.21359223300972</v>
      </c>
      <c r="AA13" s="18">
        <f t="shared" si="13"/>
        <v>111.79611650485438</v>
      </c>
      <c r="AB13" s="18">
        <f t="shared" si="13"/>
        <v>82.689320388349515</v>
      </c>
      <c r="AC13" s="18">
        <f t="shared" si="13"/>
        <v>96.077669902912618</v>
      </c>
      <c r="AD13" s="18">
        <f t="shared" si="13"/>
        <v>106.3883495145631</v>
      </c>
      <c r="AE13" s="18">
        <f t="shared" si="13"/>
        <v>103.58252427184466</v>
      </c>
      <c r="AF13" s="18">
        <f t="shared" si="13"/>
        <v>107.15533980582525</v>
      </c>
      <c r="AG13" s="18">
        <f t="shared" si="13"/>
        <v>113.1747572815534</v>
      </c>
      <c r="AH13" s="18"/>
      <c r="AI13" s="19">
        <f>+AI12*AI11</f>
        <v>98.468618122977361</v>
      </c>
      <c r="AJ13" s="6"/>
    </row>
    <row r="14" spans="1:37" x14ac:dyDescent="0.3">
      <c r="A14" s="2"/>
      <c r="B14" s="33"/>
      <c r="C14" s="34" t="s">
        <v>19</v>
      </c>
      <c r="D14" s="20">
        <v>8675</v>
      </c>
      <c r="E14" s="20">
        <v>9606</v>
      </c>
      <c r="F14" s="20">
        <v>9589</v>
      </c>
      <c r="G14" s="20">
        <v>9020</v>
      </c>
      <c r="H14" s="20">
        <v>10180</v>
      </c>
      <c r="I14" s="20">
        <v>10580.73</v>
      </c>
      <c r="J14" s="20">
        <v>10115</v>
      </c>
      <c r="K14" s="20">
        <v>8528</v>
      </c>
      <c r="L14" s="20">
        <v>9715</v>
      </c>
      <c r="M14" s="20">
        <v>11151</v>
      </c>
      <c r="N14" s="20">
        <v>9805</v>
      </c>
      <c r="O14" s="20">
        <v>11025</v>
      </c>
      <c r="P14" s="20">
        <v>11336</v>
      </c>
      <c r="Q14" s="20">
        <v>10219.299999999999</v>
      </c>
      <c r="R14" s="20">
        <v>9017</v>
      </c>
      <c r="S14" s="20">
        <v>9042</v>
      </c>
      <c r="T14" s="20">
        <v>10428</v>
      </c>
      <c r="U14" s="20">
        <v>7760</v>
      </c>
      <c r="V14" s="20">
        <v>10138</v>
      </c>
      <c r="W14" s="20">
        <v>11382</v>
      </c>
      <c r="X14" s="20">
        <v>11239</v>
      </c>
      <c r="Y14" s="20">
        <v>9601</v>
      </c>
      <c r="Z14" s="20">
        <v>11867</v>
      </c>
      <c r="AA14" s="20">
        <v>11515</v>
      </c>
      <c r="AB14" s="20">
        <v>8517</v>
      </c>
      <c r="AC14" s="20">
        <v>9896</v>
      </c>
      <c r="AD14" s="20">
        <v>10958</v>
      </c>
      <c r="AE14" s="20">
        <v>10669</v>
      </c>
      <c r="AF14" s="20">
        <v>11037</v>
      </c>
      <c r="AG14" s="20">
        <v>11657</v>
      </c>
      <c r="AH14" s="20"/>
      <c r="AI14" s="39">
        <f>SUM(D14:AG14)</f>
        <v>304268.03000000003</v>
      </c>
      <c r="AJ14" s="6"/>
    </row>
    <row r="15" spans="1:37" x14ac:dyDescent="0.3">
      <c r="A15" s="145"/>
      <c r="B15" s="24"/>
      <c r="C15" s="15" t="s">
        <v>20</v>
      </c>
      <c r="D15" s="25">
        <f>1663.8/D14</f>
        <v>0.19179250720461094</v>
      </c>
      <c r="E15" s="25">
        <f>1422.38/E14</f>
        <v>0.14807203830938998</v>
      </c>
      <c r="F15" s="25">
        <f>689.43/F14</f>
        <v>7.1898008134320568E-2</v>
      </c>
      <c r="G15" s="25">
        <f>642.91/G14</f>
        <v>7.1276053215077601E-2</v>
      </c>
      <c r="H15" s="25">
        <f>848.92/H14</f>
        <v>8.3390962671905697E-2</v>
      </c>
      <c r="I15" s="25">
        <f>1168.18/I14</f>
        <v>0.11040637082696564</v>
      </c>
      <c r="J15" s="25">
        <f>1332.45/J14</f>
        <v>0.13173010380622838</v>
      </c>
      <c r="K15" s="25">
        <f>1404.95/K14</f>
        <v>0.16474554409005629</v>
      </c>
      <c r="L15" s="25">
        <f>1021.63/L14</f>
        <v>0.10516006176016469</v>
      </c>
      <c r="M15" s="25">
        <f>691.35/M14</f>
        <v>6.1998923863330647E-2</v>
      </c>
      <c r="N15" s="25">
        <f>818.18/N14</f>
        <v>8.344518103008669E-2</v>
      </c>
      <c r="O15" s="25">
        <f>1262.87/O14</f>
        <v>0.11454603174603174</v>
      </c>
      <c r="P15" s="25">
        <f>1503/P14</f>
        <v>0.13258645024700069</v>
      </c>
      <c r="Q15" s="25">
        <f>1333.42/Q14</f>
        <v>0.13048056129089078</v>
      </c>
      <c r="R15" s="25">
        <f>1657.66/R14</f>
        <v>0.1838371964067872</v>
      </c>
      <c r="S15" s="25">
        <f>1533.12/S14</f>
        <v>0.16955540809555406</v>
      </c>
      <c r="T15" s="25">
        <f>821.52/T14</f>
        <v>7.8780207134637514E-2</v>
      </c>
      <c r="U15" s="25">
        <f>757.35/U14</f>
        <v>9.7596649484536085E-2</v>
      </c>
      <c r="V15" s="25">
        <v>0.09</v>
      </c>
      <c r="W15" s="25">
        <v>0.11</v>
      </c>
      <c r="X15" s="25">
        <f>1523.74/X14</f>
        <v>0.13557611887178575</v>
      </c>
      <c r="Y15" s="25">
        <f>1559.67/Y14</f>
        <v>0.16244870326007707</v>
      </c>
      <c r="Z15" s="25">
        <f>1402.04/Z14</f>
        <v>0.11814611949102553</v>
      </c>
      <c r="AA15" s="25">
        <f>1402.04/AA14</f>
        <v>0.12175770733825445</v>
      </c>
      <c r="AB15" s="25">
        <f>756.81/AB14</f>
        <v>8.885875308207114E-2</v>
      </c>
      <c r="AC15" s="25">
        <f>1139.51/AC14</f>
        <v>0.11514854486661277</v>
      </c>
      <c r="AD15" s="25"/>
      <c r="AE15" s="25"/>
      <c r="AF15" s="25"/>
      <c r="AG15" s="25"/>
      <c r="AH15" s="25"/>
      <c r="AI15" s="27">
        <f>IFERROR(AVERAGE(D15:AG15),0)</f>
        <v>0.11820131562413083</v>
      </c>
      <c r="AJ15" s="6"/>
    </row>
    <row r="16" spans="1:37" x14ac:dyDescent="0.3">
      <c r="A16" s="145"/>
      <c r="B16" s="24"/>
      <c r="C16" s="15" t="s">
        <v>22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140">
        <v>67.959999999999994</v>
      </c>
      <c r="Q16" s="140">
        <v>60.19</v>
      </c>
      <c r="R16" s="140">
        <v>63.11</v>
      </c>
      <c r="S16" s="140">
        <v>53.4</v>
      </c>
      <c r="T16" s="140"/>
      <c r="U16" s="140">
        <v>57.28</v>
      </c>
      <c r="V16" s="140"/>
      <c r="W16" s="140"/>
      <c r="X16" s="140">
        <v>63.11</v>
      </c>
      <c r="Y16" s="140">
        <v>63.11</v>
      </c>
      <c r="Z16" s="140">
        <v>55.34</v>
      </c>
      <c r="AA16" s="140">
        <v>52.43</v>
      </c>
      <c r="AB16" s="140">
        <v>56.31</v>
      </c>
      <c r="AC16" s="140">
        <v>54.31</v>
      </c>
      <c r="AD16" s="140">
        <v>57.28</v>
      </c>
      <c r="AE16" s="140">
        <v>60.19</v>
      </c>
      <c r="AF16" s="140">
        <v>60.19</v>
      </c>
      <c r="AG16" s="140">
        <v>62.14</v>
      </c>
      <c r="AH16" s="140"/>
      <c r="AI16" s="27"/>
      <c r="AJ16" s="6"/>
    </row>
    <row r="17" spans="1:36" x14ac:dyDescent="0.3">
      <c r="A17" s="145"/>
      <c r="B17" s="24"/>
      <c r="C17" s="15" t="s">
        <v>23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40">
        <v>102.9</v>
      </c>
      <c r="Q17" s="140">
        <v>103.13</v>
      </c>
      <c r="R17" s="140">
        <v>106.94</v>
      </c>
      <c r="S17" s="140">
        <v>101.62</v>
      </c>
      <c r="T17" s="140"/>
      <c r="U17" s="140">
        <v>107.44</v>
      </c>
      <c r="V17" s="140"/>
      <c r="W17" s="140"/>
      <c r="X17" s="140">
        <v>107.83</v>
      </c>
      <c r="Y17" s="140">
        <v>106.75</v>
      </c>
      <c r="Z17" s="140">
        <v>106.67</v>
      </c>
      <c r="AA17" s="140">
        <v>106.2</v>
      </c>
      <c r="AB17" s="140">
        <v>105.38</v>
      </c>
      <c r="AC17" s="140">
        <v>104.73</v>
      </c>
      <c r="AD17" s="140">
        <v>104.8</v>
      </c>
      <c r="AE17" s="140">
        <v>104.17</v>
      </c>
      <c r="AF17" s="140">
        <v>105.25</v>
      </c>
      <c r="AG17" s="140">
        <v>107.22</v>
      </c>
      <c r="AH17" s="140"/>
      <c r="AI17" s="27"/>
      <c r="AJ17" s="6"/>
    </row>
    <row r="18" spans="1:36" ht="15" thickBot="1" x14ac:dyDescent="0.35">
      <c r="A18" s="145"/>
      <c r="B18" s="24"/>
      <c r="C18" s="15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40">
        <v>69.930000000000007</v>
      </c>
      <c r="Q18" s="140">
        <v>62.07</v>
      </c>
      <c r="R18" s="140">
        <v>67.489999999999995</v>
      </c>
      <c r="S18" s="140">
        <v>54.27</v>
      </c>
      <c r="T18" s="140"/>
      <c r="U18" s="140">
        <v>61.54</v>
      </c>
      <c r="V18" s="140"/>
      <c r="W18" s="140"/>
      <c r="X18" s="140">
        <v>68.05</v>
      </c>
      <c r="Y18" s="140">
        <v>67.37</v>
      </c>
      <c r="Z18" s="140">
        <v>59.03</v>
      </c>
      <c r="AA18" s="140">
        <v>55.68</v>
      </c>
      <c r="AB18" s="140">
        <v>59.34</v>
      </c>
      <c r="AC18" s="140">
        <v>58.97</v>
      </c>
      <c r="AD18" s="140">
        <v>60.03</v>
      </c>
      <c r="AE18" s="140">
        <v>62.7</v>
      </c>
      <c r="AF18" s="140">
        <v>63.35</v>
      </c>
      <c r="AG18" s="140">
        <v>66.63</v>
      </c>
      <c r="AH18" s="140"/>
      <c r="AI18" s="27"/>
      <c r="AJ18" s="6"/>
    </row>
    <row r="19" spans="1:36" ht="15" thickTop="1" x14ac:dyDescent="0.3">
      <c r="A19" s="2">
        <v>118</v>
      </c>
      <c r="B19" s="28" t="s">
        <v>25</v>
      </c>
      <c r="C19" s="29" t="s">
        <v>15</v>
      </c>
      <c r="D19" s="30">
        <v>96</v>
      </c>
      <c r="E19" s="30">
        <v>98</v>
      </c>
      <c r="F19" s="30">
        <v>106</v>
      </c>
      <c r="G19" s="30">
        <v>77</v>
      </c>
      <c r="H19" s="30">
        <v>92</v>
      </c>
      <c r="I19" s="30">
        <v>94</v>
      </c>
      <c r="J19" s="30">
        <v>85</v>
      </c>
      <c r="K19" s="30">
        <v>107</v>
      </c>
      <c r="L19" s="30">
        <v>111</v>
      </c>
      <c r="M19" s="30">
        <v>114</v>
      </c>
      <c r="N19" s="30">
        <v>109</v>
      </c>
      <c r="O19" s="30">
        <v>118</v>
      </c>
      <c r="P19" s="30">
        <v>118</v>
      </c>
      <c r="Q19" s="30">
        <v>118</v>
      </c>
      <c r="R19" s="30">
        <v>114</v>
      </c>
      <c r="S19" s="30">
        <v>115</v>
      </c>
      <c r="T19" s="30">
        <v>115</v>
      </c>
      <c r="U19" s="30">
        <v>70</v>
      </c>
      <c r="V19" s="30">
        <v>91</v>
      </c>
      <c r="W19" s="30">
        <v>85</v>
      </c>
      <c r="X19" s="30">
        <v>88</v>
      </c>
      <c r="Y19" s="30">
        <v>86</v>
      </c>
      <c r="Z19" s="30">
        <v>110</v>
      </c>
      <c r="AA19" s="30">
        <v>111</v>
      </c>
      <c r="AB19" s="30">
        <v>83</v>
      </c>
      <c r="AC19" s="30">
        <v>91</v>
      </c>
      <c r="AD19" s="30">
        <v>88</v>
      </c>
      <c r="AE19" s="30">
        <v>92</v>
      </c>
      <c r="AF19" s="30">
        <v>94</v>
      </c>
      <c r="AG19" s="30">
        <v>110</v>
      </c>
      <c r="AH19" s="30"/>
      <c r="AI19" s="89">
        <f>SUM(D19:AG19)</f>
        <v>2986</v>
      </c>
      <c r="AJ19" s="6"/>
    </row>
    <row r="20" spans="1:36" x14ac:dyDescent="0.3">
      <c r="A20" s="2"/>
      <c r="B20" s="33"/>
      <c r="C20" s="34" t="s">
        <v>16</v>
      </c>
      <c r="D20" s="35">
        <f>+D19/$A19</f>
        <v>0.81355932203389836</v>
      </c>
      <c r="E20" s="35">
        <f t="shared" ref="E20:AG20" si="14">+E19/$A19</f>
        <v>0.83050847457627119</v>
      </c>
      <c r="F20" s="35">
        <f t="shared" si="14"/>
        <v>0.89830508474576276</v>
      </c>
      <c r="G20" s="35">
        <f t="shared" si="14"/>
        <v>0.65254237288135597</v>
      </c>
      <c r="H20" s="35">
        <f t="shared" si="14"/>
        <v>0.77966101694915257</v>
      </c>
      <c r="I20" s="35">
        <f t="shared" si="14"/>
        <v>0.79661016949152541</v>
      </c>
      <c r="J20" s="35">
        <f t="shared" si="14"/>
        <v>0.72033898305084743</v>
      </c>
      <c r="K20" s="35">
        <f t="shared" si="14"/>
        <v>0.90677966101694918</v>
      </c>
      <c r="L20" s="35">
        <f t="shared" si="14"/>
        <v>0.94067796610169496</v>
      </c>
      <c r="M20" s="35">
        <f t="shared" si="14"/>
        <v>0.96610169491525422</v>
      </c>
      <c r="N20" s="35">
        <f t="shared" si="14"/>
        <v>0.92372881355932202</v>
      </c>
      <c r="O20" s="35">
        <f t="shared" si="14"/>
        <v>1</v>
      </c>
      <c r="P20" s="35">
        <f t="shared" si="14"/>
        <v>1</v>
      </c>
      <c r="Q20" s="35">
        <f t="shared" si="14"/>
        <v>1</v>
      </c>
      <c r="R20" s="35">
        <f t="shared" si="14"/>
        <v>0.96610169491525422</v>
      </c>
      <c r="S20" s="35">
        <f t="shared" si="14"/>
        <v>0.97457627118644063</v>
      </c>
      <c r="T20" s="35">
        <f t="shared" si="14"/>
        <v>0.97457627118644063</v>
      </c>
      <c r="U20" s="35">
        <f t="shared" si="14"/>
        <v>0.59322033898305082</v>
      </c>
      <c r="V20" s="35">
        <f t="shared" si="14"/>
        <v>0.77118644067796616</v>
      </c>
      <c r="W20" s="35">
        <f t="shared" si="14"/>
        <v>0.72033898305084743</v>
      </c>
      <c r="X20" s="35">
        <f t="shared" si="14"/>
        <v>0.74576271186440679</v>
      </c>
      <c r="Y20" s="35">
        <f t="shared" si="14"/>
        <v>0.72881355932203384</v>
      </c>
      <c r="Z20" s="35">
        <f t="shared" si="14"/>
        <v>0.93220338983050843</v>
      </c>
      <c r="AA20" s="35">
        <f t="shared" si="14"/>
        <v>0.94067796610169496</v>
      </c>
      <c r="AB20" s="35">
        <f t="shared" si="14"/>
        <v>0.70338983050847459</v>
      </c>
      <c r="AC20" s="35">
        <f t="shared" si="14"/>
        <v>0.77118644067796616</v>
      </c>
      <c r="AD20" s="35">
        <f t="shared" si="14"/>
        <v>0.74576271186440679</v>
      </c>
      <c r="AE20" s="35">
        <f t="shared" si="14"/>
        <v>0.77966101694915257</v>
      </c>
      <c r="AF20" s="35">
        <f t="shared" si="14"/>
        <v>0.79661016949152541</v>
      </c>
      <c r="AG20" s="35">
        <f t="shared" si="14"/>
        <v>0.93220338983050843</v>
      </c>
      <c r="AH20" s="35"/>
      <c r="AI20" s="36">
        <f>+AI19/(A19*A$1)</f>
        <v>0.84350282485875705</v>
      </c>
      <c r="AJ20" s="6"/>
    </row>
    <row r="21" spans="1:36" x14ac:dyDescent="0.3">
      <c r="A21" s="2"/>
      <c r="B21" s="33"/>
      <c r="C21" s="34" t="s">
        <v>17</v>
      </c>
      <c r="D21" s="37">
        <f t="shared" ref="D21:AG21" si="15">+IFERROR(D23/D19,0)</f>
        <v>81.25</v>
      </c>
      <c r="E21" s="37">
        <f t="shared" si="15"/>
        <v>87.826530612244895</v>
      </c>
      <c r="F21" s="37">
        <f t="shared" si="15"/>
        <v>89.660377358490564</v>
      </c>
      <c r="G21" s="37">
        <f t="shared" si="15"/>
        <v>84.259740259740255</v>
      </c>
      <c r="H21" s="37">
        <f t="shared" si="15"/>
        <v>79.804347826086953</v>
      </c>
      <c r="I21" s="37">
        <f t="shared" si="15"/>
        <v>83.25287234042554</v>
      </c>
      <c r="J21" s="37">
        <f t="shared" si="15"/>
        <v>84.752941176470586</v>
      </c>
      <c r="K21" s="37">
        <f t="shared" si="15"/>
        <v>88.738317757009341</v>
      </c>
      <c r="L21" s="37">
        <f t="shared" si="15"/>
        <v>96.117117117117118</v>
      </c>
      <c r="M21" s="37">
        <f t="shared" si="15"/>
        <v>98.271929824561397</v>
      </c>
      <c r="N21" s="37">
        <f t="shared" si="15"/>
        <v>87.559633027522935</v>
      </c>
      <c r="O21" s="37">
        <f t="shared" si="15"/>
        <v>86.516949152542367</v>
      </c>
      <c r="P21" s="37">
        <f t="shared" si="15"/>
        <v>86.398305084745758</v>
      </c>
      <c r="Q21" s="37">
        <f t="shared" si="15"/>
        <v>87.516949152542367</v>
      </c>
      <c r="R21" s="37">
        <f t="shared" si="15"/>
        <v>88.973684210526315</v>
      </c>
      <c r="S21" s="37">
        <f t="shared" si="15"/>
        <v>92.660869565217396</v>
      </c>
      <c r="T21" s="37">
        <f t="shared" si="15"/>
        <v>95.982608695652175</v>
      </c>
      <c r="U21" s="37">
        <f t="shared" si="15"/>
        <v>86.742857142857147</v>
      </c>
      <c r="V21" s="37">
        <f t="shared" si="15"/>
        <v>111.4065934065934</v>
      </c>
      <c r="W21" s="37">
        <f t="shared" si="15"/>
        <v>88.411764705882348</v>
      </c>
      <c r="X21" s="37">
        <f t="shared" si="15"/>
        <v>86.159090909090907</v>
      </c>
      <c r="Y21" s="37">
        <f t="shared" si="15"/>
        <v>87.081395348837205</v>
      </c>
      <c r="Z21" s="37">
        <f t="shared" si="15"/>
        <v>102.52727272727273</v>
      </c>
      <c r="AA21" s="37">
        <f t="shared" si="15"/>
        <v>100.55855855855856</v>
      </c>
      <c r="AB21" s="37">
        <f t="shared" si="15"/>
        <v>86.301204819277103</v>
      </c>
      <c r="AC21" s="37">
        <f t="shared" si="15"/>
        <v>84.780219780219781</v>
      </c>
      <c r="AD21" s="37">
        <f t="shared" si="15"/>
        <v>87.625</v>
      </c>
      <c r="AE21" s="37">
        <f t="shared" si="15"/>
        <v>85.75</v>
      </c>
      <c r="AF21" s="37">
        <f t="shared" si="15"/>
        <v>84.425531914893611</v>
      </c>
      <c r="AG21" s="37">
        <f t="shared" si="15"/>
        <v>93.118181818181824</v>
      </c>
      <c r="AH21" s="37"/>
      <c r="AI21" s="19">
        <f>+IFERROR(AI23/AI19,0)</f>
        <v>89.799989953114547</v>
      </c>
      <c r="AJ21" s="6"/>
    </row>
    <row r="22" spans="1:36" x14ac:dyDescent="0.3">
      <c r="A22" s="2"/>
      <c r="B22" s="33"/>
      <c r="C22" s="34" t="s">
        <v>18</v>
      </c>
      <c r="D22" s="37">
        <f>+D20*D21</f>
        <v>66.101694915254242</v>
      </c>
      <c r="E22" s="37">
        <f t="shared" ref="E22:AG22" si="16">+E20*E21</f>
        <v>72.940677966101688</v>
      </c>
      <c r="F22" s="37">
        <f t="shared" si="16"/>
        <v>80.542372881355931</v>
      </c>
      <c r="G22" s="37">
        <f t="shared" si="16"/>
        <v>54.983050847457626</v>
      </c>
      <c r="H22" s="37">
        <f t="shared" si="16"/>
        <v>62.220338983050844</v>
      </c>
      <c r="I22" s="37">
        <f t="shared" si="16"/>
        <v>66.320084745762713</v>
      </c>
      <c r="J22" s="37">
        <f t="shared" si="16"/>
        <v>61.050847457627114</v>
      </c>
      <c r="K22" s="37">
        <f t="shared" si="16"/>
        <v>80.466101694915253</v>
      </c>
      <c r="L22" s="37">
        <f t="shared" si="16"/>
        <v>90.415254237288138</v>
      </c>
      <c r="M22" s="37">
        <f t="shared" si="16"/>
        <v>94.940677966101688</v>
      </c>
      <c r="N22" s="37">
        <f t="shared" si="16"/>
        <v>80.881355932203391</v>
      </c>
      <c r="O22" s="37">
        <f t="shared" si="16"/>
        <v>86.516949152542367</v>
      </c>
      <c r="P22" s="37">
        <f t="shared" si="16"/>
        <v>86.398305084745758</v>
      </c>
      <c r="Q22" s="37">
        <f t="shared" si="16"/>
        <v>87.516949152542367</v>
      </c>
      <c r="R22" s="37">
        <f t="shared" si="16"/>
        <v>85.957627118644069</v>
      </c>
      <c r="S22" s="37">
        <f t="shared" si="16"/>
        <v>90.305084745762713</v>
      </c>
      <c r="T22" s="37">
        <f t="shared" si="16"/>
        <v>93.542372881355931</v>
      </c>
      <c r="U22" s="37">
        <f t="shared" si="16"/>
        <v>51.457627118644069</v>
      </c>
      <c r="V22" s="37">
        <f t="shared" si="16"/>
        <v>85.915254237288138</v>
      </c>
      <c r="W22" s="37">
        <f t="shared" si="16"/>
        <v>63.686440677966097</v>
      </c>
      <c r="X22" s="37">
        <f t="shared" si="16"/>
        <v>64.254237288135599</v>
      </c>
      <c r="Y22" s="37">
        <f t="shared" si="16"/>
        <v>63.466101694915245</v>
      </c>
      <c r="Z22" s="37">
        <f t="shared" si="16"/>
        <v>95.576271186440678</v>
      </c>
      <c r="AA22" s="37">
        <f t="shared" si="16"/>
        <v>94.593220338983059</v>
      </c>
      <c r="AB22" s="37">
        <f t="shared" si="16"/>
        <v>60.70338983050847</v>
      </c>
      <c r="AC22" s="37">
        <f t="shared" si="16"/>
        <v>65.381355932203391</v>
      </c>
      <c r="AD22" s="37">
        <f t="shared" si="16"/>
        <v>65.347457627118644</v>
      </c>
      <c r="AE22" s="37">
        <f t="shared" si="16"/>
        <v>66.855932203389827</v>
      </c>
      <c r="AF22" s="37">
        <f t="shared" si="16"/>
        <v>67.254237288135585</v>
      </c>
      <c r="AG22" s="37">
        <f t="shared" si="16"/>
        <v>86.805084745762713</v>
      </c>
      <c r="AH22" s="37"/>
      <c r="AI22" s="38">
        <f>+AI21*AI20</f>
        <v>75.746545197740119</v>
      </c>
      <c r="AJ22" s="6"/>
    </row>
    <row r="23" spans="1:36" x14ac:dyDescent="0.3">
      <c r="A23" s="2"/>
      <c r="B23" s="33"/>
      <c r="C23" s="34" t="s">
        <v>19</v>
      </c>
      <c r="D23" s="20">
        <v>7800</v>
      </c>
      <c r="E23" s="20">
        <v>8607</v>
      </c>
      <c r="F23" s="20">
        <v>9504</v>
      </c>
      <c r="G23" s="20">
        <v>6488</v>
      </c>
      <c r="H23" s="20">
        <v>7342</v>
      </c>
      <c r="I23" s="20">
        <v>7825.77</v>
      </c>
      <c r="J23" s="20">
        <v>7204</v>
      </c>
      <c r="K23" s="20">
        <v>9495</v>
      </c>
      <c r="L23" s="20">
        <v>10669</v>
      </c>
      <c r="M23" s="20">
        <v>11203</v>
      </c>
      <c r="N23" s="20">
        <v>9544</v>
      </c>
      <c r="O23" s="20">
        <v>10209</v>
      </c>
      <c r="P23" s="20">
        <v>10195</v>
      </c>
      <c r="Q23" s="20">
        <v>10327</v>
      </c>
      <c r="R23" s="20">
        <v>10143</v>
      </c>
      <c r="S23" s="20">
        <v>10656</v>
      </c>
      <c r="T23" s="20">
        <v>11038</v>
      </c>
      <c r="U23" s="20">
        <v>6072</v>
      </c>
      <c r="V23" s="20">
        <v>10138</v>
      </c>
      <c r="W23" s="20">
        <v>7515</v>
      </c>
      <c r="X23" s="20">
        <v>7582</v>
      </c>
      <c r="Y23" s="20">
        <v>7489</v>
      </c>
      <c r="Z23" s="20">
        <v>11278</v>
      </c>
      <c r="AA23" s="20">
        <v>11162</v>
      </c>
      <c r="AB23" s="20">
        <v>7163</v>
      </c>
      <c r="AC23" s="20">
        <v>7715</v>
      </c>
      <c r="AD23" s="20">
        <v>7711</v>
      </c>
      <c r="AE23" s="20">
        <v>7889</v>
      </c>
      <c r="AF23" s="20">
        <v>7936</v>
      </c>
      <c r="AG23" s="20">
        <v>10243</v>
      </c>
      <c r="AH23" s="20"/>
      <c r="AI23" s="39">
        <f>SUM(D23:AG23)</f>
        <v>268142.77</v>
      </c>
      <c r="AJ23" s="6"/>
    </row>
    <row r="24" spans="1:36" ht="16.350000000000001" customHeight="1" x14ac:dyDescent="0.3">
      <c r="A24" s="145"/>
      <c r="B24" s="40"/>
      <c r="C24" s="41" t="s">
        <v>20</v>
      </c>
      <c r="D24" s="42">
        <f>1544.64/D23</f>
        <v>0.19803076923076923</v>
      </c>
      <c r="E24" s="42">
        <f>1457.23/E23</f>
        <v>0.16930754037411411</v>
      </c>
      <c r="F24" s="42">
        <f>1168.16/F23</f>
        <v>0.12291245791245792</v>
      </c>
      <c r="G24" s="42">
        <f>1262.61/G23</f>
        <v>0.19460696670776817</v>
      </c>
      <c r="H24" s="42">
        <f>1359.39/H23</f>
        <v>0.18515254698992101</v>
      </c>
      <c r="I24" s="42">
        <f>1234.44/I23</f>
        <v>0.15774038848573366</v>
      </c>
      <c r="J24" s="42">
        <f>1324.34/J23</f>
        <v>0.1838339811215991</v>
      </c>
      <c r="K24" s="42">
        <f>1540.67/K23</f>
        <v>0.16226119010005266</v>
      </c>
      <c r="L24" s="42">
        <f>1382.27/L23</f>
        <v>0.12955947136563878</v>
      </c>
      <c r="M24" s="42">
        <f>1178.15/M23</f>
        <v>0.10516379541194323</v>
      </c>
      <c r="N24" s="42">
        <f>1299.63/N23</f>
        <v>0.13617246437552391</v>
      </c>
      <c r="O24" s="42">
        <f>1547.04/O23</f>
        <v>0.15153687922421394</v>
      </c>
      <c r="P24" s="42">
        <f>1355.77/P23</f>
        <v>0.13298381559588032</v>
      </c>
      <c r="Q24" s="42">
        <f>1355.77/Q23</f>
        <v>0.1312840127820277</v>
      </c>
      <c r="R24" s="42">
        <f>1595.18/R23</f>
        <v>0.15726905254855567</v>
      </c>
      <c r="S24" s="42">
        <f>1581.48/S23</f>
        <v>0.14841216216216216</v>
      </c>
      <c r="T24" s="42">
        <f>1151.48/T23</f>
        <v>0.10431962312013046</v>
      </c>
      <c r="U24" s="42">
        <f>1531.57/U23</f>
        <v>0.25223484848484845</v>
      </c>
      <c r="V24" s="42">
        <f>1208.02/V23</f>
        <v>0.11915762477806273</v>
      </c>
      <c r="W24" s="42">
        <v>0.13</v>
      </c>
      <c r="X24" s="42">
        <f>1172.4/X23</f>
        <v>0.15462938538644158</v>
      </c>
      <c r="Y24" s="42">
        <f>1268.28/Y23</f>
        <v>0.16935238349579382</v>
      </c>
      <c r="Z24" s="42">
        <f>1257.9/Z23</f>
        <v>0.11153573328604363</v>
      </c>
      <c r="AA24" s="42">
        <f>1295.86/AA23</f>
        <v>0.11609568177745923</v>
      </c>
      <c r="AB24" s="42">
        <f>1211.93/AB23</f>
        <v>0.16919307552701382</v>
      </c>
      <c r="AC24" s="42">
        <f>1297.47/AC23</f>
        <v>0.1681749837977965</v>
      </c>
      <c r="AD24" s="42"/>
      <c r="AE24" s="42"/>
      <c r="AF24" s="42"/>
      <c r="AG24" s="42"/>
      <c r="AH24" s="42"/>
      <c r="AI24" s="22">
        <f>SUM(D24:AG24)</f>
        <v>3.9609208340419531</v>
      </c>
      <c r="AJ24" s="6"/>
    </row>
    <row r="25" spans="1:36" ht="16.350000000000001" customHeight="1" x14ac:dyDescent="0.3">
      <c r="A25" s="145"/>
      <c r="B25" s="40"/>
      <c r="C25" s="41" t="s">
        <v>22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7">
        <v>93.22</v>
      </c>
      <c r="Q25" s="37">
        <v>94.07</v>
      </c>
      <c r="R25" s="37">
        <v>89.93</v>
      </c>
      <c r="S25" s="37">
        <v>84.75</v>
      </c>
      <c r="T25" s="37"/>
      <c r="U25" s="37"/>
      <c r="V25" s="37"/>
      <c r="W25" s="37">
        <v>50.85</v>
      </c>
      <c r="X25" s="37">
        <v>56.78</v>
      </c>
      <c r="Y25" s="37">
        <v>58.47</v>
      </c>
      <c r="Z25" s="37">
        <v>59.32</v>
      </c>
      <c r="AA25" s="37">
        <v>60.17</v>
      </c>
      <c r="AB25" s="140">
        <v>62.71</v>
      </c>
      <c r="AC25" s="37">
        <v>63.56</v>
      </c>
      <c r="AD25" s="37"/>
      <c r="AE25" s="37">
        <v>58.47</v>
      </c>
      <c r="AF25" s="37"/>
      <c r="AG25" s="37">
        <v>52.54</v>
      </c>
      <c r="AH25" s="37"/>
      <c r="AI25" s="22"/>
      <c r="AJ25" s="6"/>
    </row>
    <row r="26" spans="1:36" ht="16.350000000000001" customHeight="1" x14ac:dyDescent="0.3">
      <c r="A26" s="145"/>
      <c r="B26" s="40"/>
      <c r="C26" s="41" t="s">
        <v>23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7">
        <v>86.36</v>
      </c>
      <c r="Q26" s="37">
        <v>87.79</v>
      </c>
      <c r="R26" s="37">
        <v>88.17</v>
      </c>
      <c r="S26" s="37">
        <v>89.61</v>
      </c>
      <c r="T26" s="37"/>
      <c r="U26" s="37"/>
      <c r="V26" s="37"/>
      <c r="W26" s="37">
        <v>87.64</v>
      </c>
      <c r="X26" s="37">
        <v>87.6</v>
      </c>
      <c r="Y26" s="37">
        <v>85.91</v>
      </c>
      <c r="Z26" s="37">
        <v>97.23</v>
      </c>
      <c r="AA26" s="37">
        <v>98.06</v>
      </c>
      <c r="AB26" s="140">
        <v>86.74</v>
      </c>
      <c r="AC26" s="37">
        <v>86.57</v>
      </c>
      <c r="AD26" s="37"/>
      <c r="AE26" s="37">
        <v>85.76</v>
      </c>
      <c r="AF26" s="37"/>
      <c r="AG26" s="37">
        <v>94.93</v>
      </c>
      <c r="AH26" s="37"/>
      <c r="AI26" s="22"/>
      <c r="AJ26" s="6"/>
    </row>
    <row r="27" spans="1:36" ht="16.350000000000001" customHeight="1" thickBot="1" x14ac:dyDescent="0.35">
      <c r="A27" s="145"/>
      <c r="B27" s="40"/>
      <c r="C27" s="41" t="s">
        <v>24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7">
        <v>80.5</v>
      </c>
      <c r="Q27" s="37">
        <v>82.58</v>
      </c>
      <c r="R27" s="37">
        <v>79.2</v>
      </c>
      <c r="S27" s="37">
        <v>75.94</v>
      </c>
      <c r="T27" s="37"/>
      <c r="U27" s="37"/>
      <c r="V27" s="37"/>
      <c r="W27" s="37">
        <v>44.56</v>
      </c>
      <c r="X27" s="37">
        <v>49.74</v>
      </c>
      <c r="Y27" s="37">
        <v>50.23</v>
      </c>
      <c r="Z27" s="37">
        <v>57.68</v>
      </c>
      <c r="AA27" s="37">
        <v>59</v>
      </c>
      <c r="AB27" s="140">
        <v>54.39</v>
      </c>
      <c r="AC27" s="37">
        <v>55.02</v>
      </c>
      <c r="AD27" s="37"/>
      <c r="AE27" s="37">
        <v>50.14</v>
      </c>
      <c r="AF27" s="37"/>
      <c r="AG27" s="37">
        <v>49.88</v>
      </c>
      <c r="AH27" s="37"/>
      <c r="AI27" s="22"/>
      <c r="AJ27" s="6"/>
    </row>
    <row r="28" spans="1:36" ht="15" thickTop="1" x14ac:dyDescent="0.3">
      <c r="A28" s="2">
        <v>99</v>
      </c>
      <c r="B28" s="45" t="s">
        <v>26</v>
      </c>
      <c r="C28" s="46" t="s">
        <v>15</v>
      </c>
      <c r="D28" s="11">
        <v>89</v>
      </c>
      <c r="E28" s="11">
        <v>90</v>
      </c>
      <c r="F28" s="11">
        <v>87</v>
      </c>
      <c r="G28" s="11">
        <v>84</v>
      </c>
      <c r="H28" s="11">
        <v>89</v>
      </c>
      <c r="I28" s="11">
        <v>84</v>
      </c>
      <c r="J28" s="11">
        <v>90</v>
      </c>
      <c r="K28" s="11">
        <v>88</v>
      </c>
      <c r="L28" s="11">
        <v>91</v>
      </c>
      <c r="M28" s="11">
        <v>94</v>
      </c>
      <c r="N28" s="11">
        <v>93</v>
      </c>
      <c r="O28" s="11">
        <v>80</v>
      </c>
      <c r="P28" s="11">
        <v>84</v>
      </c>
      <c r="Q28" s="11">
        <v>82</v>
      </c>
      <c r="R28" s="11">
        <v>82</v>
      </c>
      <c r="S28" s="11">
        <v>90</v>
      </c>
      <c r="T28" s="11">
        <v>89</v>
      </c>
      <c r="U28" s="11">
        <v>76</v>
      </c>
      <c r="V28" s="11">
        <v>80</v>
      </c>
      <c r="W28" s="11">
        <v>81</v>
      </c>
      <c r="X28" s="11">
        <v>77</v>
      </c>
      <c r="Y28" s="11">
        <v>78</v>
      </c>
      <c r="Z28" s="11">
        <v>90</v>
      </c>
      <c r="AA28" s="11">
        <v>90</v>
      </c>
      <c r="AB28" s="11">
        <v>84</v>
      </c>
      <c r="AC28" s="11">
        <v>74</v>
      </c>
      <c r="AD28" s="11">
        <v>72</v>
      </c>
      <c r="AE28" s="11">
        <v>67</v>
      </c>
      <c r="AF28" s="11">
        <v>78</v>
      </c>
      <c r="AG28" s="11">
        <v>93</v>
      </c>
      <c r="AH28" s="11"/>
      <c r="AI28" s="13">
        <f>SUM(D28:AG28)</f>
        <v>2526</v>
      </c>
      <c r="AJ28" s="6"/>
    </row>
    <row r="29" spans="1:36" x14ac:dyDescent="0.3">
      <c r="A29" s="2"/>
      <c r="B29" s="14"/>
      <c r="C29" s="15" t="s">
        <v>16</v>
      </c>
      <c r="D29" s="16">
        <f t="shared" ref="D29:AG29" si="17">+D28/$A28</f>
        <v>0.89898989898989901</v>
      </c>
      <c r="E29" s="16">
        <f t="shared" si="17"/>
        <v>0.90909090909090906</v>
      </c>
      <c r="F29" s="16">
        <f t="shared" si="17"/>
        <v>0.87878787878787878</v>
      </c>
      <c r="G29" s="16">
        <f t="shared" si="17"/>
        <v>0.84848484848484851</v>
      </c>
      <c r="H29" s="16">
        <f t="shared" si="17"/>
        <v>0.89898989898989901</v>
      </c>
      <c r="I29" s="16">
        <f t="shared" si="17"/>
        <v>0.84848484848484851</v>
      </c>
      <c r="J29" s="16">
        <f t="shared" si="17"/>
        <v>0.90909090909090906</v>
      </c>
      <c r="K29" s="16">
        <f t="shared" si="17"/>
        <v>0.88888888888888884</v>
      </c>
      <c r="L29" s="16">
        <f t="shared" si="17"/>
        <v>0.91919191919191923</v>
      </c>
      <c r="M29" s="16">
        <f t="shared" si="17"/>
        <v>0.9494949494949495</v>
      </c>
      <c r="N29" s="16">
        <f t="shared" si="17"/>
        <v>0.93939393939393945</v>
      </c>
      <c r="O29" s="16">
        <f t="shared" si="17"/>
        <v>0.80808080808080807</v>
      </c>
      <c r="P29" s="16">
        <f t="shared" si="17"/>
        <v>0.84848484848484851</v>
      </c>
      <c r="Q29" s="16">
        <f t="shared" si="17"/>
        <v>0.82828282828282829</v>
      </c>
      <c r="R29" s="16">
        <f t="shared" si="17"/>
        <v>0.82828282828282829</v>
      </c>
      <c r="S29" s="16">
        <f t="shared" si="17"/>
        <v>0.90909090909090906</v>
      </c>
      <c r="T29" s="16">
        <f t="shared" si="17"/>
        <v>0.89898989898989901</v>
      </c>
      <c r="U29" s="16">
        <f t="shared" si="17"/>
        <v>0.76767676767676762</v>
      </c>
      <c r="V29" s="16">
        <f t="shared" si="17"/>
        <v>0.80808080808080807</v>
      </c>
      <c r="W29" s="16">
        <f t="shared" si="17"/>
        <v>0.81818181818181823</v>
      </c>
      <c r="X29" s="16">
        <f t="shared" si="17"/>
        <v>0.77777777777777779</v>
      </c>
      <c r="Y29" s="16">
        <f t="shared" si="17"/>
        <v>0.78787878787878785</v>
      </c>
      <c r="Z29" s="16">
        <f t="shared" si="17"/>
        <v>0.90909090909090906</v>
      </c>
      <c r="AA29" s="16">
        <f t="shared" si="17"/>
        <v>0.90909090909090906</v>
      </c>
      <c r="AB29" s="16">
        <f t="shared" si="17"/>
        <v>0.84848484848484851</v>
      </c>
      <c r="AC29" s="16">
        <f t="shared" si="17"/>
        <v>0.74747474747474751</v>
      </c>
      <c r="AD29" s="16">
        <f t="shared" si="17"/>
        <v>0.72727272727272729</v>
      </c>
      <c r="AE29" s="16">
        <f t="shared" si="17"/>
        <v>0.6767676767676768</v>
      </c>
      <c r="AF29" s="16">
        <f t="shared" si="17"/>
        <v>0.78787878787878785</v>
      </c>
      <c r="AG29" s="16">
        <f t="shared" si="17"/>
        <v>0.93939393939393945</v>
      </c>
      <c r="AH29" s="16"/>
      <c r="AI29" s="17">
        <f>+AI28/(A28*A$1)</f>
        <v>0.85050505050505054</v>
      </c>
      <c r="AJ29" s="6"/>
    </row>
    <row r="30" spans="1:36" x14ac:dyDescent="0.3">
      <c r="A30" s="2"/>
      <c r="B30" s="14"/>
      <c r="C30" s="15" t="s">
        <v>17</v>
      </c>
      <c r="D30" s="18">
        <f t="shared" ref="D30:AG30" si="18">+IFERROR(D32/D28,0)</f>
        <v>102.74157303370787</v>
      </c>
      <c r="E30" s="18">
        <f t="shared" si="18"/>
        <v>102.76666666666667</v>
      </c>
      <c r="F30" s="18">
        <f t="shared" si="18"/>
        <v>100.89655172413794</v>
      </c>
      <c r="G30" s="18">
        <f t="shared" si="18"/>
        <v>101.69047619047619</v>
      </c>
      <c r="H30" s="18">
        <f t="shared" si="18"/>
        <v>103.15730337078652</v>
      </c>
      <c r="I30" s="18">
        <f t="shared" si="18"/>
        <v>101.67857142857143</v>
      </c>
      <c r="J30" s="18">
        <f t="shared" si="18"/>
        <v>103.26666666666667</v>
      </c>
      <c r="K30" s="18">
        <f t="shared" si="18"/>
        <v>102.80681818181819</v>
      </c>
      <c r="L30" s="18">
        <f t="shared" si="18"/>
        <v>102.1978021978022</v>
      </c>
      <c r="M30" s="18">
        <f t="shared" si="18"/>
        <v>102.47872340425532</v>
      </c>
      <c r="N30" s="18">
        <f t="shared" si="18"/>
        <v>101.47311827956989</v>
      </c>
      <c r="O30" s="18">
        <f t="shared" si="18"/>
        <v>103.43125000000001</v>
      </c>
      <c r="P30" s="18">
        <f t="shared" si="18"/>
        <v>106.38095238095238</v>
      </c>
      <c r="Q30" s="18">
        <f t="shared" si="18"/>
        <v>103.53658536585365</v>
      </c>
      <c r="R30" s="18">
        <f t="shared" si="18"/>
        <v>102.91463414634147</v>
      </c>
      <c r="S30" s="18">
        <f t="shared" si="18"/>
        <v>108.66666666666667</v>
      </c>
      <c r="T30" s="18">
        <f t="shared" si="18"/>
        <v>106.8314606741573</v>
      </c>
      <c r="U30" s="18">
        <f t="shared" si="18"/>
        <v>107.64473684210526</v>
      </c>
      <c r="V30" s="18">
        <f t="shared" si="18"/>
        <v>87.625</v>
      </c>
      <c r="W30" s="18">
        <f t="shared" si="18"/>
        <v>103.16049382716049</v>
      </c>
      <c r="X30" s="18">
        <f t="shared" si="18"/>
        <v>105.90909090909091</v>
      </c>
      <c r="Y30" s="18">
        <f t="shared" si="18"/>
        <v>123.62820512820512</v>
      </c>
      <c r="Z30" s="18">
        <f t="shared" si="18"/>
        <v>110.84444444444445</v>
      </c>
      <c r="AA30" s="18">
        <f t="shared" si="18"/>
        <v>113.58888888888889</v>
      </c>
      <c r="AB30" s="18">
        <f t="shared" si="18"/>
        <v>103.01190476190476</v>
      </c>
      <c r="AC30" s="18">
        <f t="shared" si="18"/>
        <v>102.44594594594595</v>
      </c>
      <c r="AD30" s="18">
        <f t="shared" si="18"/>
        <v>103.52777777777777</v>
      </c>
      <c r="AE30" s="18">
        <f t="shared" si="18"/>
        <v>107.1044776119403</v>
      </c>
      <c r="AF30" s="18">
        <f t="shared" si="18"/>
        <v>105.01282051282051</v>
      </c>
      <c r="AG30" s="18">
        <f t="shared" si="18"/>
        <v>103.60215053763442</v>
      </c>
      <c r="AH30" s="18"/>
      <c r="AI30" s="19">
        <f>+AI32/AI28</f>
        <v>104.43685669041963</v>
      </c>
      <c r="AJ30" s="6"/>
    </row>
    <row r="31" spans="1:36" x14ac:dyDescent="0.3">
      <c r="A31" s="2"/>
      <c r="B31" s="14"/>
      <c r="C31" s="15" t="s">
        <v>18</v>
      </c>
      <c r="D31" s="18">
        <f t="shared" ref="D31:AG31" si="19">+D29*D30</f>
        <v>92.36363636363636</v>
      </c>
      <c r="E31" s="18">
        <f t="shared" si="19"/>
        <v>93.424242424242422</v>
      </c>
      <c r="F31" s="18">
        <f t="shared" si="19"/>
        <v>88.666666666666671</v>
      </c>
      <c r="G31" s="18">
        <f t="shared" si="19"/>
        <v>86.282828282828291</v>
      </c>
      <c r="H31" s="18">
        <f t="shared" si="19"/>
        <v>92.737373737373744</v>
      </c>
      <c r="I31" s="18">
        <f t="shared" si="19"/>
        <v>86.27272727272728</v>
      </c>
      <c r="J31" s="18">
        <f t="shared" si="19"/>
        <v>93.878787878787875</v>
      </c>
      <c r="K31" s="18">
        <f t="shared" si="19"/>
        <v>91.383838383838381</v>
      </c>
      <c r="L31" s="18">
        <f t="shared" si="19"/>
        <v>93.939393939393952</v>
      </c>
      <c r="M31" s="18">
        <f t="shared" si="19"/>
        <v>97.303030303030297</v>
      </c>
      <c r="N31" s="18">
        <f t="shared" si="19"/>
        <v>95.323232323232318</v>
      </c>
      <c r="O31" s="18">
        <f t="shared" si="19"/>
        <v>83.580808080808083</v>
      </c>
      <c r="P31" s="18">
        <f t="shared" si="19"/>
        <v>90.26262626262627</v>
      </c>
      <c r="Q31" s="18">
        <f t="shared" si="19"/>
        <v>85.757575757575751</v>
      </c>
      <c r="R31" s="18">
        <f t="shared" si="19"/>
        <v>85.242424242424249</v>
      </c>
      <c r="S31" s="18">
        <f t="shared" si="19"/>
        <v>98.787878787878782</v>
      </c>
      <c r="T31" s="18">
        <f t="shared" si="19"/>
        <v>96.040404040404042</v>
      </c>
      <c r="U31" s="18">
        <f t="shared" si="19"/>
        <v>82.636363636363626</v>
      </c>
      <c r="V31" s="18">
        <f t="shared" si="19"/>
        <v>70.808080808080803</v>
      </c>
      <c r="W31" s="18">
        <f t="shared" si="19"/>
        <v>84.404040404040416</v>
      </c>
      <c r="X31" s="18">
        <f t="shared" si="19"/>
        <v>82.37373737373737</v>
      </c>
      <c r="Y31" s="18">
        <f t="shared" si="19"/>
        <v>97.404040404040401</v>
      </c>
      <c r="Z31" s="18">
        <f t="shared" si="19"/>
        <v>100.76767676767676</v>
      </c>
      <c r="AA31" s="18">
        <f t="shared" si="19"/>
        <v>103.26262626262626</v>
      </c>
      <c r="AB31" s="18">
        <f t="shared" si="19"/>
        <v>87.404040404040401</v>
      </c>
      <c r="AC31" s="18">
        <f t="shared" si="19"/>
        <v>76.575757575757578</v>
      </c>
      <c r="AD31" s="18">
        <f t="shared" si="19"/>
        <v>75.292929292929287</v>
      </c>
      <c r="AE31" s="18">
        <f t="shared" si="19"/>
        <v>72.484848484848484</v>
      </c>
      <c r="AF31" s="18">
        <f t="shared" si="19"/>
        <v>82.73737373737373</v>
      </c>
      <c r="AG31" s="18">
        <f t="shared" si="19"/>
        <v>97.323232323232332</v>
      </c>
      <c r="AH31" s="18"/>
      <c r="AI31" s="19">
        <f>+AI30*AI29</f>
        <v>88.824074074074076</v>
      </c>
      <c r="AJ31" s="6"/>
    </row>
    <row r="32" spans="1:36" x14ac:dyDescent="0.3">
      <c r="A32" s="2"/>
      <c r="B32" s="33"/>
      <c r="C32" s="34" t="s">
        <v>19</v>
      </c>
      <c r="D32" s="20">
        <v>9144</v>
      </c>
      <c r="E32" s="20">
        <v>9249</v>
      </c>
      <c r="F32" s="20">
        <v>8778</v>
      </c>
      <c r="G32" s="20">
        <v>8542</v>
      </c>
      <c r="H32" s="20">
        <v>9181</v>
      </c>
      <c r="I32" s="20">
        <v>8541</v>
      </c>
      <c r="J32" s="20">
        <v>9294</v>
      </c>
      <c r="K32" s="20">
        <v>9047</v>
      </c>
      <c r="L32" s="20">
        <v>9300</v>
      </c>
      <c r="M32" s="20">
        <v>9633</v>
      </c>
      <c r="N32" s="20">
        <v>9437</v>
      </c>
      <c r="O32" s="20">
        <v>8274.5</v>
      </c>
      <c r="P32" s="20">
        <v>8936</v>
      </c>
      <c r="Q32" s="20">
        <v>8490</v>
      </c>
      <c r="R32" s="20">
        <v>8439</v>
      </c>
      <c r="S32" s="20">
        <v>9780</v>
      </c>
      <c r="T32" s="20">
        <v>9508</v>
      </c>
      <c r="U32" s="20">
        <v>8181</v>
      </c>
      <c r="V32" s="20">
        <v>7010</v>
      </c>
      <c r="W32" s="20">
        <v>8356</v>
      </c>
      <c r="X32" s="20">
        <v>8155</v>
      </c>
      <c r="Y32" s="20">
        <v>9643</v>
      </c>
      <c r="Z32" s="20">
        <v>9976</v>
      </c>
      <c r="AA32" s="20">
        <v>10223</v>
      </c>
      <c r="AB32" s="20">
        <v>8653</v>
      </c>
      <c r="AC32" s="20">
        <v>7581</v>
      </c>
      <c r="AD32" s="20">
        <v>7454</v>
      </c>
      <c r="AE32" s="20">
        <v>7176</v>
      </c>
      <c r="AF32" s="20">
        <v>8191</v>
      </c>
      <c r="AG32" s="20">
        <v>9635</v>
      </c>
      <c r="AH32" s="20"/>
      <c r="AI32" s="39">
        <f>SUM(D32:AG32)</f>
        <v>263807.5</v>
      </c>
      <c r="AJ32" s="6"/>
    </row>
    <row r="33" spans="1:36" ht="15" thickBot="1" x14ac:dyDescent="0.35">
      <c r="A33" s="145"/>
      <c r="B33" s="24"/>
      <c r="C33" s="15" t="s">
        <v>20</v>
      </c>
      <c r="D33" s="25">
        <f>997.13/D32</f>
        <v>0.10904746281714786</v>
      </c>
      <c r="E33" s="25">
        <f>655.17/E32</f>
        <v>7.0836847226727215E-2</v>
      </c>
      <c r="F33" s="25">
        <f>840.2/F32</f>
        <v>9.5716564137616769E-2</v>
      </c>
      <c r="G33" s="25">
        <f>831.5/G32</f>
        <v>9.7342542730039797E-2</v>
      </c>
      <c r="H33" s="25">
        <f>824.57/H32</f>
        <v>8.9812656573358032E-2</v>
      </c>
      <c r="I33" s="25">
        <f>1018.95/I32</f>
        <v>0.11930101861608712</v>
      </c>
      <c r="J33" s="25">
        <f>1155.17/J32</f>
        <v>0.12429201635463741</v>
      </c>
      <c r="K33" s="25">
        <f>842.01/K32</f>
        <v>9.3070631148446992E-2</v>
      </c>
      <c r="L33" s="25">
        <f>1039.66/L32</f>
        <v>0.11179139784946238</v>
      </c>
      <c r="M33" s="25">
        <f>910.4/M32</f>
        <v>9.4508460500363337E-2</v>
      </c>
      <c r="N33" s="25">
        <f>821.64/N32</f>
        <v>8.7065804810850911E-2</v>
      </c>
      <c r="O33" s="25">
        <f>979.17/O32</f>
        <v>0.11833585110882833</v>
      </c>
      <c r="P33" s="25">
        <f>1083.12/P32</f>
        <v>0.12120859444941808</v>
      </c>
      <c r="Q33" s="25">
        <f>876.8/Q32</f>
        <v>0.10327444051825677</v>
      </c>
      <c r="R33" s="25">
        <f>1019.67/R32</f>
        <v>0.12082829719161038</v>
      </c>
      <c r="S33" s="25">
        <f>1187.98/S32</f>
        <v>0.12147034764826176</v>
      </c>
      <c r="T33" s="25">
        <f>636.2/T32</f>
        <v>6.6912074042911232E-2</v>
      </c>
      <c r="U33" s="25">
        <f>511.82/U32</f>
        <v>6.2562033981175894E-2</v>
      </c>
      <c r="V33" s="25">
        <f>740.07/V32</f>
        <v>0.10557346647646221</v>
      </c>
      <c r="W33" s="25">
        <v>0.1</v>
      </c>
      <c r="X33" s="25">
        <f>1016.72/X32</f>
        <v>0.12467443286327407</v>
      </c>
      <c r="Y33" s="25">
        <f>1203.96/Y32</f>
        <v>0.12485326143316396</v>
      </c>
      <c r="Z33" s="25">
        <f>1144.04/Z32</f>
        <v>0.11467923015236567</v>
      </c>
      <c r="AA33" s="25">
        <f>1144.04/AA32</f>
        <v>0.11190844174899736</v>
      </c>
      <c r="AB33" s="25">
        <f>475.75/AB32</f>
        <v>5.498093146885473E-2</v>
      </c>
      <c r="AC33" s="25">
        <f>1041.78/AC32</f>
        <v>0.13741986545310644</v>
      </c>
      <c r="AD33" s="25"/>
      <c r="AE33" s="25"/>
      <c r="AF33" s="25"/>
      <c r="AG33" s="25"/>
      <c r="AH33" s="25"/>
      <c r="AI33" s="27">
        <f>IFERROR(AVERAGE(D33:AG33),0)</f>
        <v>0.10313333351159328</v>
      </c>
      <c r="AJ33" s="6"/>
    </row>
    <row r="34" spans="1:36" ht="15" thickTop="1" x14ac:dyDescent="0.3">
      <c r="A34" s="2">
        <v>151</v>
      </c>
      <c r="B34" s="28" t="s">
        <v>27</v>
      </c>
      <c r="C34" s="29" t="s">
        <v>15</v>
      </c>
      <c r="D34" s="30">
        <v>101</v>
      </c>
      <c r="E34" s="30">
        <v>105</v>
      </c>
      <c r="F34" s="30">
        <v>108</v>
      </c>
      <c r="G34" s="30">
        <v>69</v>
      </c>
      <c r="H34" s="30">
        <v>82</v>
      </c>
      <c r="I34" s="30">
        <v>80</v>
      </c>
      <c r="J34" s="30">
        <v>88</v>
      </c>
      <c r="K34" s="30">
        <v>95</v>
      </c>
      <c r="L34" s="30">
        <v>129</v>
      </c>
      <c r="M34" s="30">
        <v>141</v>
      </c>
      <c r="N34" s="30">
        <v>77</v>
      </c>
      <c r="O34" s="30">
        <v>63</v>
      </c>
      <c r="P34" s="30">
        <v>78</v>
      </c>
      <c r="Q34" s="30">
        <v>81</v>
      </c>
      <c r="R34" s="30">
        <v>100</v>
      </c>
      <c r="S34" s="30">
        <v>124</v>
      </c>
      <c r="T34" s="30">
        <v>130</v>
      </c>
      <c r="U34" s="30">
        <v>70</v>
      </c>
      <c r="V34" s="30">
        <v>76</v>
      </c>
      <c r="W34" s="30">
        <v>86</v>
      </c>
      <c r="X34" s="30">
        <v>87</v>
      </c>
      <c r="Y34" s="30">
        <v>90</v>
      </c>
      <c r="Z34" s="30">
        <v>85</v>
      </c>
      <c r="AA34" s="30">
        <v>104</v>
      </c>
      <c r="AB34" s="30">
        <v>81</v>
      </c>
      <c r="AC34" s="30">
        <v>68</v>
      </c>
      <c r="AD34" s="30">
        <v>86</v>
      </c>
      <c r="AE34" s="30">
        <v>77</v>
      </c>
      <c r="AF34" s="30">
        <v>87</v>
      </c>
      <c r="AG34" s="30">
        <v>93</v>
      </c>
      <c r="AH34" s="30"/>
      <c r="AI34" s="32">
        <f>SUM(D34:AG34)</f>
        <v>2741</v>
      </c>
      <c r="AJ34" s="6"/>
    </row>
    <row r="35" spans="1:36" x14ac:dyDescent="0.3">
      <c r="A35" s="2"/>
      <c r="B35" s="33"/>
      <c r="C35" s="34" t="s">
        <v>16</v>
      </c>
      <c r="D35" s="35">
        <f t="shared" ref="D35:AG35" si="20">+D34/$A34</f>
        <v>0.66887417218543044</v>
      </c>
      <c r="E35" s="35">
        <f t="shared" si="20"/>
        <v>0.69536423841059603</v>
      </c>
      <c r="F35" s="35">
        <f t="shared" si="20"/>
        <v>0.71523178807947019</v>
      </c>
      <c r="G35" s="35">
        <f t="shared" si="20"/>
        <v>0.45695364238410596</v>
      </c>
      <c r="H35" s="35">
        <f t="shared" si="20"/>
        <v>0.54304635761589404</v>
      </c>
      <c r="I35" s="35">
        <f t="shared" si="20"/>
        <v>0.5298013245033113</v>
      </c>
      <c r="J35" s="35">
        <f t="shared" si="20"/>
        <v>0.58278145695364236</v>
      </c>
      <c r="K35" s="35">
        <f t="shared" si="20"/>
        <v>0.62913907284768211</v>
      </c>
      <c r="L35" s="35">
        <f t="shared" si="20"/>
        <v>0.85430463576158944</v>
      </c>
      <c r="M35" s="35">
        <f t="shared" si="20"/>
        <v>0.93377483443708609</v>
      </c>
      <c r="N35" s="35">
        <f t="shared" si="20"/>
        <v>0.50993377483443714</v>
      </c>
      <c r="O35" s="35">
        <f t="shared" si="20"/>
        <v>0.41721854304635764</v>
      </c>
      <c r="P35" s="35">
        <f t="shared" si="20"/>
        <v>0.51655629139072845</v>
      </c>
      <c r="Q35" s="35">
        <f t="shared" si="20"/>
        <v>0.53642384105960261</v>
      </c>
      <c r="R35" s="35">
        <f t="shared" si="20"/>
        <v>0.66225165562913912</v>
      </c>
      <c r="S35" s="35">
        <f t="shared" si="20"/>
        <v>0.82119205298013243</v>
      </c>
      <c r="T35" s="35">
        <f t="shared" si="20"/>
        <v>0.86092715231788075</v>
      </c>
      <c r="U35" s="35">
        <f t="shared" si="20"/>
        <v>0.46357615894039733</v>
      </c>
      <c r="V35" s="35">
        <f t="shared" si="20"/>
        <v>0.50331125827814571</v>
      </c>
      <c r="W35" s="35">
        <f t="shared" si="20"/>
        <v>0.56953642384105962</v>
      </c>
      <c r="X35" s="35">
        <f t="shared" si="20"/>
        <v>0.57615894039735094</v>
      </c>
      <c r="Y35" s="35">
        <f t="shared" si="20"/>
        <v>0.59602649006622521</v>
      </c>
      <c r="Z35" s="35">
        <f t="shared" si="20"/>
        <v>0.5629139072847682</v>
      </c>
      <c r="AA35" s="35">
        <f t="shared" si="20"/>
        <v>0.6887417218543046</v>
      </c>
      <c r="AB35" s="35">
        <f t="shared" si="20"/>
        <v>0.53642384105960261</v>
      </c>
      <c r="AC35" s="35">
        <f t="shared" si="20"/>
        <v>0.45033112582781459</v>
      </c>
      <c r="AD35" s="35">
        <f t="shared" si="20"/>
        <v>0.56953642384105962</v>
      </c>
      <c r="AE35" s="35">
        <f t="shared" si="20"/>
        <v>0.50993377483443714</v>
      </c>
      <c r="AF35" s="35">
        <f t="shared" si="20"/>
        <v>0.57615894039735094</v>
      </c>
      <c r="AG35" s="35">
        <f t="shared" si="20"/>
        <v>0.61589403973509937</v>
      </c>
      <c r="AH35" s="35"/>
      <c r="AI35" s="36">
        <f>+AI34/(A34*A$1)</f>
        <v>0.60507726269315676</v>
      </c>
      <c r="AJ35" s="6"/>
    </row>
    <row r="36" spans="1:36" x14ac:dyDescent="0.3">
      <c r="A36" s="2"/>
      <c r="B36" s="33"/>
      <c r="C36" s="34" t="s">
        <v>17</v>
      </c>
      <c r="D36" s="37">
        <f t="shared" ref="D36:AG36" si="21">+IFERROR(D38/D34,0)</f>
        <v>95.960396039603964</v>
      </c>
      <c r="E36" s="37">
        <f t="shared" si="21"/>
        <v>102.75238095238095</v>
      </c>
      <c r="F36" s="37">
        <f t="shared" si="21"/>
        <v>103.87037037037037</v>
      </c>
      <c r="G36" s="37">
        <f t="shared" si="21"/>
        <v>93.85507246376811</v>
      </c>
      <c r="H36" s="37">
        <f t="shared" si="21"/>
        <v>43.719512195121951</v>
      </c>
      <c r="I36" s="37">
        <f t="shared" si="21"/>
        <v>95.55</v>
      </c>
      <c r="J36" s="37">
        <f t="shared" si="21"/>
        <v>97.943181818181813</v>
      </c>
      <c r="K36" s="37">
        <f t="shared" si="21"/>
        <v>95.463157894736838</v>
      </c>
      <c r="L36" s="37">
        <f t="shared" si="21"/>
        <v>109.88372093023256</v>
      </c>
      <c r="M36" s="37">
        <f t="shared" si="21"/>
        <v>119.51773049645391</v>
      </c>
      <c r="N36" s="37">
        <f t="shared" si="21"/>
        <v>108.41558441558442</v>
      </c>
      <c r="O36" s="37">
        <f t="shared" si="21"/>
        <v>103.82539682539682</v>
      </c>
      <c r="P36" s="37">
        <f t="shared" si="21"/>
        <v>101.88461538461539</v>
      </c>
      <c r="Q36" s="37">
        <f t="shared" si="21"/>
        <v>99.382716049382722</v>
      </c>
      <c r="R36" s="37">
        <f t="shared" si="21"/>
        <v>104.96</v>
      </c>
      <c r="S36" s="37">
        <f t="shared" si="21"/>
        <v>113</v>
      </c>
      <c r="T36" s="37">
        <f t="shared" si="21"/>
        <v>115.65384615384616</v>
      </c>
      <c r="U36" s="37">
        <f t="shared" si="21"/>
        <v>96.157142857142858</v>
      </c>
      <c r="V36" s="37">
        <f t="shared" si="21"/>
        <v>96.881578947368425</v>
      </c>
      <c r="W36" s="37">
        <f t="shared" si="21"/>
        <v>106.20930232558139</v>
      </c>
      <c r="X36" s="37">
        <f t="shared" si="21"/>
        <v>100.98850574712644</v>
      </c>
      <c r="Y36" s="37">
        <f t="shared" si="21"/>
        <v>105.64444444444445</v>
      </c>
      <c r="Z36" s="37">
        <f t="shared" si="21"/>
        <v>108.48235294117647</v>
      </c>
      <c r="AA36" s="37">
        <f t="shared" si="21"/>
        <v>109.76923076923077</v>
      </c>
      <c r="AB36" s="37">
        <f t="shared" si="21"/>
        <v>98.23456790123457</v>
      </c>
      <c r="AC36" s="37">
        <f t="shared" si="21"/>
        <v>102.13235294117646</v>
      </c>
      <c r="AD36" s="37">
        <f t="shared" si="21"/>
        <v>98.372093023255815</v>
      </c>
      <c r="AE36" s="37">
        <f t="shared" si="21"/>
        <v>101.33766233766234</v>
      </c>
      <c r="AF36" s="37">
        <f t="shared" si="21"/>
        <v>104.88505747126437</v>
      </c>
      <c r="AG36" s="37">
        <f t="shared" si="21"/>
        <v>107.84946236559139</v>
      </c>
      <c r="AH36" s="37"/>
      <c r="AI36" s="38">
        <f>+AI38/AI34</f>
        <v>102.52717986136446</v>
      </c>
      <c r="AJ36" s="6"/>
    </row>
    <row r="37" spans="1:36" x14ac:dyDescent="0.3">
      <c r="A37" s="2"/>
      <c r="B37" s="33"/>
      <c r="C37" s="34" t="s">
        <v>18</v>
      </c>
      <c r="D37" s="37">
        <f t="shared" ref="D37:AG37" si="22">+D35*D36</f>
        <v>64.185430463576154</v>
      </c>
      <c r="E37" s="37">
        <f t="shared" si="22"/>
        <v>71.450331125827816</v>
      </c>
      <c r="F37" s="37">
        <f t="shared" si="22"/>
        <v>74.291390728476813</v>
      </c>
      <c r="G37" s="37">
        <f t="shared" si="22"/>
        <v>42.887417218543042</v>
      </c>
      <c r="H37" s="37">
        <f t="shared" si="22"/>
        <v>23.741721854304636</v>
      </c>
      <c r="I37" s="37">
        <f t="shared" si="22"/>
        <v>50.622516556291394</v>
      </c>
      <c r="J37" s="37">
        <f t="shared" si="22"/>
        <v>57.079470198675494</v>
      </c>
      <c r="K37" s="37">
        <f t="shared" si="22"/>
        <v>60.059602649006621</v>
      </c>
      <c r="L37" s="37">
        <f t="shared" si="22"/>
        <v>93.874172185430467</v>
      </c>
      <c r="M37" s="37">
        <f t="shared" si="22"/>
        <v>111.60264900662253</v>
      </c>
      <c r="N37" s="37">
        <f t="shared" si="22"/>
        <v>55.284768211920536</v>
      </c>
      <c r="O37" s="37">
        <f t="shared" si="22"/>
        <v>43.317880794701985</v>
      </c>
      <c r="P37" s="37">
        <f t="shared" si="22"/>
        <v>52.629139072847678</v>
      </c>
      <c r="Q37" s="37">
        <f t="shared" si="22"/>
        <v>53.311258278145694</v>
      </c>
      <c r="R37" s="37">
        <f t="shared" si="22"/>
        <v>69.509933774834437</v>
      </c>
      <c r="S37" s="37">
        <f t="shared" si="22"/>
        <v>92.794701986754959</v>
      </c>
      <c r="T37" s="37">
        <f t="shared" si="22"/>
        <v>99.569536423841058</v>
      </c>
      <c r="U37" s="37">
        <f t="shared" si="22"/>
        <v>44.576158940397349</v>
      </c>
      <c r="V37" s="37">
        <f t="shared" si="22"/>
        <v>48.761589403973517</v>
      </c>
      <c r="W37" s="37">
        <f t="shared" si="22"/>
        <v>60.490066225165563</v>
      </c>
      <c r="X37" s="37">
        <f t="shared" si="22"/>
        <v>58.185430463576154</v>
      </c>
      <c r="Y37" s="37">
        <f t="shared" si="22"/>
        <v>62.966887417218551</v>
      </c>
      <c r="Z37" s="37">
        <f t="shared" si="22"/>
        <v>61.066225165562912</v>
      </c>
      <c r="AA37" s="37">
        <f t="shared" si="22"/>
        <v>75.602649006622514</v>
      </c>
      <c r="AB37" s="37">
        <f t="shared" si="22"/>
        <v>52.69536423841059</v>
      </c>
      <c r="AC37" s="37">
        <f t="shared" si="22"/>
        <v>45.993377483443709</v>
      </c>
      <c r="AD37" s="37">
        <f t="shared" si="22"/>
        <v>56.026490066225165</v>
      </c>
      <c r="AE37" s="37">
        <f t="shared" si="22"/>
        <v>51.675496688741724</v>
      </c>
      <c r="AF37" s="37">
        <f t="shared" si="22"/>
        <v>60.430463576158935</v>
      </c>
      <c r="AG37" s="37">
        <f t="shared" si="22"/>
        <v>66.423841059602651</v>
      </c>
      <c r="AH37" s="37"/>
      <c r="AI37" s="38">
        <f>+AI36*AI35</f>
        <v>62.036865342163352</v>
      </c>
      <c r="AJ37" s="6"/>
    </row>
    <row r="38" spans="1:36" x14ac:dyDescent="0.3">
      <c r="A38" s="2"/>
      <c r="B38" s="33"/>
      <c r="C38" s="34" t="s">
        <v>19</v>
      </c>
      <c r="D38" s="20">
        <v>9692</v>
      </c>
      <c r="E38" s="20">
        <v>10789</v>
      </c>
      <c r="F38" s="20">
        <v>11218</v>
      </c>
      <c r="G38" s="20">
        <v>6476</v>
      </c>
      <c r="H38" s="20">
        <v>3585</v>
      </c>
      <c r="I38" s="20">
        <v>7644</v>
      </c>
      <c r="J38" s="20">
        <v>8619</v>
      </c>
      <c r="K38" s="20">
        <v>9069</v>
      </c>
      <c r="L38" s="20">
        <v>14175</v>
      </c>
      <c r="M38" s="20">
        <v>16852</v>
      </c>
      <c r="N38" s="20">
        <v>8348</v>
      </c>
      <c r="O38" s="20">
        <v>6541</v>
      </c>
      <c r="P38" s="20">
        <v>7947</v>
      </c>
      <c r="Q38" s="20">
        <v>8050</v>
      </c>
      <c r="R38" s="20">
        <v>10496</v>
      </c>
      <c r="S38" s="20">
        <v>14012</v>
      </c>
      <c r="T38" s="20">
        <v>15035</v>
      </c>
      <c r="U38" s="20">
        <v>6731</v>
      </c>
      <c r="V38" s="20">
        <v>7363</v>
      </c>
      <c r="W38" s="20">
        <v>9134</v>
      </c>
      <c r="X38" s="20">
        <v>8786</v>
      </c>
      <c r="Y38" s="20">
        <v>9508</v>
      </c>
      <c r="Z38" s="20">
        <v>9221</v>
      </c>
      <c r="AA38" s="20">
        <v>11416</v>
      </c>
      <c r="AB38" s="20">
        <v>7957</v>
      </c>
      <c r="AC38" s="20">
        <v>6945</v>
      </c>
      <c r="AD38" s="20">
        <v>8460</v>
      </c>
      <c r="AE38" s="20">
        <v>7803</v>
      </c>
      <c r="AF38" s="20">
        <v>9125</v>
      </c>
      <c r="AG38" s="20">
        <v>10030</v>
      </c>
      <c r="AH38" s="20"/>
      <c r="AI38" s="39">
        <f>SUM(D38:AG38)</f>
        <v>281027</v>
      </c>
      <c r="AJ38" s="6"/>
    </row>
    <row r="39" spans="1:36" ht="15" thickBot="1" x14ac:dyDescent="0.35">
      <c r="A39" s="145"/>
      <c r="B39" s="48"/>
      <c r="C39" s="41" t="s">
        <v>20</v>
      </c>
      <c r="D39" s="49">
        <f>1619.36/D38</f>
        <v>0.16708212959141558</v>
      </c>
      <c r="E39" s="49">
        <f>1678.78/E38</f>
        <v>0.15560107516915375</v>
      </c>
      <c r="F39" s="49">
        <f>1023.91/F38</f>
        <v>9.1273845605277223E-2</v>
      </c>
      <c r="G39" s="49">
        <f>1190.547/G38</f>
        <v>0.18383987029030266</v>
      </c>
      <c r="H39" s="49">
        <f>1701.5/H38</f>
        <v>0.47461645746164577</v>
      </c>
      <c r="I39" s="49">
        <f>998.69/I38</f>
        <v>0.13065018315018315</v>
      </c>
      <c r="J39" s="49">
        <f>1169.19/J38</f>
        <v>0.13565262791507135</v>
      </c>
      <c r="K39" s="49">
        <f>1421.36/K38</f>
        <v>0.15672731282390559</v>
      </c>
      <c r="L39" s="49">
        <f>1575.15/L38</f>
        <v>0.11112169312169312</v>
      </c>
      <c r="M39" s="49">
        <f>1003.17/M38</f>
        <v>5.9528245905530498E-2</v>
      </c>
      <c r="N39" s="49">
        <f>919.58/N38</f>
        <v>0.11015572592237662</v>
      </c>
      <c r="O39" s="49">
        <f>1457.86/O38</f>
        <v>0.22288029353309891</v>
      </c>
      <c r="P39" s="49">
        <f>1413.9/P38</f>
        <v>0.17791619479048698</v>
      </c>
      <c r="Q39" s="49">
        <f>1334.55/Q38</f>
        <v>0.16578260869565217</v>
      </c>
      <c r="R39" s="49">
        <f>1911.53/R38</f>
        <v>0.18211985518292684</v>
      </c>
      <c r="S39" s="49">
        <f>1703.89/S38</f>
        <v>0.12160219811590066</v>
      </c>
      <c r="T39" s="49">
        <f>1050.58/T38</f>
        <v>6.9875623545061522E-2</v>
      </c>
      <c r="U39" s="49">
        <f>876.3/U38</f>
        <v>0.13018867924528302</v>
      </c>
      <c r="V39" s="49">
        <f>1546.44/V38</f>
        <v>0.21002852098329486</v>
      </c>
      <c r="W39" s="49">
        <v>0.15</v>
      </c>
      <c r="X39" s="49">
        <f>1401.4/X38</f>
        <v>0.15950375597541544</v>
      </c>
      <c r="Y39" s="49">
        <f>1361.53/Y38</f>
        <v>0.14319835927639882</v>
      </c>
      <c r="Z39" s="49">
        <f>1589.24/Z38</f>
        <v>0.17235007049126994</v>
      </c>
      <c r="AA39" s="49">
        <f>1480.35/AA38</f>
        <v>0.12967326559215137</v>
      </c>
      <c r="AB39" s="49">
        <f>923.33/AB38</f>
        <v>0.11603996481085836</v>
      </c>
      <c r="AC39" s="49">
        <f>1531.64/AC38</f>
        <v>0.22053851691864651</v>
      </c>
      <c r="AD39" s="49"/>
      <c r="AE39" s="49"/>
      <c r="AF39" s="49"/>
      <c r="AG39" s="49"/>
      <c r="AH39" s="49"/>
      <c r="AI39" s="51">
        <f>AVERAGE(D39:AG39)</f>
        <v>0.15953642592742312</v>
      </c>
      <c r="AJ39" s="6"/>
    </row>
    <row r="40" spans="1:36" ht="15" thickTop="1" x14ac:dyDescent="0.3">
      <c r="A40" s="2">
        <v>96</v>
      </c>
      <c r="B40" s="45" t="s">
        <v>28</v>
      </c>
      <c r="C40" s="46" t="s">
        <v>15</v>
      </c>
      <c r="D40" s="11">
        <v>43</v>
      </c>
      <c r="E40" s="11">
        <v>45</v>
      </c>
      <c r="F40" s="11">
        <v>39</v>
      </c>
      <c r="G40" s="11">
        <v>25</v>
      </c>
      <c r="H40" s="11">
        <v>31</v>
      </c>
      <c r="I40" s="11">
        <v>22</v>
      </c>
      <c r="J40" s="11">
        <v>21</v>
      </c>
      <c r="K40" s="11">
        <v>29</v>
      </c>
      <c r="L40" s="11">
        <v>32</v>
      </c>
      <c r="M40" s="11">
        <v>42</v>
      </c>
      <c r="N40" s="11">
        <v>15</v>
      </c>
      <c r="O40" s="11">
        <v>24</v>
      </c>
      <c r="P40" s="11">
        <v>22</v>
      </c>
      <c r="Q40" s="11">
        <v>17</v>
      </c>
      <c r="R40" s="11">
        <v>39</v>
      </c>
      <c r="S40" s="11">
        <v>65</v>
      </c>
      <c r="T40" s="11">
        <v>42</v>
      </c>
      <c r="U40" s="11">
        <v>15</v>
      </c>
      <c r="V40" s="11">
        <v>22</v>
      </c>
      <c r="W40" s="11">
        <v>24</v>
      </c>
      <c r="X40" s="11">
        <v>23</v>
      </c>
      <c r="Y40" s="11">
        <v>30</v>
      </c>
      <c r="Z40" s="11">
        <v>54</v>
      </c>
      <c r="AA40" s="11">
        <v>73</v>
      </c>
      <c r="AB40" s="11">
        <v>10</v>
      </c>
      <c r="AC40" s="11">
        <v>38</v>
      </c>
      <c r="AD40" s="11">
        <v>44</v>
      </c>
      <c r="AE40" s="11">
        <v>40</v>
      </c>
      <c r="AF40" s="11">
        <v>33</v>
      </c>
      <c r="AG40" s="11">
        <v>47</v>
      </c>
      <c r="AH40" s="11"/>
      <c r="AI40" s="13">
        <f>SUM(D40:AG40)</f>
        <v>1006</v>
      </c>
      <c r="AJ40" s="6"/>
    </row>
    <row r="41" spans="1:36" x14ac:dyDescent="0.3">
      <c r="A41" s="2"/>
      <c r="B41" s="14"/>
      <c r="C41" s="15" t="s">
        <v>16</v>
      </c>
      <c r="D41" s="16">
        <f t="shared" ref="D41:AG41" si="23">+D40/$A40</f>
        <v>0.44791666666666669</v>
      </c>
      <c r="E41" s="16">
        <f t="shared" si="23"/>
        <v>0.46875</v>
      </c>
      <c r="F41" s="16">
        <f t="shared" si="23"/>
        <v>0.40625</v>
      </c>
      <c r="G41" s="16">
        <f t="shared" si="23"/>
        <v>0.26041666666666669</v>
      </c>
      <c r="H41" s="16">
        <f t="shared" si="23"/>
        <v>0.32291666666666669</v>
      </c>
      <c r="I41" s="16">
        <f t="shared" si="23"/>
        <v>0.22916666666666666</v>
      </c>
      <c r="J41" s="16">
        <f t="shared" si="23"/>
        <v>0.21875</v>
      </c>
      <c r="K41" s="16">
        <f t="shared" si="23"/>
        <v>0.30208333333333331</v>
      </c>
      <c r="L41" s="16">
        <f t="shared" si="23"/>
        <v>0.33333333333333331</v>
      </c>
      <c r="M41" s="16">
        <f t="shared" si="23"/>
        <v>0.4375</v>
      </c>
      <c r="N41" s="16">
        <f t="shared" si="23"/>
        <v>0.15625</v>
      </c>
      <c r="O41" s="16">
        <f t="shared" si="23"/>
        <v>0.25</v>
      </c>
      <c r="P41" s="16">
        <f t="shared" si="23"/>
        <v>0.22916666666666666</v>
      </c>
      <c r="Q41" s="16">
        <f t="shared" si="23"/>
        <v>0.17708333333333334</v>
      </c>
      <c r="R41" s="16">
        <f t="shared" si="23"/>
        <v>0.40625</v>
      </c>
      <c r="S41" s="16">
        <f t="shared" si="23"/>
        <v>0.67708333333333337</v>
      </c>
      <c r="T41" s="16">
        <f t="shared" si="23"/>
        <v>0.4375</v>
      </c>
      <c r="U41" s="16">
        <f t="shared" si="23"/>
        <v>0.15625</v>
      </c>
      <c r="V41" s="16">
        <f t="shared" si="23"/>
        <v>0.22916666666666666</v>
      </c>
      <c r="W41" s="16">
        <f t="shared" si="23"/>
        <v>0.25</v>
      </c>
      <c r="X41" s="16">
        <f t="shared" si="23"/>
        <v>0.23958333333333334</v>
      </c>
      <c r="Y41" s="16">
        <f t="shared" si="23"/>
        <v>0.3125</v>
      </c>
      <c r="Z41" s="16">
        <f t="shared" si="23"/>
        <v>0.5625</v>
      </c>
      <c r="AA41" s="16">
        <f t="shared" si="23"/>
        <v>0.76041666666666663</v>
      </c>
      <c r="AB41" s="16">
        <f t="shared" si="23"/>
        <v>0.10416666666666667</v>
      </c>
      <c r="AC41" s="16">
        <f t="shared" si="23"/>
        <v>0.39583333333333331</v>
      </c>
      <c r="AD41" s="16">
        <f t="shared" si="23"/>
        <v>0.45833333333333331</v>
      </c>
      <c r="AE41" s="16">
        <f t="shared" si="23"/>
        <v>0.41666666666666669</v>
      </c>
      <c r="AF41" s="16">
        <f t="shared" si="23"/>
        <v>0.34375</v>
      </c>
      <c r="AG41" s="16">
        <f t="shared" si="23"/>
        <v>0.48958333333333331</v>
      </c>
      <c r="AH41" s="16"/>
      <c r="AI41" s="17">
        <f>+AI40/(A40*A$1)</f>
        <v>0.34930555555555554</v>
      </c>
      <c r="AJ41" s="6"/>
    </row>
    <row r="42" spans="1:36" x14ac:dyDescent="0.3">
      <c r="A42" s="2"/>
      <c r="B42" s="14"/>
      <c r="C42" s="15" t="s">
        <v>17</v>
      </c>
      <c r="D42" s="18">
        <f t="shared" ref="D42:AG42" si="24">+IFERROR(D44/D40,0)</f>
        <v>90.79069767441861</v>
      </c>
      <c r="E42" s="18">
        <f t="shared" si="24"/>
        <v>92.62222222222222</v>
      </c>
      <c r="F42" s="18">
        <f t="shared" si="24"/>
        <v>95.615384615384613</v>
      </c>
      <c r="G42" s="18">
        <f t="shared" si="24"/>
        <v>84.48</v>
      </c>
      <c r="H42" s="18">
        <f t="shared" si="24"/>
        <v>81.870967741935488</v>
      </c>
      <c r="I42" s="18">
        <f t="shared" si="24"/>
        <v>85.590909090909093</v>
      </c>
      <c r="J42" s="18">
        <f t="shared" si="24"/>
        <v>87.666666666666671</v>
      </c>
      <c r="K42" s="18">
        <f t="shared" si="24"/>
        <v>83.551724137931032</v>
      </c>
      <c r="L42" s="18">
        <f t="shared" si="24"/>
        <v>92.90625</v>
      </c>
      <c r="M42" s="18">
        <f t="shared" si="24"/>
        <v>99.547619047619051</v>
      </c>
      <c r="N42" s="18">
        <f t="shared" si="24"/>
        <v>79.933333333333337</v>
      </c>
      <c r="O42" s="18">
        <f t="shared" si="24"/>
        <v>77.5</v>
      </c>
      <c r="P42" s="18">
        <f t="shared" si="24"/>
        <v>80.681818181818187</v>
      </c>
      <c r="Q42" s="18">
        <f t="shared" si="24"/>
        <v>84.647058823529406</v>
      </c>
      <c r="R42" s="18">
        <f t="shared" si="24"/>
        <v>82.820512820512818</v>
      </c>
      <c r="S42" s="18">
        <f t="shared" si="24"/>
        <v>86.523076923076928</v>
      </c>
      <c r="T42" s="18">
        <f t="shared" si="24"/>
        <v>99.547619047619051</v>
      </c>
      <c r="U42" s="18">
        <f t="shared" si="24"/>
        <v>79.933333333333337</v>
      </c>
      <c r="V42" s="18">
        <f t="shared" si="24"/>
        <v>66.63636363636364</v>
      </c>
      <c r="W42" s="18">
        <f t="shared" si="24"/>
        <v>76.541666666666671</v>
      </c>
      <c r="X42" s="18">
        <f t="shared" si="24"/>
        <v>82.565217391304344</v>
      </c>
      <c r="Y42" s="18">
        <f t="shared" si="24"/>
        <v>120.96666666666667</v>
      </c>
      <c r="Z42" s="18">
        <f t="shared" si="24"/>
        <v>88.703703703703709</v>
      </c>
      <c r="AA42" s="18">
        <f t="shared" si="24"/>
        <v>91.821917808219183</v>
      </c>
      <c r="AB42" s="18">
        <f t="shared" si="24"/>
        <v>83.3</v>
      </c>
      <c r="AC42" s="18">
        <f t="shared" si="24"/>
        <v>80.10526315789474</v>
      </c>
      <c r="AD42" s="18">
        <f t="shared" si="24"/>
        <v>80.295454545454547</v>
      </c>
      <c r="AE42" s="18">
        <f t="shared" si="24"/>
        <v>87</v>
      </c>
      <c r="AF42" s="18">
        <f t="shared" si="24"/>
        <v>87.303030303030297</v>
      </c>
      <c r="AG42" s="18">
        <f t="shared" si="24"/>
        <v>90.936170212765958</v>
      </c>
      <c r="AH42" s="18"/>
      <c r="AI42" s="19">
        <f>+AI44/AI40</f>
        <v>88.099403578528822</v>
      </c>
      <c r="AJ42" s="6"/>
    </row>
    <row r="43" spans="1:36" x14ac:dyDescent="0.3">
      <c r="A43" s="2"/>
      <c r="B43" s="14"/>
      <c r="C43" s="15" t="s">
        <v>18</v>
      </c>
      <c r="D43" s="18">
        <f t="shared" ref="D43:AG43" si="25">+D41*D42</f>
        <v>40.666666666666671</v>
      </c>
      <c r="E43" s="18">
        <f t="shared" si="25"/>
        <v>43.416666666666664</v>
      </c>
      <c r="F43" s="18">
        <f t="shared" si="25"/>
        <v>38.84375</v>
      </c>
      <c r="G43" s="18">
        <f t="shared" si="25"/>
        <v>22.000000000000004</v>
      </c>
      <c r="H43" s="18">
        <f t="shared" si="25"/>
        <v>26.437500000000004</v>
      </c>
      <c r="I43" s="18">
        <f t="shared" si="25"/>
        <v>19.614583333333332</v>
      </c>
      <c r="J43" s="18">
        <f t="shared" si="25"/>
        <v>19.177083333333336</v>
      </c>
      <c r="K43" s="18">
        <f t="shared" si="25"/>
        <v>25.239583333333332</v>
      </c>
      <c r="L43" s="18">
        <f t="shared" si="25"/>
        <v>30.96875</v>
      </c>
      <c r="M43" s="18">
        <f t="shared" si="25"/>
        <v>43.552083333333336</v>
      </c>
      <c r="N43" s="18">
        <f t="shared" si="25"/>
        <v>12.489583333333334</v>
      </c>
      <c r="O43" s="18">
        <f t="shared" si="25"/>
        <v>19.375</v>
      </c>
      <c r="P43" s="18">
        <f t="shared" si="25"/>
        <v>18.489583333333332</v>
      </c>
      <c r="Q43" s="18">
        <f t="shared" si="25"/>
        <v>14.989583333333334</v>
      </c>
      <c r="R43" s="18">
        <f t="shared" si="25"/>
        <v>33.645833333333329</v>
      </c>
      <c r="S43" s="18">
        <f t="shared" si="25"/>
        <v>58.583333333333343</v>
      </c>
      <c r="T43" s="18">
        <f t="shared" si="25"/>
        <v>43.552083333333336</v>
      </c>
      <c r="U43" s="18">
        <f t="shared" si="25"/>
        <v>12.489583333333334</v>
      </c>
      <c r="V43" s="18">
        <f t="shared" si="25"/>
        <v>15.270833333333334</v>
      </c>
      <c r="W43" s="18">
        <f t="shared" si="25"/>
        <v>19.135416666666668</v>
      </c>
      <c r="X43" s="18">
        <f t="shared" si="25"/>
        <v>19.78125</v>
      </c>
      <c r="Y43" s="18">
        <f t="shared" si="25"/>
        <v>37.802083333333336</v>
      </c>
      <c r="Z43" s="18">
        <f t="shared" si="25"/>
        <v>49.895833333333336</v>
      </c>
      <c r="AA43" s="18">
        <f t="shared" si="25"/>
        <v>69.822916666666671</v>
      </c>
      <c r="AB43" s="18">
        <f t="shared" si="25"/>
        <v>8.6770833333333339</v>
      </c>
      <c r="AC43" s="18">
        <f t="shared" si="25"/>
        <v>31.708333333333332</v>
      </c>
      <c r="AD43" s="18">
        <f t="shared" si="25"/>
        <v>36.802083333333336</v>
      </c>
      <c r="AE43" s="18">
        <f t="shared" si="25"/>
        <v>36.25</v>
      </c>
      <c r="AF43" s="18">
        <f t="shared" si="25"/>
        <v>30.010416666666664</v>
      </c>
      <c r="AG43" s="18">
        <f t="shared" si="25"/>
        <v>44.520833333333329</v>
      </c>
      <c r="AH43" s="18"/>
      <c r="AI43" s="19">
        <f>+AI42*AI41</f>
        <v>30.773611111111109</v>
      </c>
      <c r="AJ43" s="6"/>
    </row>
    <row r="44" spans="1:36" x14ac:dyDescent="0.3">
      <c r="A44" s="2"/>
      <c r="B44" s="33"/>
      <c r="C44" s="34" t="s">
        <v>19</v>
      </c>
      <c r="D44" s="20">
        <v>3904</v>
      </c>
      <c r="E44" s="20">
        <v>4168</v>
      </c>
      <c r="F44" s="20">
        <v>3729</v>
      </c>
      <c r="G44" s="20">
        <v>2112</v>
      </c>
      <c r="H44" s="20">
        <v>2538</v>
      </c>
      <c r="I44" s="20">
        <v>1883</v>
      </c>
      <c r="J44" s="20">
        <v>1841</v>
      </c>
      <c r="K44" s="20">
        <v>2423</v>
      </c>
      <c r="L44" s="20">
        <v>2973</v>
      </c>
      <c r="M44" s="20">
        <v>4181</v>
      </c>
      <c r="N44" s="20">
        <v>1199</v>
      </c>
      <c r="O44" s="20">
        <v>1860</v>
      </c>
      <c r="P44" s="20">
        <v>1775</v>
      </c>
      <c r="Q44" s="20">
        <v>1439</v>
      </c>
      <c r="R44" s="20">
        <v>3230</v>
      </c>
      <c r="S44" s="20">
        <v>5624</v>
      </c>
      <c r="T44" s="20">
        <v>4181</v>
      </c>
      <c r="U44" s="20">
        <v>1199</v>
      </c>
      <c r="V44" s="20">
        <v>1466</v>
      </c>
      <c r="W44" s="20">
        <v>1837</v>
      </c>
      <c r="X44" s="20">
        <v>1899</v>
      </c>
      <c r="Y44" s="20">
        <v>3629</v>
      </c>
      <c r="Z44" s="20">
        <v>4790</v>
      </c>
      <c r="AA44" s="20">
        <v>6703</v>
      </c>
      <c r="AB44" s="20">
        <v>833</v>
      </c>
      <c r="AC44" s="20">
        <v>3044</v>
      </c>
      <c r="AD44" s="20">
        <v>3533</v>
      </c>
      <c r="AE44" s="20">
        <v>3480</v>
      </c>
      <c r="AF44" s="20">
        <v>2881</v>
      </c>
      <c r="AG44" s="20">
        <v>4274</v>
      </c>
      <c r="AH44" s="20"/>
      <c r="AI44" s="39">
        <f>SUM(D44:AG44)</f>
        <v>88628</v>
      </c>
      <c r="AJ44" s="6"/>
    </row>
    <row r="45" spans="1:36" ht="15" thickBot="1" x14ac:dyDescent="0.35">
      <c r="A45" s="145"/>
      <c r="B45" s="24"/>
      <c r="C45" s="15" t="s">
        <v>20</v>
      </c>
      <c r="D45" s="25">
        <f>1198.63/D44</f>
        <v>0.30702612704918036</v>
      </c>
      <c r="E45" s="25">
        <f>838.91/E44</f>
        <v>0.2012739923224568</v>
      </c>
      <c r="F45" s="25">
        <f>354.5/F44</f>
        <v>9.506570126039153E-2</v>
      </c>
      <c r="G45" s="25">
        <f>399.49/G44</f>
        <v>0.18915246212121212</v>
      </c>
      <c r="H45" s="25">
        <f>822.53/H44</f>
        <v>0.32408589440504332</v>
      </c>
      <c r="I45" s="25">
        <f>940.8/I44</f>
        <v>0.49962825278810408</v>
      </c>
      <c r="J45" s="25">
        <f>982.35/J44</f>
        <v>0.53359587180879953</v>
      </c>
      <c r="K45" s="25">
        <f>1002.4/K44</f>
        <v>0.41370202228642178</v>
      </c>
      <c r="L45" s="25">
        <f>497.55/L44</f>
        <v>0.16735620585267408</v>
      </c>
      <c r="M45" s="25">
        <f>284.65/M44</f>
        <v>6.8081798612772054E-2</v>
      </c>
      <c r="N45" s="25">
        <f>308.87/N44</f>
        <v>0.25760633861551291</v>
      </c>
      <c r="O45" s="25">
        <f>585.76/O44</f>
        <v>0.31492473118279568</v>
      </c>
      <c r="P45" s="25">
        <f>997.79/P44</f>
        <v>0.56213521126760557</v>
      </c>
      <c r="Q45" s="25">
        <f>1081.64/Q44</f>
        <v>0.75166087560806127</v>
      </c>
      <c r="R45" s="25">
        <f>826.7/R44</f>
        <v>0.25594427244582046</v>
      </c>
      <c r="S45" s="25">
        <f>971.42/S44</f>
        <v>0.17272759601706969</v>
      </c>
      <c r="T45" s="25">
        <f>172.79/T44</f>
        <v>4.1327433628318581E-2</v>
      </c>
      <c r="U45" s="25">
        <f>261.87/U44</f>
        <v>0.2184070058381985</v>
      </c>
      <c r="V45" s="25">
        <f>890.47/V44</f>
        <v>0.60741473396998635</v>
      </c>
      <c r="W45" s="25">
        <v>0.46</v>
      </c>
      <c r="X45" s="25">
        <f>1358.58/X44</f>
        <v>0.71541864139020528</v>
      </c>
      <c r="Y45" s="25">
        <f>926.87/Y44</f>
        <v>0.25540644805731605</v>
      </c>
      <c r="Z45" s="25">
        <f>730.57/Z44</f>
        <v>0.15251983298538624</v>
      </c>
      <c r="AA45" s="25">
        <f>892.89/AA44</f>
        <v>0.13320751902133374</v>
      </c>
      <c r="AB45" s="25">
        <f>365.46/AB44</f>
        <v>0.43872749099639852</v>
      </c>
      <c r="AC45" s="25">
        <f>430.79/AC44</f>
        <v>0.1415210249671485</v>
      </c>
      <c r="AD45" s="25"/>
      <c r="AE45" s="25"/>
      <c r="AF45" s="25"/>
      <c r="AG45" s="25"/>
      <c r="AH45" s="25"/>
      <c r="AI45" s="27">
        <f>AVERAGE(D45:AG45)</f>
        <v>0.31838144171146976</v>
      </c>
      <c r="AJ45" s="6"/>
    </row>
    <row r="46" spans="1:36" ht="15" thickTop="1" x14ac:dyDescent="0.3">
      <c r="A46" s="2">
        <v>94</v>
      </c>
      <c r="B46" s="28" t="s">
        <v>29</v>
      </c>
      <c r="C46" s="29" t="s">
        <v>15</v>
      </c>
      <c r="D46" s="30">
        <v>29</v>
      </c>
      <c r="E46" s="30">
        <v>49</v>
      </c>
      <c r="F46" s="30">
        <v>33</v>
      </c>
      <c r="G46" s="30">
        <v>19</v>
      </c>
      <c r="H46" s="30">
        <v>19</v>
      </c>
      <c r="I46" s="30">
        <v>29</v>
      </c>
      <c r="J46" s="30">
        <v>23</v>
      </c>
      <c r="K46" s="30">
        <v>31</v>
      </c>
      <c r="L46" s="30">
        <v>50</v>
      </c>
      <c r="M46" s="30">
        <v>49</v>
      </c>
      <c r="N46" s="30">
        <v>27</v>
      </c>
      <c r="O46" s="30">
        <v>25</v>
      </c>
      <c r="P46" s="30">
        <v>23</v>
      </c>
      <c r="Q46" s="30">
        <v>27</v>
      </c>
      <c r="R46" s="30">
        <v>23</v>
      </c>
      <c r="S46" s="30">
        <v>24</v>
      </c>
      <c r="T46" s="30">
        <v>28</v>
      </c>
      <c r="U46" s="30">
        <v>16</v>
      </c>
      <c r="V46" s="30">
        <v>32</v>
      </c>
      <c r="W46" s="30">
        <v>33</v>
      </c>
      <c r="X46" s="30">
        <v>23</v>
      </c>
      <c r="Y46" s="30">
        <v>23</v>
      </c>
      <c r="Z46" s="30">
        <v>31</v>
      </c>
      <c r="AA46" s="30">
        <v>28</v>
      </c>
      <c r="AB46" s="30">
        <v>17</v>
      </c>
      <c r="AC46" s="30">
        <v>42</v>
      </c>
      <c r="AD46" s="30">
        <v>50</v>
      </c>
      <c r="AE46" s="30">
        <v>40</v>
      </c>
      <c r="AF46" s="30">
        <v>25</v>
      </c>
      <c r="AG46" s="30">
        <v>41</v>
      </c>
      <c r="AH46" s="30"/>
      <c r="AI46" s="32">
        <f>SUM(D46:AG46)</f>
        <v>909</v>
      </c>
      <c r="AJ46" s="6"/>
    </row>
    <row r="47" spans="1:36" x14ac:dyDescent="0.3">
      <c r="A47" s="2"/>
      <c r="B47" s="33"/>
      <c r="C47" s="34" t="s">
        <v>16</v>
      </c>
      <c r="D47" s="35">
        <f t="shared" ref="D47:AG47" si="26">+D46/$A46</f>
        <v>0.30851063829787234</v>
      </c>
      <c r="E47" s="35">
        <f t="shared" si="26"/>
        <v>0.52127659574468088</v>
      </c>
      <c r="F47" s="35">
        <f t="shared" si="26"/>
        <v>0.35106382978723405</v>
      </c>
      <c r="G47" s="35">
        <f t="shared" si="26"/>
        <v>0.20212765957446807</v>
      </c>
      <c r="H47" s="35">
        <f t="shared" si="26"/>
        <v>0.20212765957446807</v>
      </c>
      <c r="I47" s="35">
        <f t="shared" si="26"/>
        <v>0.30851063829787234</v>
      </c>
      <c r="J47" s="35">
        <f t="shared" si="26"/>
        <v>0.24468085106382978</v>
      </c>
      <c r="K47" s="35">
        <f t="shared" si="26"/>
        <v>0.32978723404255317</v>
      </c>
      <c r="L47" s="35">
        <f t="shared" si="26"/>
        <v>0.53191489361702127</v>
      </c>
      <c r="M47" s="35">
        <f t="shared" si="26"/>
        <v>0.52127659574468088</v>
      </c>
      <c r="N47" s="35">
        <f t="shared" si="26"/>
        <v>0.28723404255319152</v>
      </c>
      <c r="O47" s="35">
        <f t="shared" si="26"/>
        <v>0.26595744680851063</v>
      </c>
      <c r="P47" s="35">
        <f t="shared" si="26"/>
        <v>0.24468085106382978</v>
      </c>
      <c r="Q47" s="35">
        <f t="shared" si="26"/>
        <v>0.28723404255319152</v>
      </c>
      <c r="R47" s="35">
        <f t="shared" si="26"/>
        <v>0.24468085106382978</v>
      </c>
      <c r="S47" s="35">
        <f t="shared" si="26"/>
        <v>0.25531914893617019</v>
      </c>
      <c r="T47" s="35">
        <f t="shared" si="26"/>
        <v>0.2978723404255319</v>
      </c>
      <c r="U47" s="35">
        <f t="shared" si="26"/>
        <v>0.1702127659574468</v>
      </c>
      <c r="V47" s="35">
        <f t="shared" si="26"/>
        <v>0.34042553191489361</v>
      </c>
      <c r="W47" s="35">
        <f t="shared" si="26"/>
        <v>0.35106382978723405</v>
      </c>
      <c r="X47" s="35">
        <f t="shared" si="26"/>
        <v>0.24468085106382978</v>
      </c>
      <c r="Y47" s="35">
        <f t="shared" si="26"/>
        <v>0.24468085106382978</v>
      </c>
      <c r="Z47" s="35">
        <f t="shared" si="26"/>
        <v>0.32978723404255317</v>
      </c>
      <c r="AA47" s="35">
        <f t="shared" si="26"/>
        <v>0.2978723404255319</v>
      </c>
      <c r="AB47" s="35">
        <f t="shared" si="26"/>
        <v>0.18085106382978725</v>
      </c>
      <c r="AC47" s="35">
        <f t="shared" si="26"/>
        <v>0.44680851063829785</v>
      </c>
      <c r="AD47" s="35">
        <f t="shared" si="26"/>
        <v>0.53191489361702127</v>
      </c>
      <c r="AE47" s="35">
        <f t="shared" si="26"/>
        <v>0.42553191489361702</v>
      </c>
      <c r="AF47" s="35">
        <f t="shared" si="26"/>
        <v>0.26595744680851063</v>
      </c>
      <c r="AG47" s="35">
        <f t="shared" si="26"/>
        <v>0.43617021276595747</v>
      </c>
      <c r="AH47" s="35"/>
      <c r="AI47" s="36">
        <f>+AI46/(A46*A$1)</f>
        <v>0.32234042553191489</v>
      </c>
      <c r="AJ47" s="6"/>
    </row>
    <row r="48" spans="1:36" x14ac:dyDescent="0.3">
      <c r="A48" s="2"/>
      <c r="B48" s="33"/>
      <c r="C48" s="34" t="s">
        <v>17</v>
      </c>
      <c r="D48" s="37">
        <f t="shared" ref="D48:AG48" si="27">+IFERROR(D50/D46,0)</f>
        <v>115.10344827586206</v>
      </c>
      <c r="E48" s="37">
        <f t="shared" si="27"/>
        <v>111.24489795918367</v>
      </c>
      <c r="F48" s="37">
        <f t="shared" si="27"/>
        <v>83.393939393939391</v>
      </c>
      <c r="G48" s="37">
        <f t="shared" si="27"/>
        <v>109.32052631578948</v>
      </c>
      <c r="H48" s="37">
        <f t="shared" si="27"/>
        <v>100.36842105263158</v>
      </c>
      <c r="I48" s="37">
        <f t="shared" si="27"/>
        <v>113.15172413793104</v>
      </c>
      <c r="J48" s="37">
        <f t="shared" si="27"/>
        <v>109.21739130434783</v>
      </c>
      <c r="K48" s="37">
        <f t="shared" si="27"/>
        <v>97.451612903225808</v>
      </c>
      <c r="L48" s="37">
        <f t="shared" si="27"/>
        <v>102.14</v>
      </c>
      <c r="M48" s="37">
        <f t="shared" si="27"/>
        <v>103.30612244897959</v>
      </c>
      <c r="N48" s="37">
        <f t="shared" si="27"/>
        <v>100.92592592592592</v>
      </c>
      <c r="O48" s="37">
        <f t="shared" si="27"/>
        <v>105.4</v>
      </c>
      <c r="P48" s="37">
        <f t="shared" si="27"/>
        <v>107.1304347826087</v>
      </c>
      <c r="Q48" s="37">
        <f t="shared" si="27"/>
        <v>109.66666666666667</v>
      </c>
      <c r="R48" s="37">
        <f t="shared" si="27"/>
        <v>107.60869565217391</v>
      </c>
      <c r="S48" s="37">
        <f t="shared" si="27"/>
        <v>137.95833333333334</v>
      </c>
      <c r="T48" s="37">
        <f t="shared" si="27"/>
        <v>108.82142857142857</v>
      </c>
      <c r="U48" s="37">
        <f t="shared" si="27"/>
        <v>103.1875</v>
      </c>
      <c r="V48" s="37">
        <f t="shared" si="27"/>
        <v>110.34375</v>
      </c>
      <c r="W48" s="37">
        <f t="shared" si="27"/>
        <v>111.57575757575758</v>
      </c>
      <c r="X48" s="37">
        <f t="shared" si="27"/>
        <v>143.17391304347825</v>
      </c>
      <c r="Y48" s="37">
        <f t="shared" si="27"/>
        <v>113.47826086956522</v>
      </c>
      <c r="Z48" s="37">
        <f t="shared" si="27"/>
        <v>110</v>
      </c>
      <c r="AA48" s="37">
        <f t="shared" si="27"/>
        <v>119.75</v>
      </c>
      <c r="AB48" s="37">
        <f t="shared" si="27"/>
        <v>110.11764705882354</v>
      </c>
      <c r="AC48" s="37">
        <f t="shared" si="27"/>
        <v>106.54761904761905</v>
      </c>
      <c r="AD48" s="37">
        <f t="shared" si="27"/>
        <v>107.2</v>
      </c>
      <c r="AE48" s="37">
        <f t="shared" si="27"/>
        <v>120</v>
      </c>
      <c r="AF48" s="37">
        <f t="shared" si="27"/>
        <v>115.56</v>
      </c>
      <c r="AG48" s="37">
        <f t="shared" si="27"/>
        <v>137.97560975609755</v>
      </c>
      <c r="AH48" s="37"/>
      <c r="AI48" s="38">
        <f>+AI50/AI46</f>
        <v>110.79151815181518</v>
      </c>
      <c r="AJ48" s="6"/>
    </row>
    <row r="49" spans="1:36" x14ac:dyDescent="0.3">
      <c r="A49" s="2"/>
      <c r="B49" s="33"/>
      <c r="C49" s="34" t="s">
        <v>18</v>
      </c>
      <c r="D49" s="37">
        <f t="shared" ref="D49:AG49" si="28">+D47*D48</f>
        <v>35.51063829787234</v>
      </c>
      <c r="E49" s="37">
        <f t="shared" si="28"/>
        <v>57.989361702127667</v>
      </c>
      <c r="F49" s="37">
        <f t="shared" si="28"/>
        <v>29.276595744680851</v>
      </c>
      <c r="G49" s="37">
        <f t="shared" si="28"/>
        <v>22.096702127659572</v>
      </c>
      <c r="H49" s="37">
        <f t="shared" si="28"/>
        <v>20.287234042553191</v>
      </c>
      <c r="I49" s="37">
        <f t="shared" si="28"/>
        <v>34.908510638297876</v>
      </c>
      <c r="J49" s="37">
        <f t="shared" si="28"/>
        <v>26.723404255319149</v>
      </c>
      <c r="K49" s="37">
        <f t="shared" si="28"/>
        <v>32.138297872340424</v>
      </c>
      <c r="L49" s="37">
        <f t="shared" si="28"/>
        <v>54.329787234042556</v>
      </c>
      <c r="M49" s="37">
        <f t="shared" si="28"/>
        <v>53.851063829787236</v>
      </c>
      <c r="N49" s="37">
        <f t="shared" si="28"/>
        <v>28.989361702127663</v>
      </c>
      <c r="O49" s="37">
        <f t="shared" si="28"/>
        <v>28.031914893617021</v>
      </c>
      <c r="P49" s="37">
        <f t="shared" si="28"/>
        <v>26.212765957446809</v>
      </c>
      <c r="Q49" s="37">
        <f t="shared" si="28"/>
        <v>31.500000000000004</v>
      </c>
      <c r="R49" s="37">
        <f t="shared" si="28"/>
        <v>26.329787234042552</v>
      </c>
      <c r="S49" s="37">
        <f t="shared" si="28"/>
        <v>35.223404255319146</v>
      </c>
      <c r="T49" s="37">
        <f t="shared" si="28"/>
        <v>32.414893617021278</v>
      </c>
      <c r="U49" s="37">
        <f t="shared" si="28"/>
        <v>17.563829787234042</v>
      </c>
      <c r="V49" s="37">
        <f t="shared" si="28"/>
        <v>37.563829787234042</v>
      </c>
      <c r="W49" s="37">
        <f t="shared" si="28"/>
        <v>39.170212765957451</v>
      </c>
      <c r="X49" s="37">
        <f t="shared" si="28"/>
        <v>35.031914893617021</v>
      </c>
      <c r="Y49" s="37">
        <f t="shared" si="28"/>
        <v>27.76595744680851</v>
      </c>
      <c r="Z49" s="37">
        <f t="shared" si="28"/>
        <v>36.276595744680847</v>
      </c>
      <c r="AA49" s="37">
        <f t="shared" si="28"/>
        <v>35.670212765957444</v>
      </c>
      <c r="AB49" s="37">
        <f t="shared" si="28"/>
        <v>19.914893617021278</v>
      </c>
      <c r="AC49" s="37">
        <f t="shared" si="28"/>
        <v>47.606382978723403</v>
      </c>
      <c r="AD49" s="37">
        <f t="shared" si="28"/>
        <v>57.021276595744681</v>
      </c>
      <c r="AE49" s="37">
        <f t="shared" si="28"/>
        <v>51.063829787234042</v>
      </c>
      <c r="AF49" s="37">
        <f t="shared" si="28"/>
        <v>30.73404255319149</v>
      </c>
      <c r="AG49" s="37">
        <f t="shared" si="28"/>
        <v>60.180851063829785</v>
      </c>
      <c r="AH49" s="37"/>
      <c r="AI49" s="38">
        <f>+AI48*AI47</f>
        <v>35.712585106382981</v>
      </c>
      <c r="AJ49" s="6"/>
    </row>
    <row r="50" spans="1:36" x14ac:dyDescent="0.3">
      <c r="A50" s="2"/>
      <c r="B50" s="33"/>
      <c r="C50" s="34" t="s">
        <v>19</v>
      </c>
      <c r="D50" s="20">
        <v>3338</v>
      </c>
      <c r="E50" s="20">
        <v>5451</v>
      </c>
      <c r="F50" s="20">
        <v>2752</v>
      </c>
      <c r="G50" s="20">
        <v>2077.09</v>
      </c>
      <c r="H50" s="20">
        <v>1907</v>
      </c>
      <c r="I50" s="20">
        <v>3281.4</v>
      </c>
      <c r="J50" s="20">
        <v>2512</v>
      </c>
      <c r="K50" s="20">
        <v>3021</v>
      </c>
      <c r="L50" s="20">
        <v>5107</v>
      </c>
      <c r="M50" s="20">
        <v>5062</v>
      </c>
      <c r="N50" s="20">
        <v>2725</v>
      </c>
      <c r="O50" s="20">
        <v>2635</v>
      </c>
      <c r="P50" s="20">
        <v>2464</v>
      </c>
      <c r="Q50" s="20">
        <v>2961</v>
      </c>
      <c r="R50" s="20">
        <v>2475</v>
      </c>
      <c r="S50" s="20">
        <v>3311</v>
      </c>
      <c r="T50" s="20">
        <v>3047</v>
      </c>
      <c r="U50" s="20">
        <v>1651</v>
      </c>
      <c r="V50" s="20">
        <v>3531</v>
      </c>
      <c r="W50" s="20">
        <v>3682</v>
      </c>
      <c r="X50" s="20">
        <v>3293</v>
      </c>
      <c r="Y50" s="20">
        <v>2610</v>
      </c>
      <c r="Z50" s="20">
        <v>3410</v>
      </c>
      <c r="AA50" s="20">
        <v>3353</v>
      </c>
      <c r="AB50" s="20">
        <v>1872</v>
      </c>
      <c r="AC50" s="20">
        <v>4475</v>
      </c>
      <c r="AD50" s="20">
        <v>5360</v>
      </c>
      <c r="AE50" s="20">
        <v>4800</v>
      </c>
      <c r="AF50" s="20">
        <v>2889</v>
      </c>
      <c r="AG50" s="20">
        <v>5657</v>
      </c>
      <c r="AH50" s="20"/>
      <c r="AI50" s="39">
        <f>SUM(D50:AG50)</f>
        <v>100709.49</v>
      </c>
      <c r="AJ50" s="6"/>
    </row>
    <row r="51" spans="1:36" ht="15" thickBot="1" x14ac:dyDescent="0.35">
      <c r="A51" s="145"/>
      <c r="B51" s="40"/>
      <c r="C51" s="41" t="s">
        <v>20</v>
      </c>
      <c r="D51" s="49">
        <f>1283.52/D50</f>
        <v>0.38451767525464348</v>
      </c>
      <c r="E51" s="49">
        <f>650.64/E50</f>
        <v>0.11936158503026967</v>
      </c>
      <c r="F51" s="49">
        <f>574.58/F50</f>
        <v>0.20878633720930234</v>
      </c>
      <c r="G51" s="49">
        <f>676.2/G50</f>
        <v>0.32555161307406033</v>
      </c>
      <c r="H51" s="49">
        <f>794.11/H50</f>
        <v>0.416418458311484</v>
      </c>
      <c r="I51" s="49">
        <f>1130.25/I50</f>
        <v>0.34444139696471016</v>
      </c>
      <c r="J51" s="49">
        <f>1205.48/J50</f>
        <v>0.47988853503184714</v>
      </c>
      <c r="K51" s="49">
        <f>1162/K50</f>
        <v>0.38464084740152266</v>
      </c>
      <c r="L51" s="49">
        <v>0.19885842960642255</v>
      </c>
      <c r="M51" s="49">
        <v>0.15254444883445278</v>
      </c>
      <c r="N51" s="49">
        <v>0.28604403669724771</v>
      </c>
      <c r="O51" s="49">
        <v>0.41990132827324478</v>
      </c>
      <c r="P51" s="49">
        <f>1167.25/P50</f>
        <v>0.47372159090909088</v>
      </c>
      <c r="Q51" s="49">
        <f>952.38/Q50</f>
        <v>0.32164133738601824</v>
      </c>
      <c r="R51" s="49">
        <f>1564.56/R50</f>
        <v>0.63214545454545457</v>
      </c>
      <c r="S51" s="49">
        <f>1248.46/S50</f>
        <v>0.37706433101781939</v>
      </c>
      <c r="T51" s="49">
        <f>328.1/T50</f>
        <v>0.10767968493600263</v>
      </c>
      <c r="U51" s="49">
        <f>422.75/U50</f>
        <v>0.25605693519079348</v>
      </c>
      <c r="V51" s="49">
        <f>876.3/V50</f>
        <v>0.2481733220050977</v>
      </c>
      <c r="W51" s="49">
        <v>0.25</v>
      </c>
      <c r="X51" s="49">
        <f>1144.21/X50</f>
        <v>0.3474673549954449</v>
      </c>
      <c r="Y51" s="49">
        <f>993.87/Y50</f>
        <v>0.38079310344827588</v>
      </c>
      <c r="Z51" s="49">
        <f>1054.23/Z50</f>
        <v>0.30915835777126099</v>
      </c>
      <c r="AA51" s="49">
        <f>896.25/AA50</f>
        <v>0.26729794214136593</v>
      </c>
      <c r="AB51" s="49">
        <f>357.65/AB50</f>
        <v>0.19105235042735041</v>
      </c>
      <c r="AC51" s="49">
        <f>847.54/AC50</f>
        <v>0.18939441340782123</v>
      </c>
      <c r="AD51" s="49"/>
      <c r="AE51" s="49"/>
      <c r="AF51" s="49"/>
      <c r="AG51" s="49"/>
      <c r="AH51" s="49"/>
      <c r="AI51" s="51">
        <f>AVERAGE(D51:AG51)</f>
        <v>0.31048464884119242</v>
      </c>
      <c r="AJ51" s="6"/>
    </row>
    <row r="52" spans="1:36" ht="15" thickTop="1" x14ac:dyDescent="0.3">
      <c r="A52" s="145"/>
      <c r="B52" s="340" t="s">
        <v>77</v>
      </c>
      <c r="C52" s="341"/>
      <c r="D52" s="42">
        <f>(1283.52+1198.63)/(D44+D50)</f>
        <v>0.34274371720519192</v>
      </c>
      <c r="E52" s="42">
        <f>(650.64+838.91)/(E44+E50)</f>
        <v>0.15485497452957686</v>
      </c>
      <c r="F52" s="42">
        <f>(574.58+354.5)/(F44+F50)</f>
        <v>0.14335442061410278</v>
      </c>
      <c r="G52" s="42">
        <f>(676.2+399.49)/(G44+G50)</f>
        <v>0.25678369287840558</v>
      </c>
      <c r="H52" s="42">
        <f>(794.11+822.53)/(H44+H50)</f>
        <v>0.36369853768278965</v>
      </c>
      <c r="I52" s="42">
        <f>(1130.25+940.8)/(I44+I50)</f>
        <v>0.40102432034699098</v>
      </c>
      <c r="J52" s="42">
        <f>(1205.48+982.35)/(J44+J50)</f>
        <v>0.50260280266482882</v>
      </c>
      <c r="K52" s="42">
        <f>(1162+1002.4)/(K44+K50)</f>
        <v>0.39757531227038945</v>
      </c>
      <c r="L52" s="42">
        <v>0.18726732673267329</v>
      </c>
      <c r="M52" s="42">
        <v>0.11440657795088176</v>
      </c>
      <c r="N52" s="42">
        <v>0.27735474006116212</v>
      </c>
      <c r="O52" s="42">
        <v>0.37646273637374861</v>
      </c>
      <c r="P52" s="42">
        <f>(1167.25+997.79)/(P44+P50)</f>
        <v>0.51074309978768573</v>
      </c>
      <c r="Q52" s="42">
        <f>(952.38+1081.64)/(Q44+Q50)</f>
        <v>0.4622772727272727</v>
      </c>
      <c r="R52" s="42">
        <f>(1564.56+826.7)/(R44+R50)</f>
        <v>0.41915162138475026</v>
      </c>
      <c r="S52" s="42">
        <f>(1248.46+971.42)/(S44+S50)</f>
        <v>0.24844767767207612</v>
      </c>
      <c r="T52" s="42">
        <f>(328.1+172.79)/(T44+T50)</f>
        <v>6.929856115107913E-2</v>
      </c>
      <c r="U52" s="42">
        <f>(422.75+261.87)/(U44+U50)</f>
        <v>0.24021754385964914</v>
      </c>
      <c r="V52" s="42">
        <f>(876.3+890.47)/(V44+V50)</f>
        <v>0.35356613968381029</v>
      </c>
      <c r="W52" s="42">
        <v>0.32</v>
      </c>
      <c r="X52" s="42">
        <f>(1144.21+1358.58)/(X44+X50)</f>
        <v>0.48204738058551616</v>
      </c>
      <c r="Y52" s="42">
        <f>(993.87+926.87)/(Y44+Y50)</f>
        <v>0.30786023401186086</v>
      </c>
      <c r="Z52" s="42">
        <f>(1054.23+730.57)/(Z44+Z50)</f>
        <v>0.21765853658536588</v>
      </c>
      <c r="AA52" s="42">
        <f>(896.25+892.89)/(AA44+AA50)</f>
        <v>0.17791766109785201</v>
      </c>
      <c r="AB52" s="42">
        <f>(357.65+365.46)/(AB44+AB50)</f>
        <v>0.26732347504621068</v>
      </c>
      <c r="AC52" s="42">
        <f>(430.79+847.54)/(AC44+AC50)</f>
        <v>0.17001329964090969</v>
      </c>
      <c r="AD52" s="42"/>
      <c r="AE52" s="42"/>
      <c r="AF52" s="42"/>
      <c r="AG52" s="42"/>
      <c r="AH52" s="42"/>
      <c r="AI52" s="44">
        <f>AVERAGE(D52:AG52)</f>
        <v>0.29864044855941463</v>
      </c>
      <c r="AJ52" s="6"/>
    </row>
    <row r="53" spans="1:36" ht="15" thickBot="1" x14ac:dyDescent="0.35">
      <c r="A53" s="145"/>
      <c r="B53" s="342" t="s">
        <v>78</v>
      </c>
      <c r="C53" s="343"/>
      <c r="D53" s="42">
        <f t="shared" ref="D53:K53" si="29">D52</f>
        <v>0.34274371720519192</v>
      </c>
      <c r="E53" s="42">
        <f t="shared" si="29"/>
        <v>0.15485497452957686</v>
      </c>
      <c r="F53" s="42">
        <f t="shared" si="29"/>
        <v>0.14335442061410278</v>
      </c>
      <c r="G53" s="42">
        <f t="shared" si="29"/>
        <v>0.25678369287840558</v>
      </c>
      <c r="H53" s="42">
        <f t="shared" si="29"/>
        <v>0.36369853768278965</v>
      </c>
      <c r="I53" s="42">
        <f t="shared" si="29"/>
        <v>0.40102432034699098</v>
      </c>
      <c r="J53" s="42">
        <f t="shared" si="29"/>
        <v>0.50260280266482882</v>
      </c>
      <c r="K53" s="42">
        <f t="shared" si="29"/>
        <v>0.39757531227038945</v>
      </c>
      <c r="L53" s="42">
        <v>0.18726732673267329</v>
      </c>
      <c r="M53" s="42">
        <v>0.11440657795088176</v>
      </c>
      <c r="N53" s="42">
        <v>0.27735474006116212</v>
      </c>
      <c r="O53" s="42">
        <v>0.37646273637374861</v>
      </c>
      <c r="P53" s="42">
        <f>P52</f>
        <v>0.51074309978768573</v>
      </c>
      <c r="Q53" s="42">
        <f t="shared" ref="Q53:V53" si="30">Q52</f>
        <v>0.4622772727272727</v>
      </c>
      <c r="R53" s="42">
        <f t="shared" si="30"/>
        <v>0.41915162138475026</v>
      </c>
      <c r="S53" s="42">
        <f t="shared" si="30"/>
        <v>0.24844767767207612</v>
      </c>
      <c r="T53" s="42">
        <f t="shared" si="30"/>
        <v>6.929856115107913E-2</v>
      </c>
      <c r="U53" s="42">
        <f t="shared" si="30"/>
        <v>0.24021754385964914</v>
      </c>
      <c r="V53" s="42">
        <f t="shared" si="30"/>
        <v>0.35356613968381029</v>
      </c>
      <c r="W53" s="42">
        <v>0.32</v>
      </c>
      <c r="X53" s="42">
        <f>X52</f>
        <v>0.48204738058551616</v>
      </c>
      <c r="Y53" s="42">
        <f t="shared" ref="Y53:AE53" si="31">Y52</f>
        <v>0.30786023401186086</v>
      </c>
      <c r="Z53" s="42">
        <f>Z52</f>
        <v>0.21765853658536588</v>
      </c>
      <c r="AA53" s="42">
        <f t="shared" si="31"/>
        <v>0.17791766109785201</v>
      </c>
      <c r="AB53" s="42">
        <f t="shared" si="31"/>
        <v>0.26732347504621068</v>
      </c>
      <c r="AC53" s="42">
        <f t="shared" si="31"/>
        <v>0.17001329964090969</v>
      </c>
      <c r="AD53" s="42">
        <f t="shared" si="31"/>
        <v>0</v>
      </c>
      <c r="AE53" s="42">
        <f t="shared" si="31"/>
        <v>0</v>
      </c>
      <c r="AF53" s="42">
        <f>AF52</f>
        <v>0</v>
      </c>
      <c r="AG53" s="42">
        <f>AG52</f>
        <v>0</v>
      </c>
      <c r="AH53" s="42"/>
      <c r="AI53" s="44">
        <f>AVERAGE(D53:AG53)</f>
        <v>0.25882172208482601</v>
      </c>
      <c r="AJ53" s="6"/>
    </row>
    <row r="54" spans="1:36" x14ac:dyDescent="0.3">
      <c r="A54" s="2">
        <v>133</v>
      </c>
      <c r="B54" s="9" t="s">
        <v>30</v>
      </c>
      <c r="C54" s="10" t="s">
        <v>15</v>
      </c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>
        <v>59</v>
      </c>
      <c r="Y54" s="150">
        <v>71</v>
      </c>
      <c r="Z54" s="150">
        <v>124</v>
      </c>
      <c r="AA54" s="150">
        <v>121</v>
      </c>
      <c r="AB54" s="150">
        <v>62</v>
      </c>
      <c r="AC54" s="150">
        <v>83</v>
      </c>
      <c r="AD54" s="150">
        <v>72</v>
      </c>
      <c r="AE54" s="150">
        <v>65</v>
      </c>
      <c r="AF54" s="150">
        <v>63</v>
      </c>
      <c r="AG54" s="150">
        <v>75</v>
      </c>
      <c r="AH54" s="150"/>
      <c r="AI54" s="151">
        <f>SUM(D54:AG54)</f>
        <v>795</v>
      </c>
      <c r="AJ54" s="6"/>
    </row>
    <row r="55" spans="1:36" x14ac:dyDescent="0.3">
      <c r="A55" s="2"/>
      <c r="B55" s="14"/>
      <c r="C55" s="15" t="s">
        <v>16</v>
      </c>
      <c r="D55" s="16">
        <f>D54/$A$54</f>
        <v>0</v>
      </c>
      <c r="E55" s="16">
        <f t="shared" ref="E55:W55" si="32">E54/$A$54</f>
        <v>0</v>
      </c>
      <c r="F55" s="16">
        <f t="shared" si="32"/>
        <v>0</v>
      </c>
      <c r="G55" s="16">
        <f t="shared" si="32"/>
        <v>0</v>
      </c>
      <c r="H55" s="16">
        <f t="shared" si="32"/>
        <v>0</v>
      </c>
      <c r="I55" s="16">
        <f t="shared" si="32"/>
        <v>0</v>
      </c>
      <c r="J55" s="16">
        <f t="shared" si="32"/>
        <v>0</v>
      </c>
      <c r="K55" s="16">
        <f t="shared" si="32"/>
        <v>0</v>
      </c>
      <c r="L55" s="16">
        <f t="shared" si="32"/>
        <v>0</v>
      </c>
      <c r="M55" s="16">
        <f t="shared" si="32"/>
        <v>0</v>
      </c>
      <c r="N55" s="16">
        <f t="shared" si="32"/>
        <v>0</v>
      </c>
      <c r="O55" s="16">
        <f t="shared" si="32"/>
        <v>0</v>
      </c>
      <c r="P55" s="16">
        <f t="shared" si="32"/>
        <v>0</v>
      </c>
      <c r="Q55" s="16">
        <f t="shared" si="32"/>
        <v>0</v>
      </c>
      <c r="R55" s="16">
        <f t="shared" si="32"/>
        <v>0</v>
      </c>
      <c r="S55" s="16">
        <f t="shared" si="32"/>
        <v>0</v>
      </c>
      <c r="T55" s="16">
        <f t="shared" si="32"/>
        <v>0</v>
      </c>
      <c r="U55" s="16">
        <f t="shared" si="32"/>
        <v>0</v>
      </c>
      <c r="V55" s="16">
        <f t="shared" si="32"/>
        <v>0</v>
      </c>
      <c r="W55" s="16">
        <f t="shared" si="32"/>
        <v>0</v>
      </c>
      <c r="X55" s="16">
        <f>X54/$A$54</f>
        <v>0.44360902255639095</v>
      </c>
      <c r="Y55" s="16">
        <f t="shared" ref="Y55:AG55" si="33">Y54/$A$54</f>
        <v>0.53383458646616544</v>
      </c>
      <c r="Z55" s="16">
        <f t="shared" si="33"/>
        <v>0.93233082706766912</v>
      </c>
      <c r="AA55" s="16">
        <f t="shared" si="33"/>
        <v>0.90977443609022557</v>
      </c>
      <c r="AB55" s="16">
        <f t="shared" si="33"/>
        <v>0.46616541353383456</v>
      </c>
      <c r="AC55" s="16">
        <f t="shared" si="33"/>
        <v>0.62406015037593987</v>
      </c>
      <c r="AD55" s="16">
        <f t="shared" si="33"/>
        <v>0.54135338345864659</v>
      </c>
      <c r="AE55" s="16">
        <f t="shared" si="33"/>
        <v>0.48872180451127817</v>
      </c>
      <c r="AF55" s="16">
        <f t="shared" si="33"/>
        <v>0.47368421052631576</v>
      </c>
      <c r="AG55" s="16">
        <f t="shared" si="33"/>
        <v>0.56390977443609025</v>
      </c>
      <c r="AH55" s="16"/>
      <c r="AI55" s="152">
        <f>+AI54/(A54*A$1)</f>
        <v>0.19924812030075187</v>
      </c>
      <c r="AJ55" s="6"/>
    </row>
    <row r="56" spans="1:36" x14ac:dyDescent="0.3">
      <c r="A56" s="2"/>
      <c r="B56" s="14"/>
      <c r="C56" s="15" t="s">
        <v>17</v>
      </c>
      <c r="D56" s="18">
        <f t="shared" ref="D56:W56" si="34">+IFERROR(D64/D54,0)</f>
        <v>0</v>
      </c>
      <c r="E56" s="18">
        <f t="shared" si="34"/>
        <v>0</v>
      </c>
      <c r="F56" s="18">
        <f t="shared" si="34"/>
        <v>0</v>
      </c>
      <c r="G56" s="18">
        <f t="shared" si="34"/>
        <v>0</v>
      </c>
      <c r="H56" s="18">
        <f t="shared" si="34"/>
        <v>0</v>
      </c>
      <c r="I56" s="18">
        <f t="shared" si="34"/>
        <v>0</v>
      </c>
      <c r="J56" s="18">
        <f t="shared" si="34"/>
        <v>0</v>
      </c>
      <c r="K56" s="18">
        <f t="shared" si="34"/>
        <v>0</v>
      </c>
      <c r="L56" s="18">
        <f t="shared" si="34"/>
        <v>0</v>
      </c>
      <c r="M56" s="18">
        <f t="shared" si="34"/>
        <v>0</v>
      </c>
      <c r="N56" s="18">
        <f t="shared" si="34"/>
        <v>0</v>
      </c>
      <c r="O56" s="18">
        <f t="shared" si="34"/>
        <v>0</v>
      </c>
      <c r="P56" s="18">
        <f t="shared" si="34"/>
        <v>0</v>
      </c>
      <c r="Q56" s="18">
        <f t="shared" si="34"/>
        <v>0</v>
      </c>
      <c r="R56" s="18">
        <f t="shared" si="34"/>
        <v>0</v>
      </c>
      <c r="S56" s="18">
        <f t="shared" si="34"/>
        <v>0</v>
      </c>
      <c r="T56" s="18">
        <f t="shared" si="34"/>
        <v>0</v>
      </c>
      <c r="U56" s="18">
        <f t="shared" si="34"/>
        <v>0</v>
      </c>
      <c r="V56" s="18">
        <f t="shared" si="34"/>
        <v>0</v>
      </c>
      <c r="W56" s="18">
        <f t="shared" si="34"/>
        <v>0</v>
      </c>
      <c r="X56" s="18">
        <f>+IFERROR(X58/X54,0)</f>
        <v>109.69491525423729</v>
      </c>
      <c r="Y56" s="18">
        <f t="shared" ref="Y56:AG56" si="35">+IFERROR(Y64/Y54,0)</f>
        <v>200.11267605633802</v>
      </c>
      <c r="Z56" s="18">
        <f t="shared" si="35"/>
        <v>162.69354838709677</v>
      </c>
      <c r="AA56" s="18">
        <f t="shared" si="35"/>
        <v>165.28099173553719</v>
      </c>
      <c r="AB56" s="18">
        <f t="shared" si="35"/>
        <v>194.95161290322579</v>
      </c>
      <c r="AC56" s="18">
        <f t="shared" si="35"/>
        <v>189.56626506024097</v>
      </c>
      <c r="AD56" s="18">
        <f t="shared" si="35"/>
        <v>189.05555555555554</v>
      </c>
      <c r="AE56" s="18">
        <f t="shared" si="35"/>
        <v>193.35384615384615</v>
      </c>
      <c r="AF56" s="18">
        <f t="shared" si="35"/>
        <v>165.84126984126985</v>
      </c>
      <c r="AG56" s="18">
        <f t="shared" si="35"/>
        <v>183.17333333333335</v>
      </c>
      <c r="AH56" s="18"/>
      <c r="AI56" s="153">
        <f>+AI64/AI54</f>
        <v>536.33742138364778</v>
      </c>
      <c r="AJ56" s="6"/>
    </row>
    <row r="57" spans="1:36" x14ac:dyDescent="0.3">
      <c r="A57" s="2"/>
      <c r="B57" s="14"/>
      <c r="C57" s="15" t="s">
        <v>18</v>
      </c>
      <c r="D57" s="18">
        <f>+D55*D56</f>
        <v>0</v>
      </c>
      <c r="E57" s="18">
        <f t="shared" ref="E57:AG57" si="36">+E55*E56</f>
        <v>0</v>
      </c>
      <c r="F57" s="18">
        <f t="shared" si="36"/>
        <v>0</v>
      </c>
      <c r="G57" s="18">
        <f t="shared" si="36"/>
        <v>0</v>
      </c>
      <c r="H57" s="18">
        <f t="shared" si="36"/>
        <v>0</v>
      </c>
      <c r="I57" s="18">
        <f t="shared" si="36"/>
        <v>0</v>
      </c>
      <c r="J57" s="18">
        <f t="shared" si="36"/>
        <v>0</v>
      </c>
      <c r="K57" s="18">
        <f t="shared" si="36"/>
        <v>0</v>
      </c>
      <c r="L57" s="18">
        <f t="shared" si="36"/>
        <v>0</v>
      </c>
      <c r="M57" s="18">
        <f t="shared" si="36"/>
        <v>0</v>
      </c>
      <c r="N57" s="18">
        <f t="shared" si="36"/>
        <v>0</v>
      </c>
      <c r="O57" s="18">
        <f t="shared" si="36"/>
        <v>0</v>
      </c>
      <c r="P57" s="18">
        <f t="shared" si="36"/>
        <v>0</v>
      </c>
      <c r="Q57" s="18">
        <f t="shared" si="36"/>
        <v>0</v>
      </c>
      <c r="R57" s="18">
        <f t="shared" si="36"/>
        <v>0</v>
      </c>
      <c r="S57" s="18">
        <f t="shared" si="36"/>
        <v>0</v>
      </c>
      <c r="T57" s="18">
        <f t="shared" si="36"/>
        <v>0</v>
      </c>
      <c r="U57" s="18">
        <f t="shared" si="36"/>
        <v>0</v>
      </c>
      <c r="V57" s="18">
        <f t="shared" si="36"/>
        <v>0</v>
      </c>
      <c r="W57" s="18">
        <f t="shared" si="36"/>
        <v>0</v>
      </c>
      <c r="X57" s="18">
        <f t="shared" si="36"/>
        <v>48.661654135338345</v>
      </c>
      <c r="Y57" s="18">
        <f t="shared" si="36"/>
        <v>106.82706766917293</v>
      </c>
      <c r="Z57" s="18">
        <f t="shared" si="36"/>
        <v>151.68421052631578</v>
      </c>
      <c r="AA57" s="18">
        <f t="shared" si="36"/>
        <v>150.36842105263159</v>
      </c>
      <c r="AB57" s="18">
        <f t="shared" si="36"/>
        <v>90.879699248120289</v>
      </c>
      <c r="AC57" s="18">
        <f t="shared" si="36"/>
        <v>118.30075187969925</v>
      </c>
      <c r="AD57" s="18">
        <f t="shared" si="36"/>
        <v>102.34586466165412</v>
      </c>
      <c r="AE57" s="18">
        <f t="shared" si="36"/>
        <v>94.496240601503757</v>
      </c>
      <c r="AF57" s="18">
        <f t="shared" si="36"/>
        <v>78.556390977443613</v>
      </c>
      <c r="AG57" s="18">
        <f t="shared" si="36"/>
        <v>103.29323308270678</v>
      </c>
      <c r="AH57" s="18"/>
      <c r="AI57" s="153"/>
      <c r="AJ57" s="6"/>
    </row>
    <row r="58" spans="1:36" ht="15" thickBot="1" x14ac:dyDescent="0.35">
      <c r="A58" s="2"/>
      <c r="B58" s="154"/>
      <c r="C58" s="81" t="s">
        <v>31</v>
      </c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>
        <v>6472</v>
      </c>
      <c r="Y58" s="155">
        <v>7571</v>
      </c>
      <c r="Z58" s="155">
        <v>13932</v>
      </c>
      <c r="AA58" s="155">
        <v>13494</v>
      </c>
      <c r="AB58" s="155">
        <v>6342</v>
      </c>
      <c r="AC58" s="155">
        <v>9098</v>
      </c>
      <c r="AD58" s="155">
        <v>7587</v>
      </c>
      <c r="AE58" s="155">
        <v>6574</v>
      </c>
      <c r="AF58" s="155">
        <v>6194</v>
      </c>
      <c r="AG58" s="155">
        <v>7857</v>
      </c>
      <c r="AH58" s="155"/>
      <c r="AI58" s="156">
        <f>+AI56*AI55</f>
        <v>106.8642230576441</v>
      </c>
      <c r="AJ58" s="6"/>
    </row>
    <row r="59" spans="1:36" x14ac:dyDescent="0.3">
      <c r="A59" s="2">
        <v>91</v>
      </c>
      <c r="B59" s="9" t="s">
        <v>32</v>
      </c>
      <c r="C59" s="10" t="s">
        <v>15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>
        <v>88</v>
      </c>
      <c r="Y59" s="157">
        <v>88</v>
      </c>
      <c r="Z59" s="157">
        <v>85</v>
      </c>
      <c r="AA59" s="157">
        <v>87</v>
      </c>
      <c r="AB59" s="157">
        <v>83</v>
      </c>
      <c r="AC59" s="157">
        <v>89</v>
      </c>
      <c r="AD59" s="157">
        <v>83</v>
      </c>
      <c r="AE59" s="157">
        <v>83</v>
      </c>
      <c r="AF59" s="157">
        <v>87</v>
      </c>
      <c r="AG59" s="157">
        <v>83</v>
      </c>
      <c r="AH59" s="157"/>
      <c r="AI59" s="151">
        <f>SUM(D59:AG59)</f>
        <v>856</v>
      </c>
      <c r="AJ59" s="6"/>
    </row>
    <row r="60" spans="1:36" x14ac:dyDescent="0.3">
      <c r="A60" s="2"/>
      <c r="B60" s="14"/>
      <c r="C60" s="15" t="s">
        <v>16</v>
      </c>
      <c r="D60" s="16">
        <f>D59/$A$54</f>
        <v>0</v>
      </c>
      <c r="E60" s="16">
        <f t="shared" ref="E60:AI60" si="37">E59/$A$54</f>
        <v>0</v>
      </c>
      <c r="F60" s="16">
        <f t="shared" si="37"/>
        <v>0</v>
      </c>
      <c r="G60" s="16">
        <f t="shared" si="37"/>
        <v>0</v>
      </c>
      <c r="H60" s="16">
        <f t="shared" si="37"/>
        <v>0</v>
      </c>
      <c r="I60" s="16">
        <f t="shared" si="37"/>
        <v>0</v>
      </c>
      <c r="J60" s="16">
        <f t="shared" si="37"/>
        <v>0</v>
      </c>
      <c r="K60" s="16">
        <f t="shared" si="37"/>
        <v>0</v>
      </c>
      <c r="L60" s="16">
        <f t="shared" si="37"/>
        <v>0</v>
      </c>
      <c r="M60" s="16">
        <f t="shared" si="37"/>
        <v>0</v>
      </c>
      <c r="N60" s="16">
        <f t="shared" si="37"/>
        <v>0</v>
      </c>
      <c r="O60" s="16">
        <f t="shared" si="37"/>
        <v>0</v>
      </c>
      <c r="P60" s="16">
        <f t="shared" si="37"/>
        <v>0</v>
      </c>
      <c r="Q60" s="16">
        <f t="shared" si="37"/>
        <v>0</v>
      </c>
      <c r="R60" s="16">
        <f t="shared" si="37"/>
        <v>0</v>
      </c>
      <c r="S60" s="16">
        <f t="shared" si="37"/>
        <v>0</v>
      </c>
      <c r="T60" s="16">
        <f t="shared" si="37"/>
        <v>0</v>
      </c>
      <c r="U60" s="16">
        <f t="shared" si="37"/>
        <v>0</v>
      </c>
      <c r="V60" s="16">
        <f t="shared" si="37"/>
        <v>0</v>
      </c>
      <c r="W60" s="16">
        <f t="shared" si="37"/>
        <v>0</v>
      </c>
      <c r="X60" s="16">
        <f>X59/$A$59</f>
        <v>0.96703296703296704</v>
      </c>
      <c r="Y60" s="16">
        <f t="shared" ref="Y60:AG60" si="38">Y59/$A$59</f>
        <v>0.96703296703296704</v>
      </c>
      <c r="Z60" s="16">
        <f t="shared" si="38"/>
        <v>0.93406593406593408</v>
      </c>
      <c r="AA60" s="16">
        <f t="shared" si="38"/>
        <v>0.95604395604395609</v>
      </c>
      <c r="AB60" s="16">
        <f t="shared" si="38"/>
        <v>0.91208791208791207</v>
      </c>
      <c r="AC60" s="16">
        <f t="shared" si="38"/>
        <v>0.97802197802197799</v>
      </c>
      <c r="AD60" s="16">
        <f t="shared" si="38"/>
        <v>0.91208791208791207</v>
      </c>
      <c r="AE60" s="16">
        <f t="shared" si="38"/>
        <v>0.91208791208791207</v>
      </c>
      <c r="AF60" s="16">
        <f t="shared" si="38"/>
        <v>0.95604395604395609</v>
      </c>
      <c r="AG60" s="16">
        <f t="shared" si="38"/>
        <v>0.91208791208791207</v>
      </c>
      <c r="AH60" s="18"/>
      <c r="AI60" s="16">
        <f t="shared" si="37"/>
        <v>6.4360902255639099</v>
      </c>
      <c r="AJ60" s="6"/>
    </row>
    <row r="61" spans="1:36" x14ac:dyDescent="0.3">
      <c r="A61" s="2"/>
      <c r="B61" s="14"/>
      <c r="C61" s="15" t="s">
        <v>17</v>
      </c>
      <c r="D61" s="18">
        <f>+IFERROR(#REF!/D59,0)</f>
        <v>0</v>
      </c>
      <c r="E61" s="18">
        <f>+IFERROR(#REF!/E59,0)</f>
        <v>0</v>
      </c>
      <c r="F61" s="18">
        <f>+IFERROR(#REF!/F59,0)</f>
        <v>0</v>
      </c>
      <c r="G61" s="18">
        <f>+IFERROR(#REF!/G59,0)</f>
        <v>0</v>
      </c>
      <c r="H61" s="18">
        <f>+IFERROR(#REF!/H59,0)</f>
        <v>0</v>
      </c>
      <c r="I61" s="18">
        <f>+IFERROR(#REF!/I59,0)</f>
        <v>0</v>
      </c>
      <c r="J61" s="18">
        <f>+IFERROR(#REF!/J59,0)</f>
        <v>0</v>
      </c>
      <c r="K61" s="18">
        <f>+IFERROR(#REF!/K59,0)</f>
        <v>0</v>
      </c>
      <c r="L61" s="18">
        <f>+IFERROR(#REF!/L59,0)</f>
        <v>0</v>
      </c>
      <c r="M61" s="18">
        <f>+IFERROR(#REF!/M59,0)</f>
        <v>0</v>
      </c>
      <c r="N61" s="18">
        <f>+IFERROR(#REF!/N59,0)</f>
        <v>0</v>
      </c>
      <c r="O61" s="18">
        <f>+IFERROR(#REF!/O59,0)</f>
        <v>0</v>
      </c>
      <c r="P61" s="18">
        <f>+IFERROR(#REF!/P59,0)</f>
        <v>0</v>
      </c>
      <c r="Q61" s="18">
        <f>+IFERROR(#REF!/Q59,0)</f>
        <v>0</v>
      </c>
      <c r="R61" s="18">
        <f>+IFERROR(#REF!/R59,0)</f>
        <v>0</v>
      </c>
      <c r="S61" s="18">
        <f>+IFERROR(#REF!/S59,0)</f>
        <v>0</v>
      </c>
      <c r="T61" s="18">
        <f>+IFERROR(#REF!/T59,0)</f>
        <v>0</v>
      </c>
      <c r="U61" s="18">
        <f>+IFERROR(#REF!/U59,0)</f>
        <v>0</v>
      </c>
      <c r="V61" s="18">
        <f>+IFERROR(#REF!/V59,0)</f>
        <v>0</v>
      </c>
      <c r="W61" s="18">
        <f>+IFERROR(#REF!/W59,0)</f>
        <v>0</v>
      </c>
      <c r="X61" s="18">
        <f>+IFERROR(X63/X59,0)</f>
        <v>76.193181818181813</v>
      </c>
      <c r="Y61" s="18">
        <f>+IFERROR(Y63/Y59,0)</f>
        <v>75.420454545454547</v>
      </c>
      <c r="Z61" s="18">
        <f>+IFERROR(Z63/Z59,0)</f>
        <v>73.435294117647061</v>
      </c>
      <c r="AA61" s="18">
        <f>+IFERROR(AA63/AA59,0)</f>
        <v>74.770114942528735</v>
      </c>
      <c r="AB61" s="18">
        <f t="shared" ref="AB61:AG61" si="39">+IFERROR(AB63/AB59,0)</f>
        <v>69.216867469879517</v>
      </c>
      <c r="AC61" s="18">
        <f t="shared" si="39"/>
        <v>74.561797752808985</v>
      </c>
      <c r="AD61" s="18">
        <f t="shared" si="39"/>
        <v>72.590361445783131</v>
      </c>
      <c r="AE61" s="18">
        <f t="shared" si="39"/>
        <v>72.216867469879517</v>
      </c>
      <c r="AF61" s="18">
        <f t="shared" si="39"/>
        <v>48.896551724137929</v>
      </c>
      <c r="AG61" s="18">
        <f t="shared" si="39"/>
        <v>70.855421686746993</v>
      </c>
      <c r="AH61" s="18"/>
      <c r="AI61" s="18">
        <f>+IFERROR(#REF!/AI59,0)</f>
        <v>0</v>
      </c>
      <c r="AJ61" s="6"/>
    </row>
    <row r="62" spans="1:36" x14ac:dyDescent="0.3">
      <c r="A62" s="2"/>
      <c r="B62" s="14"/>
      <c r="C62" s="15" t="s">
        <v>18</v>
      </c>
      <c r="D62" s="18"/>
      <c r="E62" s="18"/>
      <c r="F62" s="18"/>
      <c r="G62" s="18"/>
      <c r="H62" s="18"/>
      <c r="I62" s="18">
        <f>+I60*I61</f>
        <v>0</v>
      </c>
      <c r="J62" s="18">
        <f t="shared" ref="J62:X62" si="40">+J60*J61</f>
        <v>0</v>
      </c>
      <c r="K62" s="18">
        <f t="shared" si="40"/>
        <v>0</v>
      </c>
      <c r="L62" s="18">
        <f t="shared" si="40"/>
        <v>0</v>
      </c>
      <c r="M62" s="18">
        <f t="shared" si="40"/>
        <v>0</v>
      </c>
      <c r="N62" s="18">
        <f t="shared" si="40"/>
        <v>0</v>
      </c>
      <c r="O62" s="18">
        <f t="shared" si="40"/>
        <v>0</v>
      </c>
      <c r="P62" s="18">
        <f t="shared" si="40"/>
        <v>0</v>
      </c>
      <c r="Q62" s="18">
        <f t="shared" si="40"/>
        <v>0</v>
      </c>
      <c r="R62" s="18">
        <f t="shared" si="40"/>
        <v>0</v>
      </c>
      <c r="S62" s="18">
        <f t="shared" si="40"/>
        <v>0</v>
      </c>
      <c r="T62" s="18">
        <f t="shared" si="40"/>
        <v>0</v>
      </c>
      <c r="U62" s="18">
        <f t="shared" si="40"/>
        <v>0</v>
      </c>
      <c r="V62" s="18">
        <f t="shared" si="40"/>
        <v>0</v>
      </c>
      <c r="W62" s="18">
        <f t="shared" si="40"/>
        <v>0</v>
      </c>
      <c r="X62" s="18">
        <f t="shared" si="40"/>
        <v>73.681318681318672</v>
      </c>
      <c r="Y62" s="18">
        <f>+Y60*Y61</f>
        <v>72.934065934065941</v>
      </c>
      <c r="Z62" s="18">
        <f>+Z60*Z61</f>
        <v>68.593406593406598</v>
      </c>
      <c r="AA62" s="18">
        <f>+AA60*AA61</f>
        <v>71.483516483516482</v>
      </c>
      <c r="AB62" s="18">
        <f t="shared" ref="AB62:AG62" si="41">+AB60*AB61</f>
        <v>63.131868131868131</v>
      </c>
      <c r="AC62" s="18">
        <f t="shared" si="41"/>
        <v>72.92307692307692</v>
      </c>
      <c r="AD62" s="18">
        <f t="shared" si="41"/>
        <v>66.208791208791212</v>
      </c>
      <c r="AE62" s="18">
        <f t="shared" si="41"/>
        <v>65.868131868131869</v>
      </c>
      <c r="AF62" s="18">
        <f t="shared" si="41"/>
        <v>46.747252747252745</v>
      </c>
      <c r="AG62" s="18">
        <f t="shared" si="41"/>
        <v>64.626373626373635</v>
      </c>
      <c r="AH62" s="18"/>
      <c r="AI62" s="18"/>
      <c r="AJ62" s="6"/>
    </row>
    <row r="63" spans="1:36" ht="15" thickBot="1" x14ac:dyDescent="0.35">
      <c r="A63" s="2"/>
      <c r="B63" s="154"/>
      <c r="C63" s="81" t="s">
        <v>31</v>
      </c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>
        <v>6705</v>
      </c>
      <c r="Y63" s="155">
        <v>6637</v>
      </c>
      <c r="Z63" s="155">
        <v>6242</v>
      </c>
      <c r="AA63" s="155">
        <v>6505</v>
      </c>
      <c r="AB63" s="155">
        <v>5745</v>
      </c>
      <c r="AC63" s="155">
        <v>6636</v>
      </c>
      <c r="AD63" s="155">
        <v>6025</v>
      </c>
      <c r="AE63" s="155">
        <v>5994</v>
      </c>
      <c r="AF63" s="155">
        <v>4254</v>
      </c>
      <c r="AG63" s="155">
        <v>5881</v>
      </c>
      <c r="AH63" s="155"/>
      <c r="AI63" s="156">
        <f>+AI61*AI60</f>
        <v>0</v>
      </c>
      <c r="AJ63" s="6"/>
    </row>
    <row r="64" spans="1:36" x14ac:dyDescent="0.3">
      <c r="A64" s="2">
        <v>224</v>
      </c>
      <c r="B64" s="14" t="s">
        <v>33</v>
      </c>
      <c r="C64" s="15" t="s">
        <v>19</v>
      </c>
      <c r="D64" s="20">
        <v>12610</v>
      </c>
      <c r="E64" s="20">
        <v>9985</v>
      </c>
      <c r="F64" s="20">
        <v>11245</v>
      </c>
      <c r="G64" s="20">
        <v>9906</v>
      </c>
      <c r="H64" s="20">
        <v>9567</v>
      </c>
      <c r="I64" s="20">
        <v>14461</v>
      </c>
      <c r="J64" s="20">
        <v>15097</v>
      </c>
      <c r="K64" s="20">
        <v>11714</v>
      </c>
      <c r="L64" s="20">
        <v>16204</v>
      </c>
      <c r="M64" s="20">
        <v>19409</v>
      </c>
      <c r="N64" s="20">
        <v>16088</v>
      </c>
      <c r="O64" s="20">
        <v>13197.89</v>
      </c>
      <c r="P64" s="20">
        <v>12970.85</v>
      </c>
      <c r="Q64" s="20">
        <v>14458</v>
      </c>
      <c r="R64" s="20">
        <v>14648</v>
      </c>
      <c r="S64" s="20">
        <v>18658</v>
      </c>
      <c r="T64" s="20">
        <v>20922</v>
      </c>
      <c r="U64" s="20">
        <v>12258</v>
      </c>
      <c r="V64" s="20">
        <v>12723</v>
      </c>
      <c r="W64" s="20">
        <v>14521.51</v>
      </c>
      <c r="X64" s="20">
        <f t="shared" ref="X64:AG64" si="42">+X63+X58</f>
        <v>13177</v>
      </c>
      <c r="Y64" s="20">
        <f t="shared" si="42"/>
        <v>14208</v>
      </c>
      <c r="Z64" s="20">
        <f t="shared" si="42"/>
        <v>20174</v>
      </c>
      <c r="AA64" s="20">
        <f t="shared" si="42"/>
        <v>19999</v>
      </c>
      <c r="AB64" s="20">
        <f t="shared" si="42"/>
        <v>12087</v>
      </c>
      <c r="AC64" s="20">
        <f t="shared" si="42"/>
        <v>15734</v>
      </c>
      <c r="AD64" s="20">
        <f t="shared" si="42"/>
        <v>13612</v>
      </c>
      <c r="AE64" s="20">
        <f t="shared" si="42"/>
        <v>12568</v>
      </c>
      <c r="AF64" s="20">
        <f t="shared" si="42"/>
        <v>10448</v>
      </c>
      <c r="AG64" s="20">
        <f t="shared" si="42"/>
        <v>13738</v>
      </c>
      <c r="AH64" s="20"/>
      <c r="AI64" s="22">
        <f>SUM(D64:AG64)</f>
        <v>426388.25</v>
      </c>
      <c r="AJ64" s="6"/>
    </row>
    <row r="65" spans="1:36" x14ac:dyDescent="0.3">
      <c r="A65" s="2"/>
      <c r="B65" s="14"/>
      <c r="C65" s="15" t="s">
        <v>34</v>
      </c>
      <c r="D65" s="20">
        <v>644</v>
      </c>
      <c r="E65" s="20">
        <v>1060</v>
      </c>
      <c r="F65" s="20">
        <v>403</v>
      </c>
      <c r="G65" s="20">
        <v>399</v>
      </c>
      <c r="H65" s="20">
        <v>673</v>
      </c>
      <c r="I65" s="20">
        <v>1260</v>
      </c>
      <c r="J65" s="20">
        <v>6473</v>
      </c>
      <c r="K65" s="20">
        <v>880</v>
      </c>
      <c r="L65" s="20">
        <v>620</v>
      </c>
      <c r="M65" s="20">
        <v>5978</v>
      </c>
      <c r="N65" s="20">
        <v>883</v>
      </c>
      <c r="O65" s="20">
        <v>6456.4900000000016</v>
      </c>
      <c r="P65" s="20">
        <v>832.14999999999964</v>
      </c>
      <c r="Q65" s="20">
        <v>935.68000000000029</v>
      </c>
      <c r="R65" s="20">
        <v>2490</v>
      </c>
      <c r="S65" s="20">
        <v>3082</v>
      </c>
      <c r="T65" s="20">
        <v>2001</v>
      </c>
      <c r="U65" s="20">
        <v>-25</v>
      </c>
      <c r="V65" s="20">
        <v>1422</v>
      </c>
      <c r="W65" s="20">
        <v>2595.7500000000018</v>
      </c>
      <c r="X65" s="20">
        <f>+X66-X64</f>
        <v>550</v>
      </c>
      <c r="Y65" s="20">
        <f t="shared" ref="Y65:AG65" si="43">+Y66-Y64</f>
        <v>1369</v>
      </c>
      <c r="Z65" s="20">
        <f t="shared" si="43"/>
        <v>914</v>
      </c>
      <c r="AA65" s="20">
        <f t="shared" si="43"/>
        <v>674</v>
      </c>
      <c r="AB65" s="20">
        <f t="shared" si="43"/>
        <v>537</v>
      </c>
      <c r="AC65" s="20">
        <f t="shared" si="43"/>
        <v>21033.15</v>
      </c>
      <c r="AD65" s="20">
        <f t="shared" si="43"/>
        <v>2335</v>
      </c>
      <c r="AE65" s="20">
        <f t="shared" si="43"/>
        <v>887</v>
      </c>
      <c r="AF65" s="20">
        <f t="shared" si="43"/>
        <v>1862</v>
      </c>
      <c r="AG65" s="20">
        <f t="shared" si="43"/>
        <v>670</v>
      </c>
      <c r="AH65" s="20"/>
      <c r="AI65" s="22">
        <f>SUM(D65:AG65)</f>
        <v>69894.22</v>
      </c>
      <c r="AJ65" s="6"/>
    </row>
    <row r="66" spans="1:36" ht="15" thickBot="1" x14ac:dyDescent="0.35">
      <c r="A66" s="2"/>
      <c r="B66" s="33"/>
      <c r="C66" s="34" t="s">
        <v>35</v>
      </c>
      <c r="D66" s="20">
        <v>13254</v>
      </c>
      <c r="E66" s="20">
        <v>11045</v>
      </c>
      <c r="F66" s="20">
        <v>11648</v>
      </c>
      <c r="G66" s="20">
        <v>10305</v>
      </c>
      <c r="H66" s="20">
        <v>10240</v>
      </c>
      <c r="I66" s="20">
        <v>15721</v>
      </c>
      <c r="J66" s="20">
        <v>21570</v>
      </c>
      <c r="K66" s="20">
        <v>12594</v>
      </c>
      <c r="L66" s="20">
        <v>16824</v>
      </c>
      <c r="M66" s="20">
        <v>25387</v>
      </c>
      <c r="N66" s="20">
        <v>16971</v>
      </c>
      <c r="O66" s="20">
        <v>19654.38</v>
      </c>
      <c r="P66" s="20">
        <v>13803</v>
      </c>
      <c r="Q66" s="20">
        <v>15393.68</v>
      </c>
      <c r="R66" s="20">
        <v>17138</v>
      </c>
      <c r="S66" s="20">
        <v>21740</v>
      </c>
      <c r="T66" s="20">
        <v>22923</v>
      </c>
      <c r="U66" s="20">
        <v>12233</v>
      </c>
      <c r="V66" s="20">
        <v>14145</v>
      </c>
      <c r="W66" s="20">
        <v>17117.260000000002</v>
      </c>
      <c r="X66" s="20">
        <f>6730+6997</f>
        <v>13727</v>
      </c>
      <c r="Y66" s="20">
        <f>8913+6664</f>
        <v>15577</v>
      </c>
      <c r="Z66" s="20">
        <f>14835+6253</f>
        <v>21088</v>
      </c>
      <c r="AA66" s="20">
        <f>6527+14146</f>
        <v>20673</v>
      </c>
      <c r="AB66" s="20">
        <f>5759+6865</f>
        <v>12624</v>
      </c>
      <c r="AC66" s="20">
        <f>30124.15+6643</f>
        <v>36767.15</v>
      </c>
      <c r="AD66" s="20">
        <f>6037+9910</f>
        <v>15947</v>
      </c>
      <c r="AE66" s="20">
        <f>7280+6175</f>
        <v>13455</v>
      </c>
      <c r="AF66" s="20">
        <f>8022+4288</f>
        <v>12310</v>
      </c>
      <c r="AG66" s="20">
        <f>8491+5917</f>
        <v>14408</v>
      </c>
      <c r="AH66" s="20"/>
      <c r="AI66" s="39">
        <f>SUM(D66:AG66)</f>
        <v>496282.47000000003</v>
      </c>
      <c r="AJ66" s="6"/>
    </row>
    <row r="67" spans="1:36" ht="15" thickBot="1" x14ac:dyDescent="0.35">
      <c r="A67" s="145"/>
      <c r="B67" s="24"/>
      <c r="C67" s="15" t="s">
        <v>20</v>
      </c>
      <c r="D67" s="25">
        <v>0.22584200995925757</v>
      </c>
      <c r="E67" s="25">
        <v>0.28419194205522863</v>
      </c>
      <c r="F67" s="25">
        <v>0.11596668956043955</v>
      </c>
      <c r="G67" s="25">
        <v>0.17082193110140709</v>
      </c>
      <c r="H67" s="25">
        <v>0.25366796874999997</v>
      </c>
      <c r="I67" s="25">
        <v>0.16809236053686152</v>
      </c>
      <c r="J67" s="25">
        <v>0.14230319888734352</v>
      </c>
      <c r="K67" s="25">
        <v>0.23864221057646498</v>
      </c>
      <c r="L67" s="25">
        <v>0.17359843081312409</v>
      </c>
      <c r="M67" s="25">
        <v>8.9946823177216681E-2</v>
      </c>
      <c r="N67" s="25">
        <v>8.1890283424665603E-2</v>
      </c>
      <c r="O67" s="25">
        <v>0.16232107041789159</v>
      </c>
      <c r="P67" s="25">
        <v>0.20010215170615087</v>
      </c>
      <c r="Q67" s="25">
        <v>0.16881538397576148</v>
      </c>
      <c r="R67" s="25">
        <v>0.17651534601470417</v>
      </c>
      <c r="S67" s="25">
        <v>0.16952897884084636</v>
      </c>
      <c r="T67" s="25">
        <v>0.11211577891200979</v>
      </c>
      <c r="U67" s="25">
        <v>0.14170522357557427</v>
      </c>
      <c r="V67" s="25">
        <v>0.24133404029692471</v>
      </c>
      <c r="W67" s="25">
        <v>0.17</v>
      </c>
      <c r="X67" s="25">
        <f>2921.2/X66</f>
        <v>0.21280687695782033</v>
      </c>
      <c r="Y67" s="25">
        <f>2663.99/Y66</f>
        <v>0.17102073570007059</v>
      </c>
      <c r="Z67" s="25">
        <f>3885.1/Z66</f>
        <v>0.18423273899848255</v>
      </c>
      <c r="AA67" s="25">
        <f>3777.81/AA66</f>
        <v>0.18274125671165287</v>
      </c>
      <c r="AB67" s="25">
        <f>2481.73/AB66</f>
        <v>0.19658824461343474</v>
      </c>
      <c r="AC67" s="25">
        <f>2515.34/AC66</f>
        <v>6.8412699923709075E-2</v>
      </c>
      <c r="AD67" s="25"/>
      <c r="AE67" s="25"/>
      <c r="AF67" s="25"/>
      <c r="AG67" s="25"/>
      <c r="AH67" s="25"/>
      <c r="AI67" s="27">
        <f>AVERAGE(D67:AG67)</f>
        <v>0.17320016828796314</v>
      </c>
      <c r="AJ67" s="56"/>
    </row>
    <row r="68" spans="1:36" x14ac:dyDescent="0.3">
      <c r="A68" s="2">
        <v>74</v>
      </c>
      <c r="B68" s="33" t="s">
        <v>36</v>
      </c>
      <c r="C68" s="34" t="s">
        <v>15</v>
      </c>
      <c r="D68" s="59">
        <v>47</v>
      </c>
      <c r="E68" s="59">
        <v>56</v>
      </c>
      <c r="F68" s="59">
        <v>51</v>
      </c>
      <c r="G68" s="59">
        <v>35</v>
      </c>
      <c r="H68" s="59">
        <v>53</v>
      </c>
      <c r="I68" s="59">
        <v>62</v>
      </c>
      <c r="J68" s="59">
        <v>55</v>
      </c>
      <c r="K68" s="59">
        <v>51</v>
      </c>
      <c r="L68" s="59">
        <v>61</v>
      </c>
      <c r="M68" s="59">
        <v>67</v>
      </c>
      <c r="N68" s="59">
        <v>23</v>
      </c>
      <c r="O68" s="59">
        <v>35</v>
      </c>
      <c r="P68" s="59">
        <v>40</v>
      </c>
      <c r="Q68" s="59">
        <v>44</v>
      </c>
      <c r="R68" s="59">
        <v>56</v>
      </c>
      <c r="S68" s="59">
        <v>74</v>
      </c>
      <c r="T68" s="59">
        <v>74</v>
      </c>
      <c r="U68" s="59">
        <v>43</v>
      </c>
      <c r="V68" s="59">
        <v>43</v>
      </c>
      <c r="W68" s="59">
        <v>46</v>
      </c>
      <c r="X68" s="59">
        <v>37</v>
      </c>
      <c r="Y68" s="59">
        <v>69</v>
      </c>
      <c r="Z68" s="59">
        <v>66</v>
      </c>
      <c r="AA68" s="59">
        <v>60</v>
      </c>
      <c r="AB68" s="59">
        <v>30</v>
      </c>
      <c r="AC68" s="59">
        <v>18</v>
      </c>
      <c r="AD68" s="59">
        <v>35</v>
      </c>
      <c r="AE68" s="59">
        <v>33</v>
      </c>
      <c r="AF68" s="59">
        <v>51</v>
      </c>
      <c r="AG68" s="59">
        <v>68</v>
      </c>
      <c r="AH68" s="59"/>
      <c r="AI68" s="62">
        <f>SUM(D68:AG68)</f>
        <v>1483</v>
      </c>
      <c r="AJ68" s="6"/>
    </row>
    <row r="69" spans="1:36" x14ac:dyDescent="0.3">
      <c r="A69" s="2"/>
      <c r="B69" s="33"/>
      <c r="C69" s="34" t="s">
        <v>16</v>
      </c>
      <c r="D69" s="35">
        <f t="shared" ref="D69:AG69" si="44">+D68/$A68</f>
        <v>0.63513513513513509</v>
      </c>
      <c r="E69" s="35">
        <f t="shared" si="44"/>
        <v>0.7567567567567568</v>
      </c>
      <c r="F69" s="35">
        <f t="shared" si="44"/>
        <v>0.68918918918918914</v>
      </c>
      <c r="G69" s="35">
        <f t="shared" si="44"/>
        <v>0.47297297297297297</v>
      </c>
      <c r="H69" s="35">
        <f t="shared" si="44"/>
        <v>0.71621621621621623</v>
      </c>
      <c r="I69" s="35">
        <f t="shared" si="44"/>
        <v>0.83783783783783783</v>
      </c>
      <c r="J69" s="35">
        <f t="shared" si="44"/>
        <v>0.7432432432432432</v>
      </c>
      <c r="K69" s="35">
        <f t="shared" si="44"/>
        <v>0.68918918918918914</v>
      </c>
      <c r="L69" s="35">
        <f t="shared" si="44"/>
        <v>0.82432432432432434</v>
      </c>
      <c r="M69" s="35">
        <f t="shared" si="44"/>
        <v>0.90540540540540537</v>
      </c>
      <c r="N69" s="35">
        <f t="shared" si="44"/>
        <v>0.3108108108108108</v>
      </c>
      <c r="O69" s="35">
        <f t="shared" si="44"/>
        <v>0.47297297297297297</v>
      </c>
      <c r="P69" s="35">
        <f t="shared" si="44"/>
        <v>0.54054054054054057</v>
      </c>
      <c r="Q69" s="35">
        <f t="shared" si="44"/>
        <v>0.59459459459459463</v>
      </c>
      <c r="R69" s="35">
        <f t="shared" si="44"/>
        <v>0.7567567567567568</v>
      </c>
      <c r="S69" s="35">
        <f t="shared" si="44"/>
        <v>1</v>
      </c>
      <c r="T69" s="35">
        <f t="shared" si="44"/>
        <v>1</v>
      </c>
      <c r="U69" s="35">
        <f t="shared" si="44"/>
        <v>0.58108108108108103</v>
      </c>
      <c r="V69" s="35">
        <f t="shared" si="44"/>
        <v>0.58108108108108103</v>
      </c>
      <c r="W69" s="35">
        <f t="shared" si="44"/>
        <v>0.6216216216216216</v>
      </c>
      <c r="X69" s="35">
        <f t="shared" si="44"/>
        <v>0.5</v>
      </c>
      <c r="Y69" s="35">
        <f t="shared" si="44"/>
        <v>0.93243243243243246</v>
      </c>
      <c r="Z69" s="35">
        <f t="shared" si="44"/>
        <v>0.89189189189189189</v>
      </c>
      <c r="AA69" s="35">
        <f t="shared" si="44"/>
        <v>0.81081081081081086</v>
      </c>
      <c r="AB69" s="35">
        <f t="shared" si="44"/>
        <v>0.40540540540540543</v>
      </c>
      <c r="AC69" s="35">
        <f t="shared" si="44"/>
        <v>0.24324324324324326</v>
      </c>
      <c r="AD69" s="35">
        <f t="shared" si="44"/>
        <v>0.47297297297297297</v>
      </c>
      <c r="AE69" s="35">
        <f t="shared" si="44"/>
        <v>0.44594594594594594</v>
      </c>
      <c r="AF69" s="35">
        <f t="shared" si="44"/>
        <v>0.68918918918918914</v>
      </c>
      <c r="AG69" s="35">
        <f t="shared" si="44"/>
        <v>0.91891891891891897</v>
      </c>
      <c r="AH69" s="35"/>
      <c r="AI69" s="63">
        <f>+AI68/(A68*A$1)</f>
        <v>0.66801801801801797</v>
      </c>
      <c r="AJ69" s="6"/>
    </row>
    <row r="70" spans="1:36" x14ac:dyDescent="0.3">
      <c r="A70" s="2"/>
      <c r="B70" s="33"/>
      <c r="C70" s="34" t="s">
        <v>17</v>
      </c>
      <c r="D70" s="37">
        <f t="shared" ref="D70:AG70" si="45">+IFERROR(D72/D68,0)</f>
        <v>74.340425531914889</v>
      </c>
      <c r="E70" s="37">
        <f t="shared" si="45"/>
        <v>92.482142857142861</v>
      </c>
      <c r="F70" s="37">
        <f t="shared" si="45"/>
        <v>93.647058823529406</v>
      </c>
      <c r="G70" s="37">
        <f t="shared" si="45"/>
        <v>79.114285714285714</v>
      </c>
      <c r="H70" s="37">
        <f t="shared" si="45"/>
        <v>79.132075471698116</v>
      </c>
      <c r="I70" s="37">
        <f t="shared" si="45"/>
        <v>84.193548387096769</v>
      </c>
      <c r="J70" s="37">
        <f t="shared" si="45"/>
        <v>78.036363636363632</v>
      </c>
      <c r="K70" s="37">
        <f t="shared" si="45"/>
        <v>78.686274509803923</v>
      </c>
      <c r="L70" s="37">
        <f t="shared" si="45"/>
        <v>99.016393442622956</v>
      </c>
      <c r="M70" s="37">
        <f t="shared" si="45"/>
        <v>101.50746268656717</v>
      </c>
      <c r="N70" s="37">
        <f t="shared" si="45"/>
        <v>77.053913043478261</v>
      </c>
      <c r="O70" s="37">
        <f t="shared" si="45"/>
        <v>76.51428571428572</v>
      </c>
      <c r="P70" s="37">
        <f t="shared" si="45"/>
        <v>71.05</v>
      </c>
      <c r="Q70" s="37">
        <f t="shared" si="45"/>
        <v>73.022727272727266</v>
      </c>
      <c r="R70" s="37">
        <f t="shared" si="45"/>
        <v>77.357142857142861</v>
      </c>
      <c r="S70" s="37">
        <f t="shared" si="45"/>
        <v>96.28378378378379</v>
      </c>
      <c r="T70" s="37">
        <f t="shared" si="45"/>
        <v>78.148648648648646</v>
      </c>
      <c r="U70" s="37">
        <f t="shared" si="45"/>
        <v>69.604651162790702</v>
      </c>
      <c r="V70" s="37">
        <f t="shared" si="45"/>
        <v>69.604651162790702</v>
      </c>
      <c r="W70" s="37">
        <f t="shared" si="45"/>
        <v>77.130434782608702</v>
      </c>
      <c r="X70" s="37">
        <f t="shared" si="45"/>
        <v>77.891891891891888</v>
      </c>
      <c r="Y70" s="37">
        <f t="shared" si="45"/>
        <v>81.565217391304344</v>
      </c>
      <c r="Z70" s="37">
        <f t="shared" si="45"/>
        <v>111.33333333333333</v>
      </c>
      <c r="AA70" s="37">
        <f t="shared" si="45"/>
        <v>104.86666666666666</v>
      </c>
      <c r="AB70" s="37">
        <f t="shared" si="45"/>
        <v>73.566666666666663</v>
      </c>
      <c r="AC70" s="37">
        <f t="shared" si="45"/>
        <v>97.388888888888886</v>
      </c>
      <c r="AD70" s="37">
        <f t="shared" si="45"/>
        <v>70.971428571428575</v>
      </c>
      <c r="AE70" s="37">
        <f t="shared" si="45"/>
        <v>83.757575757575751</v>
      </c>
      <c r="AF70" s="37">
        <f t="shared" si="45"/>
        <v>87.568627450980387</v>
      </c>
      <c r="AG70" s="37">
        <f t="shared" si="45"/>
        <v>99.897058823529406</v>
      </c>
      <c r="AH70" s="37"/>
      <c r="AI70" s="64">
        <f>+AI72/AI68</f>
        <v>85.417559002022927</v>
      </c>
      <c r="AJ70" s="6"/>
    </row>
    <row r="71" spans="1:36" x14ac:dyDescent="0.3">
      <c r="A71" s="2"/>
      <c r="B71" s="33"/>
      <c r="C71" s="34" t="s">
        <v>18</v>
      </c>
      <c r="D71" s="37">
        <f t="shared" ref="D71:AG71" si="46">+D69*D70</f>
        <v>47.21621621621621</v>
      </c>
      <c r="E71" s="37">
        <f t="shared" si="46"/>
        <v>69.986486486486498</v>
      </c>
      <c r="F71" s="37">
        <f t="shared" si="46"/>
        <v>64.540540540540533</v>
      </c>
      <c r="G71" s="37">
        <f t="shared" si="46"/>
        <v>37.418918918918919</v>
      </c>
      <c r="H71" s="37">
        <f t="shared" si="46"/>
        <v>56.675675675675677</v>
      </c>
      <c r="I71" s="37">
        <f t="shared" si="46"/>
        <v>70.540540540540533</v>
      </c>
      <c r="J71" s="37">
        <f t="shared" si="46"/>
        <v>57.999999999999993</v>
      </c>
      <c r="K71" s="37">
        <f t="shared" si="46"/>
        <v>54.229729729729726</v>
      </c>
      <c r="L71" s="37">
        <f t="shared" si="46"/>
        <v>81.621621621621628</v>
      </c>
      <c r="M71" s="37">
        <f t="shared" si="46"/>
        <v>91.905405405405403</v>
      </c>
      <c r="N71" s="37">
        <f t="shared" si="46"/>
        <v>23.949189189189187</v>
      </c>
      <c r="O71" s="37">
        <f t="shared" si="46"/>
        <v>36.189189189189193</v>
      </c>
      <c r="P71" s="37">
        <f t="shared" si="46"/>
        <v>38.405405405405403</v>
      </c>
      <c r="Q71" s="37">
        <f t="shared" si="46"/>
        <v>43.418918918918919</v>
      </c>
      <c r="R71" s="37">
        <f t="shared" si="46"/>
        <v>58.540540540540547</v>
      </c>
      <c r="S71" s="37">
        <f t="shared" si="46"/>
        <v>96.28378378378379</v>
      </c>
      <c r="T71" s="37">
        <f t="shared" si="46"/>
        <v>78.148648648648646</v>
      </c>
      <c r="U71" s="37">
        <f t="shared" si="46"/>
        <v>40.445945945945944</v>
      </c>
      <c r="V71" s="37">
        <f t="shared" si="46"/>
        <v>40.445945945945944</v>
      </c>
      <c r="W71" s="37">
        <f t="shared" si="46"/>
        <v>47.945945945945951</v>
      </c>
      <c r="X71" s="37">
        <f t="shared" si="46"/>
        <v>38.945945945945944</v>
      </c>
      <c r="Y71" s="37">
        <f t="shared" si="46"/>
        <v>76.054054054054049</v>
      </c>
      <c r="Z71" s="37">
        <f t="shared" si="46"/>
        <v>99.297297297297291</v>
      </c>
      <c r="AA71" s="37">
        <f t="shared" si="46"/>
        <v>85.027027027027032</v>
      </c>
      <c r="AB71" s="37">
        <f t="shared" si="46"/>
        <v>29.824324324324323</v>
      </c>
      <c r="AC71" s="37">
        <f t="shared" si="46"/>
        <v>23.689189189189189</v>
      </c>
      <c r="AD71" s="37">
        <f t="shared" si="46"/>
        <v>33.567567567567572</v>
      </c>
      <c r="AE71" s="37">
        <f t="shared" si="46"/>
        <v>37.351351351351347</v>
      </c>
      <c r="AF71" s="37">
        <f t="shared" si="46"/>
        <v>60.35135135135134</v>
      </c>
      <c r="AG71" s="37">
        <f t="shared" si="46"/>
        <v>91.797297297297291</v>
      </c>
      <c r="AH71" s="37"/>
      <c r="AI71" s="64">
        <f>+AI70*AI69</f>
        <v>57.060468468468464</v>
      </c>
      <c r="AJ71" s="6"/>
    </row>
    <row r="72" spans="1:36" s="144" customFormat="1" ht="15" thickBot="1" x14ac:dyDescent="0.35">
      <c r="A72" s="146"/>
      <c r="B72" s="141"/>
      <c r="C72" s="65" t="s">
        <v>19</v>
      </c>
      <c r="D72" s="66">
        <v>3494</v>
      </c>
      <c r="E72" s="66">
        <v>5179</v>
      </c>
      <c r="F72" s="66">
        <v>4776</v>
      </c>
      <c r="G72" s="66">
        <v>2769</v>
      </c>
      <c r="H72" s="66">
        <v>4194</v>
      </c>
      <c r="I72" s="66">
        <v>5220</v>
      </c>
      <c r="J72" s="66">
        <v>4292</v>
      </c>
      <c r="K72" s="66">
        <v>4013</v>
      </c>
      <c r="L72" s="66">
        <v>6040</v>
      </c>
      <c r="M72" s="66">
        <v>6801</v>
      </c>
      <c r="N72" s="66">
        <v>1772.24</v>
      </c>
      <c r="O72" s="66">
        <v>2678</v>
      </c>
      <c r="P72" s="66">
        <v>2842</v>
      </c>
      <c r="Q72" s="66">
        <v>3213</v>
      </c>
      <c r="R72" s="66">
        <v>4332</v>
      </c>
      <c r="S72" s="66">
        <v>7125</v>
      </c>
      <c r="T72" s="66">
        <v>5783</v>
      </c>
      <c r="U72" s="66">
        <v>2993</v>
      </c>
      <c r="V72" s="66">
        <v>2993</v>
      </c>
      <c r="W72" s="66">
        <v>3548</v>
      </c>
      <c r="X72" s="66">
        <v>2882</v>
      </c>
      <c r="Y72" s="66">
        <v>5628</v>
      </c>
      <c r="Z72" s="66">
        <v>7348</v>
      </c>
      <c r="AA72" s="66">
        <v>6292</v>
      </c>
      <c r="AB72" s="66">
        <v>2207</v>
      </c>
      <c r="AC72" s="66">
        <v>1753</v>
      </c>
      <c r="AD72" s="66">
        <v>2484</v>
      </c>
      <c r="AE72" s="66">
        <v>2764</v>
      </c>
      <c r="AF72" s="66">
        <v>4466</v>
      </c>
      <c r="AG72" s="66">
        <v>6793</v>
      </c>
      <c r="AH72" s="66"/>
      <c r="AI72" s="142">
        <f>SUM(D72:AG72)</f>
        <v>126674.23999999999</v>
      </c>
      <c r="AJ72" s="143"/>
    </row>
    <row r="73" spans="1:36" x14ac:dyDescent="0.3">
      <c r="A73" s="2">
        <v>120</v>
      </c>
      <c r="B73" s="14" t="s">
        <v>37</v>
      </c>
      <c r="C73" s="15" t="s">
        <v>15</v>
      </c>
      <c r="D73" s="69">
        <v>109</v>
      </c>
      <c r="E73" s="69">
        <v>120</v>
      </c>
      <c r="F73" s="69">
        <v>111</v>
      </c>
      <c r="G73" s="69">
        <v>70</v>
      </c>
      <c r="H73" s="69">
        <v>119</v>
      </c>
      <c r="I73" s="69">
        <v>120</v>
      </c>
      <c r="J73" s="69">
        <v>114</v>
      </c>
      <c r="K73" s="69">
        <v>119</v>
      </c>
      <c r="L73" s="69">
        <v>120</v>
      </c>
      <c r="M73" s="69">
        <v>120</v>
      </c>
      <c r="N73" s="69">
        <v>72</v>
      </c>
      <c r="O73" s="69">
        <v>94</v>
      </c>
      <c r="P73" s="69">
        <v>114</v>
      </c>
      <c r="Q73" s="69">
        <v>105</v>
      </c>
      <c r="R73" s="69">
        <v>98</v>
      </c>
      <c r="S73" s="69">
        <v>120</v>
      </c>
      <c r="T73" s="69">
        <v>120</v>
      </c>
      <c r="U73" s="69">
        <v>65</v>
      </c>
      <c r="V73" s="69">
        <v>88</v>
      </c>
      <c r="W73" s="69">
        <v>102</v>
      </c>
      <c r="X73" s="69">
        <v>97</v>
      </c>
      <c r="Y73" s="69">
        <v>120</v>
      </c>
      <c r="Z73" s="69">
        <v>120</v>
      </c>
      <c r="AA73" s="69">
        <v>85</v>
      </c>
      <c r="AB73" s="69">
        <v>53</v>
      </c>
      <c r="AC73" s="69">
        <v>94</v>
      </c>
      <c r="AD73" s="69">
        <v>104</v>
      </c>
      <c r="AE73" s="69">
        <v>109</v>
      </c>
      <c r="AF73" s="69">
        <v>120</v>
      </c>
      <c r="AG73" s="69">
        <v>120</v>
      </c>
      <c r="AH73" s="69"/>
      <c r="AI73" s="71">
        <f>SUM(D73:AG73)</f>
        <v>3122</v>
      </c>
      <c r="AJ73" s="6"/>
    </row>
    <row r="74" spans="1:36" x14ac:dyDescent="0.3">
      <c r="A74" s="2"/>
      <c r="B74" s="14"/>
      <c r="C74" s="15" t="s">
        <v>16</v>
      </c>
      <c r="D74" s="16">
        <f>+D73/$A73</f>
        <v>0.90833333333333333</v>
      </c>
      <c r="E74" s="16">
        <f t="shared" ref="E74:AG74" si="47">+E73/$A73</f>
        <v>1</v>
      </c>
      <c r="F74" s="16">
        <f t="shared" si="47"/>
        <v>0.92500000000000004</v>
      </c>
      <c r="G74" s="16">
        <f t="shared" si="47"/>
        <v>0.58333333333333337</v>
      </c>
      <c r="H74" s="16">
        <f t="shared" si="47"/>
        <v>0.9916666666666667</v>
      </c>
      <c r="I74" s="16">
        <f t="shared" si="47"/>
        <v>1</v>
      </c>
      <c r="J74" s="16">
        <f t="shared" si="47"/>
        <v>0.95</v>
      </c>
      <c r="K74" s="16">
        <f t="shared" si="47"/>
        <v>0.9916666666666667</v>
      </c>
      <c r="L74" s="16">
        <f t="shared" si="47"/>
        <v>1</v>
      </c>
      <c r="M74" s="16">
        <f t="shared" si="47"/>
        <v>1</v>
      </c>
      <c r="N74" s="16">
        <f t="shared" si="47"/>
        <v>0.6</v>
      </c>
      <c r="O74" s="16">
        <f t="shared" si="47"/>
        <v>0.78333333333333333</v>
      </c>
      <c r="P74" s="16">
        <f t="shared" si="47"/>
        <v>0.95</v>
      </c>
      <c r="Q74" s="16">
        <f t="shared" si="47"/>
        <v>0.875</v>
      </c>
      <c r="R74" s="16">
        <f t="shared" si="47"/>
        <v>0.81666666666666665</v>
      </c>
      <c r="S74" s="16">
        <f t="shared" si="47"/>
        <v>1</v>
      </c>
      <c r="T74" s="16">
        <f t="shared" si="47"/>
        <v>1</v>
      </c>
      <c r="U74" s="16">
        <f t="shared" si="47"/>
        <v>0.54166666666666663</v>
      </c>
      <c r="V74" s="16">
        <f t="shared" si="47"/>
        <v>0.73333333333333328</v>
      </c>
      <c r="W74" s="16">
        <f t="shared" si="47"/>
        <v>0.85</v>
      </c>
      <c r="X74" s="16">
        <f t="shared" si="47"/>
        <v>0.80833333333333335</v>
      </c>
      <c r="Y74" s="16">
        <f t="shared" si="47"/>
        <v>1</v>
      </c>
      <c r="Z74" s="16">
        <f t="shared" si="47"/>
        <v>1</v>
      </c>
      <c r="AA74" s="16">
        <f t="shared" si="47"/>
        <v>0.70833333333333337</v>
      </c>
      <c r="AB74" s="16">
        <f t="shared" si="47"/>
        <v>0.44166666666666665</v>
      </c>
      <c r="AC74" s="16">
        <f t="shared" si="47"/>
        <v>0.78333333333333333</v>
      </c>
      <c r="AD74" s="16">
        <f t="shared" si="47"/>
        <v>0.8666666666666667</v>
      </c>
      <c r="AE74" s="16">
        <f t="shared" si="47"/>
        <v>0.90833333333333333</v>
      </c>
      <c r="AF74" s="16">
        <f t="shared" si="47"/>
        <v>1</v>
      </c>
      <c r="AG74" s="16">
        <f t="shared" si="47"/>
        <v>1</v>
      </c>
      <c r="AH74" s="16"/>
      <c r="AI74" s="17">
        <f>+AI73/(A73*A$1)</f>
        <v>0.86722222222222223</v>
      </c>
      <c r="AJ74" s="6"/>
    </row>
    <row r="75" spans="1:36" x14ac:dyDescent="0.3">
      <c r="A75" s="2"/>
      <c r="B75" s="14"/>
      <c r="C75" s="15" t="s">
        <v>17</v>
      </c>
      <c r="D75" s="18">
        <f t="shared" ref="D75:AG75" si="48">+IFERROR(D77/D73,0)</f>
        <v>92.467889908256879</v>
      </c>
      <c r="E75" s="18">
        <f t="shared" si="48"/>
        <v>106.41666666666667</v>
      </c>
      <c r="F75" s="18">
        <f t="shared" si="48"/>
        <v>101.55855855855856</v>
      </c>
      <c r="G75" s="18">
        <f t="shared" si="48"/>
        <v>95.942857142857136</v>
      </c>
      <c r="H75" s="18">
        <f t="shared" si="48"/>
        <v>103.4201680672269</v>
      </c>
      <c r="I75" s="18">
        <f t="shared" si="48"/>
        <v>105.30466666666666</v>
      </c>
      <c r="J75" s="18">
        <f t="shared" si="48"/>
        <v>110.57894736842105</v>
      </c>
      <c r="K75" s="18">
        <f t="shared" si="48"/>
        <v>100.65546218487395</v>
      </c>
      <c r="L75" s="18">
        <f t="shared" si="48"/>
        <v>117.81666666666666</v>
      </c>
      <c r="M75" s="18">
        <f t="shared" si="48"/>
        <v>117.76666666666667</v>
      </c>
      <c r="N75" s="18">
        <f t="shared" si="48"/>
        <v>97.208333333333329</v>
      </c>
      <c r="O75" s="18">
        <f t="shared" si="48"/>
        <v>111.52127659574468</v>
      </c>
      <c r="P75" s="18">
        <f t="shared" si="48"/>
        <v>101.14912280701755</v>
      </c>
      <c r="Q75" s="18">
        <f t="shared" si="48"/>
        <v>104.67619047619047</v>
      </c>
      <c r="R75" s="18">
        <f t="shared" si="48"/>
        <v>129.88775510204081</v>
      </c>
      <c r="S75" s="18">
        <f t="shared" si="48"/>
        <v>143.30000000000001</v>
      </c>
      <c r="T75" s="18">
        <f t="shared" si="48"/>
        <v>126.38333333333334</v>
      </c>
      <c r="U75" s="18">
        <f t="shared" si="48"/>
        <v>105.4</v>
      </c>
      <c r="V75" s="18">
        <f t="shared" si="48"/>
        <v>119.86363636363636</v>
      </c>
      <c r="W75" s="18">
        <f t="shared" si="48"/>
        <v>110.24509803921569</v>
      </c>
      <c r="X75" s="18">
        <f t="shared" si="48"/>
        <v>120.1340206185567</v>
      </c>
      <c r="Y75" s="18">
        <f t="shared" si="48"/>
        <v>127.24166666666666</v>
      </c>
      <c r="Z75" s="18">
        <f t="shared" si="48"/>
        <v>164.94166666666666</v>
      </c>
      <c r="AA75" s="18">
        <f t="shared" si="48"/>
        <v>130.80000000000001</v>
      </c>
      <c r="AB75" s="18">
        <f t="shared" si="48"/>
        <v>93.528301886792448</v>
      </c>
      <c r="AC75" s="18">
        <f t="shared" si="48"/>
        <v>101.3936170212766</v>
      </c>
      <c r="AD75" s="18">
        <f t="shared" si="48"/>
        <v>101.13461538461539</v>
      </c>
      <c r="AE75" s="18">
        <f t="shared" si="48"/>
        <v>104.23853211009174</v>
      </c>
      <c r="AF75" s="18">
        <f t="shared" si="48"/>
        <v>122.825</v>
      </c>
      <c r="AG75" s="18">
        <f t="shared" si="48"/>
        <v>132.84166666666667</v>
      </c>
      <c r="AH75" s="18"/>
      <c r="AI75" s="19">
        <f>+AI77/AI73</f>
        <v>114.43163356822549</v>
      </c>
      <c r="AJ75" s="6"/>
    </row>
    <row r="76" spans="1:36" x14ac:dyDescent="0.3">
      <c r="A76" s="2"/>
      <c r="B76" s="14"/>
      <c r="C76" s="15" t="s">
        <v>18</v>
      </c>
      <c r="D76" s="18">
        <f t="shared" ref="D76:AG76" si="49">+D74*D75</f>
        <v>83.99166666666666</v>
      </c>
      <c r="E76" s="18">
        <f t="shared" si="49"/>
        <v>106.41666666666667</v>
      </c>
      <c r="F76" s="18">
        <f t="shared" si="49"/>
        <v>93.941666666666677</v>
      </c>
      <c r="G76" s="18">
        <f t="shared" si="49"/>
        <v>55.966666666666669</v>
      </c>
      <c r="H76" s="18">
        <f t="shared" si="49"/>
        <v>102.55833333333334</v>
      </c>
      <c r="I76" s="18">
        <f t="shared" si="49"/>
        <v>105.30466666666666</v>
      </c>
      <c r="J76" s="18">
        <f t="shared" si="49"/>
        <v>105.05</v>
      </c>
      <c r="K76" s="18">
        <f t="shared" si="49"/>
        <v>99.816666666666677</v>
      </c>
      <c r="L76" s="18">
        <f t="shared" si="49"/>
        <v>117.81666666666666</v>
      </c>
      <c r="M76" s="18">
        <f t="shared" si="49"/>
        <v>117.76666666666667</v>
      </c>
      <c r="N76" s="18">
        <f t="shared" si="49"/>
        <v>58.324999999999996</v>
      </c>
      <c r="O76" s="18">
        <f t="shared" si="49"/>
        <v>87.358333333333334</v>
      </c>
      <c r="P76" s="18">
        <f t="shared" si="49"/>
        <v>96.091666666666669</v>
      </c>
      <c r="Q76" s="18">
        <f t="shared" si="49"/>
        <v>91.591666666666669</v>
      </c>
      <c r="R76" s="18">
        <f t="shared" si="49"/>
        <v>106.07499999999999</v>
      </c>
      <c r="S76" s="18">
        <f t="shared" si="49"/>
        <v>143.30000000000001</v>
      </c>
      <c r="T76" s="18">
        <f t="shared" si="49"/>
        <v>126.38333333333334</v>
      </c>
      <c r="U76" s="18">
        <f t="shared" si="49"/>
        <v>57.091666666666669</v>
      </c>
      <c r="V76" s="18">
        <f t="shared" si="49"/>
        <v>87.899999999999991</v>
      </c>
      <c r="W76" s="18">
        <f t="shared" si="49"/>
        <v>93.708333333333329</v>
      </c>
      <c r="X76" s="18">
        <f t="shared" si="49"/>
        <v>97.108333333333334</v>
      </c>
      <c r="Y76" s="18">
        <f t="shared" si="49"/>
        <v>127.24166666666666</v>
      </c>
      <c r="Z76" s="18">
        <f t="shared" si="49"/>
        <v>164.94166666666666</v>
      </c>
      <c r="AA76" s="18">
        <f t="shared" si="49"/>
        <v>92.65000000000002</v>
      </c>
      <c r="AB76" s="18">
        <f t="shared" si="49"/>
        <v>41.30833333333333</v>
      </c>
      <c r="AC76" s="18">
        <f t="shared" si="49"/>
        <v>79.424999999999997</v>
      </c>
      <c r="AD76" s="18">
        <f t="shared" si="49"/>
        <v>87.65</v>
      </c>
      <c r="AE76" s="18">
        <f t="shared" si="49"/>
        <v>94.683333333333323</v>
      </c>
      <c r="AF76" s="18">
        <f t="shared" si="49"/>
        <v>122.825</v>
      </c>
      <c r="AG76" s="18">
        <f t="shared" si="49"/>
        <v>132.84166666666667</v>
      </c>
      <c r="AH76" s="18"/>
      <c r="AI76" s="19">
        <f>+AI75*AI74</f>
        <v>99.237655555555548</v>
      </c>
      <c r="AJ76" s="6"/>
    </row>
    <row r="77" spans="1:36" x14ac:dyDescent="0.3">
      <c r="A77" s="2"/>
      <c r="B77" s="33"/>
      <c r="C77" s="34" t="s">
        <v>19</v>
      </c>
      <c r="D77" s="20">
        <v>10079</v>
      </c>
      <c r="E77" s="20">
        <v>12770</v>
      </c>
      <c r="F77" s="20">
        <v>11273</v>
      </c>
      <c r="G77" s="20">
        <v>6716</v>
      </c>
      <c r="H77" s="20">
        <v>12307</v>
      </c>
      <c r="I77" s="20">
        <v>12636.56</v>
      </c>
      <c r="J77" s="20">
        <v>12606</v>
      </c>
      <c r="K77" s="20">
        <v>11978</v>
      </c>
      <c r="L77" s="20">
        <v>14138</v>
      </c>
      <c r="M77" s="20">
        <v>14132</v>
      </c>
      <c r="N77" s="20">
        <v>6999</v>
      </c>
      <c r="O77" s="20">
        <v>10483</v>
      </c>
      <c r="P77" s="20">
        <v>11531</v>
      </c>
      <c r="Q77" s="20">
        <v>10991</v>
      </c>
      <c r="R77" s="20">
        <v>12729</v>
      </c>
      <c r="S77" s="20">
        <v>17196</v>
      </c>
      <c r="T77" s="20">
        <v>15166</v>
      </c>
      <c r="U77" s="20">
        <v>6851</v>
      </c>
      <c r="V77" s="20">
        <v>10548</v>
      </c>
      <c r="W77" s="20">
        <v>11245</v>
      </c>
      <c r="X77" s="20">
        <v>11653</v>
      </c>
      <c r="Y77" s="20">
        <v>15269</v>
      </c>
      <c r="Z77" s="20">
        <v>19793</v>
      </c>
      <c r="AA77" s="20">
        <v>11118</v>
      </c>
      <c r="AB77" s="20">
        <v>4957</v>
      </c>
      <c r="AC77" s="20">
        <v>9531</v>
      </c>
      <c r="AD77" s="20">
        <v>10518</v>
      </c>
      <c r="AE77" s="20">
        <v>11362</v>
      </c>
      <c r="AF77" s="20">
        <v>14739</v>
      </c>
      <c r="AG77" s="20">
        <v>15941</v>
      </c>
      <c r="AH77" s="20"/>
      <c r="AI77" s="39">
        <f>SUM(D77:AG77)</f>
        <v>357255.56</v>
      </c>
      <c r="AJ77" s="6"/>
    </row>
    <row r="78" spans="1:36" ht="15" thickBot="1" x14ac:dyDescent="0.35">
      <c r="A78" s="145"/>
      <c r="B78" s="24"/>
      <c r="C78" s="15" t="s">
        <v>20</v>
      </c>
      <c r="D78" s="25">
        <f>1341.52/D77</f>
        <v>0.13310050600257961</v>
      </c>
      <c r="E78" s="25">
        <f>1719.34/E77</f>
        <v>0.13463899765074391</v>
      </c>
      <c r="F78" s="25">
        <f>1355.36/F77</f>
        <v>0.12023063958130044</v>
      </c>
      <c r="G78" s="25">
        <f>1159.65/G77</f>
        <v>0.17266974389517573</v>
      </c>
      <c r="H78" s="25">
        <f>1623.23/H77</f>
        <v>0.13189485658568295</v>
      </c>
      <c r="I78" s="25">
        <f>1278/I77</f>
        <v>0.1011351190513874</v>
      </c>
      <c r="J78" s="25">
        <f>1684.51/J77</f>
        <v>0.13362763763287325</v>
      </c>
      <c r="K78" s="25">
        <f>1431.69/K77</f>
        <v>0.11952663215895809</v>
      </c>
      <c r="L78" s="25">
        <f>1511.53/L77</f>
        <v>0.10691257603621446</v>
      </c>
      <c r="M78" s="25">
        <f>1089.5/M77</f>
        <v>7.7094537220492504E-2</v>
      </c>
      <c r="N78" s="25">
        <f>1218.76/N77</f>
        <v>0.17413344763537647</v>
      </c>
      <c r="O78" s="25">
        <f>1623.23/O77</f>
        <v>0.15484403319660403</v>
      </c>
      <c r="P78" s="25">
        <f>1623.23/P77</f>
        <v>0.14077096522417831</v>
      </c>
      <c r="Q78" s="25">
        <f>1503.92/Q77</f>
        <v>0.13683195341643165</v>
      </c>
      <c r="R78" s="25">
        <f>1623.23/R77</f>
        <v>0.12752219341660775</v>
      </c>
      <c r="S78" s="25">
        <f>1487.51/S77</f>
        <v>8.650325657129565E-2</v>
      </c>
      <c r="T78" s="25">
        <f>875.64/T77</f>
        <v>5.7737043386522482E-2</v>
      </c>
      <c r="U78" s="25">
        <f>1156.95/U77</f>
        <v>0.16887315720332799</v>
      </c>
      <c r="V78" s="25">
        <f>1499.07/V77</f>
        <v>0.14211888509670079</v>
      </c>
      <c r="W78" s="25">
        <f>1511.41/W77</f>
        <v>0.13440729212983549</v>
      </c>
      <c r="X78" s="25">
        <f>1508.17/X77</f>
        <v>0.12942332446580279</v>
      </c>
      <c r="Y78" s="25">
        <f>1292.74/Y77</f>
        <v>8.4664352609863117E-2</v>
      </c>
      <c r="Z78" s="25">
        <f>1662.21/Z77</f>
        <v>8.3979689789319453E-2</v>
      </c>
      <c r="AA78" s="25">
        <f>1400.35/AA77</f>
        <v>0.12595340888649037</v>
      </c>
      <c r="AB78" s="25">
        <f>1140.34/AB77</f>
        <v>0.23004639903167237</v>
      </c>
      <c r="AC78" s="25">
        <f>1258.06/AC77</f>
        <v>0.13199664253488616</v>
      </c>
      <c r="AD78" s="25"/>
      <c r="AE78" s="25"/>
      <c r="AF78" s="25"/>
      <c r="AG78" s="25"/>
      <c r="AH78" s="25"/>
      <c r="AI78" s="27">
        <f>AVERAGE(D78:AG78)</f>
        <v>0.12848604963116628</v>
      </c>
      <c r="AJ78" s="6"/>
    </row>
    <row r="79" spans="1:36" ht="15" thickTop="1" x14ac:dyDescent="0.3">
      <c r="A79" s="2">
        <v>93</v>
      </c>
      <c r="B79" s="28" t="s">
        <v>38</v>
      </c>
      <c r="C79" s="29" t="s">
        <v>15</v>
      </c>
      <c r="D79" s="30">
        <v>75</v>
      </c>
      <c r="E79" s="30">
        <v>92</v>
      </c>
      <c r="F79" s="30">
        <v>77</v>
      </c>
      <c r="G79" s="30">
        <v>57</v>
      </c>
      <c r="H79" s="30">
        <v>89</v>
      </c>
      <c r="I79" s="30">
        <v>93</v>
      </c>
      <c r="J79" s="30">
        <v>89</v>
      </c>
      <c r="K79" s="30">
        <v>92</v>
      </c>
      <c r="L79" s="30">
        <v>93</v>
      </c>
      <c r="M79" s="30">
        <v>93</v>
      </c>
      <c r="N79" s="30">
        <v>62</v>
      </c>
      <c r="O79" s="30">
        <v>74</v>
      </c>
      <c r="P79" s="30">
        <v>84</v>
      </c>
      <c r="Q79" s="30">
        <v>90</v>
      </c>
      <c r="R79" s="30">
        <v>93</v>
      </c>
      <c r="S79" s="30">
        <v>93</v>
      </c>
      <c r="T79" s="30">
        <v>78</v>
      </c>
      <c r="U79" s="30">
        <v>78</v>
      </c>
      <c r="V79" s="30">
        <v>90</v>
      </c>
      <c r="W79" s="30">
        <v>88</v>
      </c>
      <c r="X79" s="30">
        <v>93</v>
      </c>
      <c r="Y79" s="30">
        <v>93</v>
      </c>
      <c r="Z79" s="30">
        <v>93</v>
      </c>
      <c r="AA79" s="30">
        <v>83</v>
      </c>
      <c r="AB79" s="30">
        <v>83</v>
      </c>
      <c r="AC79" s="30">
        <v>80</v>
      </c>
      <c r="AD79" s="30">
        <v>87</v>
      </c>
      <c r="AE79" s="30">
        <v>89</v>
      </c>
      <c r="AF79" s="30">
        <v>91</v>
      </c>
      <c r="AG79" s="30">
        <v>93</v>
      </c>
      <c r="AH79" s="30"/>
      <c r="AI79" s="32">
        <f>SUM(D79:AG79)</f>
        <v>2565</v>
      </c>
      <c r="AJ79" s="6"/>
    </row>
    <row r="80" spans="1:36" x14ac:dyDescent="0.3">
      <c r="A80" s="2"/>
      <c r="B80" s="33"/>
      <c r="C80" s="34" t="s">
        <v>16</v>
      </c>
      <c r="D80" s="35">
        <f t="shared" ref="D80:AG80" si="50">+D79/$A79</f>
        <v>0.80645161290322576</v>
      </c>
      <c r="E80" s="35">
        <f t="shared" si="50"/>
        <v>0.989247311827957</v>
      </c>
      <c r="F80" s="35">
        <f t="shared" si="50"/>
        <v>0.82795698924731187</v>
      </c>
      <c r="G80" s="35">
        <f t="shared" si="50"/>
        <v>0.61290322580645162</v>
      </c>
      <c r="H80" s="35">
        <f t="shared" si="50"/>
        <v>0.956989247311828</v>
      </c>
      <c r="I80" s="35">
        <f t="shared" si="50"/>
        <v>1</v>
      </c>
      <c r="J80" s="35">
        <f t="shared" si="50"/>
        <v>0.956989247311828</v>
      </c>
      <c r="K80" s="35">
        <f t="shared" si="50"/>
        <v>0.989247311827957</v>
      </c>
      <c r="L80" s="35">
        <f>+L79/$A79</f>
        <v>1</v>
      </c>
      <c r="M80" s="35">
        <f t="shared" si="50"/>
        <v>1</v>
      </c>
      <c r="N80" s="35">
        <f t="shared" si="50"/>
        <v>0.66666666666666663</v>
      </c>
      <c r="O80" s="35">
        <f t="shared" si="50"/>
        <v>0.79569892473118276</v>
      </c>
      <c r="P80" s="35">
        <f t="shared" si="50"/>
        <v>0.90322580645161288</v>
      </c>
      <c r="Q80" s="35">
        <f t="shared" si="50"/>
        <v>0.967741935483871</v>
      </c>
      <c r="R80" s="35">
        <f t="shared" si="50"/>
        <v>1</v>
      </c>
      <c r="S80" s="35">
        <f t="shared" si="50"/>
        <v>1</v>
      </c>
      <c r="T80" s="35">
        <f t="shared" si="50"/>
        <v>0.83870967741935487</v>
      </c>
      <c r="U80" s="35">
        <f t="shared" si="50"/>
        <v>0.83870967741935487</v>
      </c>
      <c r="V80" s="35">
        <f t="shared" si="50"/>
        <v>0.967741935483871</v>
      </c>
      <c r="W80" s="35">
        <f t="shared" si="50"/>
        <v>0.94623655913978499</v>
      </c>
      <c r="X80" s="35">
        <f t="shared" si="50"/>
        <v>1</v>
      </c>
      <c r="Y80" s="35">
        <f t="shared" si="50"/>
        <v>1</v>
      </c>
      <c r="Z80" s="35">
        <f t="shared" si="50"/>
        <v>1</v>
      </c>
      <c r="AA80" s="35">
        <f t="shared" si="50"/>
        <v>0.89247311827956988</v>
      </c>
      <c r="AB80" s="35">
        <f t="shared" si="50"/>
        <v>0.89247311827956988</v>
      </c>
      <c r="AC80" s="35">
        <f t="shared" si="50"/>
        <v>0.86021505376344087</v>
      </c>
      <c r="AD80" s="35">
        <f t="shared" si="50"/>
        <v>0.93548387096774188</v>
      </c>
      <c r="AE80" s="35">
        <f t="shared" si="50"/>
        <v>0.956989247311828</v>
      </c>
      <c r="AF80" s="35">
        <f t="shared" si="50"/>
        <v>0.978494623655914</v>
      </c>
      <c r="AG80" s="35">
        <f t="shared" si="50"/>
        <v>1</v>
      </c>
      <c r="AH80" s="35"/>
      <c r="AI80" s="36">
        <f>+AI79/(A79*A$1)</f>
        <v>0.91935483870967738</v>
      </c>
      <c r="AJ80" s="6"/>
    </row>
    <row r="81" spans="1:36" x14ac:dyDescent="0.3">
      <c r="A81" s="2"/>
      <c r="B81" s="33"/>
      <c r="C81" s="34" t="s">
        <v>17</v>
      </c>
      <c r="D81" s="37">
        <f>+IFERROR(D83/D79,0)</f>
        <v>93.213333333333338</v>
      </c>
      <c r="E81" s="37">
        <f t="shared" ref="E81:AG81" si="51">+IFERROR(E83/E79,0)</f>
        <v>107.18478260869566</v>
      </c>
      <c r="F81" s="37">
        <f t="shared" si="51"/>
        <v>95.506493506493513</v>
      </c>
      <c r="G81" s="37">
        <f t="shared" si="51"/>
        <v>85.94719298245613</v>
      </c>
      <c r="H81" s="37">
        <f t="shared" si="51"/>
        <v>112.96629213483146</v>
      </c>
      <c r="I81" s="37">
        <f t="shared" si="51"/>
        <v>118.82795698924731</v>
      </c>
      <c r="J81" s="37">
        <f t="shared" si="51"/>
        <v>112.96629213483146</v>
      </c>
      <c r="K81" s="37">
        <f t="shared" si="51"/>
        <v>96.163043478260875</v>
      </c>
      <c r="L81" s="37">
        <f t="shared" si="51"/>
        <v>105.49462365591398</v>
      </c>
      <c r="M81" s="37">
        <f t="shared" si="51"/>
        <v>105.74193548387096</v>
      </c>
      <c r="N81" s="37">
        <f t="shared" si="51"/>
        <v>88.725806451612897</v>
      </c>
      <c r="O81" s="37">
        <f t="shared" si="51"/>
        <v>94.959459459459453</v>
      </c>
      <c r="P81" s="37">
        <f t="shared" si="51"/>
        <v>97.9</v>
      </c>
      <c r="Q81" s="37">
        <f t="shared" si="51"/>
        <v>89.677777777777777</v>
      </c>
      <c r="R81" s="37">
        <f t="shared" si="51"/>
        <v>87.032258064516128</v>
      </c>
      <c r="S81" s="37">
        <f t="shared" si="51"/>
        <v>97.473118279569889</v>
      </c>
      <c r="T81" s="37">
        <f t="shared" si="51"/>
        <v>99.243589743589737</v>
      </c>
      <c r="U81" s="37">
        <f t="shared" si="51"/>
        <v>94.57692307692308</v>
      </c>
      <c r="V81" s="37">
        <f t="shared" si="51"/>
        <v>99.587999999999994</v>
      </c>
      <c r="W81" s="37">
        <f t="shared" si="51"/>
        <v>94.727272727272734</v>
      </c>
      <c r="X81" s="37">
        <f t="shared" si="51"/>
        <v>102.96774193548387</v>
      </c>
      <c r="Y81" s="37">
        <f t="shared" si="51"/>
        <v>109.9247311827957</v>
      </c>
      <c r="Z81" s="37">
        <f t="shared" si="51"/>
        <v>119.82795698924731</v>
      </c>
      <c r="AA81" s="37">
        <f t="shared" si="51"/>
        <v>106.10843373493977</v>
      </c>
      <c r="AB81" s="37">
        <f t="shared" si="51"/>
        <v>97.180722891566262</v>
      </c>
      <c r="AC81" s="37">
        <f t="shared" si="51"/>
        <v>95.5</v>
      </c>
      <c r="AD81" s="37">
        <f t="shared" si="51"/>
        <v>106.1264367816092</v>
      </c>
      <c r="AE81" s="37">
        <f t="shared" si="51"/>
        <v>94.988764044943821</v>
      </c>
      <c r="AF81" s="37">
        <f t="shared" si="51"/>
        <v>102.92307692307692</v>
      </c>
      <c r="AG81" s="37">
        <f t="shared" si="51"/>
        <v>127.25806451612904</v>
      </c>
      <c r="AH81" s="37"/>
      <c r="AI81" s="38">
        <f>+AI83/AI79</f>
        <v>101.94873684210526</v>
      </c>
      <c r="AJ81" s="6"/>
    </row>
    <row r="82" spans="1:36" x14ac:dyDescent="0.3">
      <c r="A82" s="2"/>
      <c r="B82" s="14"/>
      <c r="C82" s="34" t="s">
        <v>18</v>
      </c>
      <c r="D82" s="37">
        <f>+D80*D81</f>
        <v>75.172043010752688</v>
      </c>
      <c r="E82" s="37">
        <f t="shared" ref="E82:AG82" si="52">+E80*E81</f>
        <v>106.03225806451613</v>
      </c>
      <c r="F82" s="37">
        <f t="shared" si="52"/>
        <v>79.075268817204304</v>
      </c>
      <c r="G82" s="37">
        <f t="shared" si="52"/>
        <v>52.677311827956984</v>
      </c>
      <c r="H82" s="37">
        <f t="shared" si="52"/>
        <v>108.10752688172043</v>
      </c>
      <c r="I82" s="37">
        <f t="shared" si="52"/>
        <v>118.82795698924731</v>
      </c>
      <c r="J82" s="37">
        <f t="shared" si="52"/>
        <v>108.10752688172043</v>
      </c>
      <c r="K82" s="37">
        <f t="shared" si="52"/>
        <v>95.129032258064527</v>
      </c>
      <c r="L82" s="37">
        <f t="shared" si="52"/>
        <v>105.49462365591398</v>
      </c>
      <c r="M82" s="37">
        <f t="shared" si="52"/>
        <v>105.74193548387096</v>
      </c>
      <c r="N82" s="37">
        <f t="shared" si="52"/>
        <v>59.150537634408593</v>
      </c>
      <c r="O82" s="37">
        <f t="shared" si="52"/>
        <v>75.559139784946225</v>
      </c>
      <c r="P82" s="37">
        <f t="shared" si="52"/>
        <v>88.4258064516129</v>
      </c>
      <c r="Q82" s="37">
        <f t="shared" si="52"/>
        <v>86.784946236559136</v>
      </c>
      <c r="R82" s="37">
        <f t="shared" si="52"/>
        <v>87.032258064516128</v>
      </c>
      <c r="S82" s="37">
        <f t="shared" si="52"/>
        <v>97.473118279569889</v>
      </c>
      <c r="T82" s="37">
        <f t="shared" si="52"/>
        <v>83.236559139784944</v>
      </c>
      <c r="U82" s="37">
        <f t="shared" si="52"/>
        <v>79.322580645161295</v>
      </c>
      <c r="V82" s="37">
        <f t="shared" si="52"/>
        <v>96.375483870967741</v>
      </c>
      <c r="W82" s="37">
        <f t="shared" si="52"/>
        <v>89.634408602150543</v>
      </c>
      <c r="X82" s="37">
        <f t="shared" si="52"/>
        <v>102.96774193548387</v>
      </c>
      <c r="Y82" s="37">
        <f t="shared" si="52"/>
        <v>109.9247311827957</v>
      </c>
      <c r="Z82" s="37">
        <f t="shared" si="52"/>
        <v>119.82795698924731</v>
      </c>
      <c r="AA82" s="37">
        <f t="shared" si="52"/>
        <v>94.6989247311828</v>
      </c>
      <c r="AB82" s="37">
        <f t="shared" si="52"/>
        <v>86.731182795698913</v>
      </c>
      <c r="AC82" s="37">
        <f t="shared" si="52"/>
        <v>82.150537634408607</v>
      </c>
      <c r="AD82" s="37">
        <f t="shared" si="52"/>
        <v>99.27956989247312</v>
      </c>
      <c r="AE82" s="37">
        <f t="shared" si="52"/>
        <v>90.903225806451616</v>
      </c>
      <c r="AF82" s="37">
        <f t="shared" si="52"/>
        <v>100.70967741935483</v>
      </c>
      <c r="AG82" s="37">
        <f t="shared" si="52"/>
        <v>127.25806451612904</v>
      </c>
      <c r="AH82" s="37"/>
      <c r="AI82" s="38">
        <f>+AI81*AI80</f>
        <v>93.727064516129033</v>
      </c>
      <c r="AJ82" s="6"/>
    </row>
    <row r="83" spans="1:36" x14ac:dyDescent="0.3">
      <c r="A83" s="2"/>
      <c r="B83" s="33"/>
      <c r="C83" s="34" t="s">
        <v>19</v>
      </c>
      <c r="D83" s="20">
        <v>6991</v>
      </c>
      <c r="E83" s="20">
        <v>9861</v>
      </c>
      <c r="F83" s="20">
        <v>7354</v>
      </c>
      <c r="G83" s="20">
        <v>4898.99</v>
      </c>
      <c r="H83" s="20">
        <v>10054</v>
      </c>
      <c r="I83" s="20">
        <v>11051</v>
      </c>
      <c r="J83" s="20">
        <v>10054</v>
      </c>
      <c r="K83" s="20">
        <v>8847</v>
      </c>
      <c r="L83" s="20">
        <v>9811</v>
      </c>
      <c r="M83" s="20">
        <v>9834</v>
      </c>
      <c r="N83" s="20">
        <v>5501</v>
      </c>
      <c r="O83" s="20">
        <v>7027</v>
      </c>
      <c r="P83" s="20">
        <v>8223.6</v>
      </c>
      <c r="Q83" s="20">
        <v>8071</v>
      </c>
      <c r="R83" s="20">
        <v>8094</v>
      </c>
      <c r="S83" s="20">
        <v>9065</v>
      </c>
      <c r="T83" s="20">
        <v>7741</v>
      </c>
      <c r="U83" s="20">
        <v>7377</v>
      </c>
      <c r="V83" s="20">
        <v>8962.92</v>
      </c>
      <c r="W83" s="20">
        <v>8336</v>
      </c>
      <c r="X83" s="20">
        <v>9576</v>
      </c>
      <c r="Y83" s="20">
        <v>10223</v>
      </c>
      <c r="Z83" s="20">
        <v>11144</v>
      </c>
      <c r="AA83" s="20">
        <v>8807</v>
      </c>
      <c r="AB83" s="20">
        <v>8066</v>
      </c>
      <c r="AC83" s="20">
        <v>7640</v>
      </c>
      <c r="AD83" s="20">
        <v>9233</v>
      </c>
      <c r="AE83" s="20">
        <v>8454</v>
      </c>
      <c r="AF83" s="20">
        <v>9366</v>
      </c>
      <c r="AG83" s="20">
        <v>11835</v>
      </c>
      <c r="AH83" s="20"/>
      <c r="AI83" s="39">
        <f>SUM(D83:AG83)</f>
        <v>261498.51</v>
      </c>
      <c r="AJ83" s="6"/>
    </row>
    <row r="84" spans="1:36" x14ac:dyDescent="0.3">
      <c r="A84" s="2"/>
      <c r="B84" s="33"/>
      <c r="C84" s="34" t="s">
        <v>20</v>
      </c>
      <c r="D84" s="149">
        <f>1358.87/D83</f>
        <v>0.19437419539407808</v>
      </c>
      <c r="E84" s="149">
        <f>1128.02/E83</f>
        <v>0.11439204948788155</v>
      </c>
      <c r="F84" s="149">
        <f>743.56/F83</f>
        <v>0.10110960021756867</v>
      </c>
      <c r="G84" s="149">
        <f>904.7/G83</f>
        <v>0.18467071784184089</v>
      </c>
      <c r="H84" s="149">
        <f>1376.31/H83</f>
        <v>0.13689178436443206</v>
      </c>
      <c r="I84" s="149">
        <f>1094.04/I83</f>
        <v>9.8999185594063885E-2</v>
      </c>
      <c r="J84" s="149">
        <f>1376.31/J83</f>
        <v>0.13689178436443206</v>
      </c>
      <c r="K84" s="149">
        <f>1303.31/K83</f>
        <v>0.14731660449870013</v>
      </c>
      <c r="L84" s="149">
        <f>1193.51/L83</f>
        <v>0.1216501885638569</v>
      </c>
      <c r="M84" s="149">
        <f>720.2/M83</f>
        <v>7.323571283302828E-2</v>
      </c>
      <c r="N84" s="149">
        <f>769.87/N83</f>
        <v>0.13995091801490639</v>
      </c>
      <c r="O84" s="149">
        <f>1376.31/O83</f>
        <v>0.19586025330866658</v>
      </c>
      <c r="P84" s="149">
        <f>1376.31/P83</f>
        <v>0.16736100977674009</v>
      </c>
      <c r="Q84" s="149">
        <f>1285.13/Q83</f>
        <v>0.1592281006071119</v>
      </c>
      <c r="R84" s="149">
        <f>1376.31/R83</f>
        <v>0.1700407709414381</v>
      </c>
      <c r="S84" s="149">
        <f>932.94/S83</f>
        <v>0.10291671263099836</v>
      </c>
      <c r="T84" s="149">
        <f>908.96/T83</f>
        <v>0.11742152176721354</v>
      </c>
      <c r="U84" s="149">
        <f>1038.38/U83</f>
        <v>0.14075911617188561</v>
      </c>
      <c r="V84" s="149">
        <f>1245.25/V83</f>
        <v>0.13893351720198327</v>
      </c>
      <c r="W84" s="149">
        <f>1243.48/W83</f>
        <v>0.14916986564299425</v>
      </c>
      <c r="X84" s="149">
        <f>1306.84/X83</f>
        <v>0.1364703425229741</v>
      </c>
      <c r="Y84" s="149">
        <f>1363.92/Y83</f>
        <v>0.13341680524307933</v>
      </c>
      <c r="Z84" s="149">
        <f>816.13/Z83</f>
        <v>7.323492462311558E-2</v>
      </c>
      <c r="AA84" s="149">
        <f>643.94/AA83</f>
        <v>7.31168388781651E-2</v>
      </c>
      <c r="AB84" s="149">
        <f>1239.05/AB83</f>
        <v>0.15361393503595339</v>
      </c>
      <c r="AC84" s="149">
        <f>1180.87/AC83</f>
        <v>0.15456413612565442</v>
      </c>
      <c r="AD84" s="20"/>
      <c r="AE84" s="20"/>
      <c r="AF84" s="20"/>
      <c r="AG84" s="20"/>
      <c r="AH84" s="20"/>
      <c r="AI84" s="39"/>
      <c r="AJ84" s="6"/>
    </row>
    <row r="85" spans="1:36" x14ac:dyDescent="0.3">
      <c r="A85" s="2"/>
      <c r="B85" s="33"/>
      <c r="C85" s="34" t="s">
        <v>22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47">
        <v>53.76</v>
      </c>
      <c r="Q85" s="147">
        <v>53.76</v>
      </c>
      <c r="R85" s="147">
        <v>55.91</v>
      </c>
      <c r="S85" s="147"/>
      <c r="T85" s="147"/>
      <c r="U85" s="147"/>
      <c r="V85" s="147"/>
      <c r="W85" s="147"/>
      <c r="X85" s="147"/>
      <c r="Y85" s="147">
        <v>59.14</v>
      </c>
      <c r="Z85" s="147"/>
      <c r="AA85" s="147"/>
      <c r="AB85" s="147">
        <v>54.84</v>
      </c>
      <c r="AC85" s="147">
        <v>54.84</v>
      </c>
      <c r="AD85" s="147">
        <v>55.91</v>
      </c>
      <c r="AE85" s="147">
        <v>60.22</v>
      </c>
      <c r="AF85" s="147"/>
      <c r="AG85" s="147">
        <v>16.13</v>
      </c>
      <c r="AH85" s="147"/>
      <c r="AI85" s="39"/>
      <c r="AJ85" s="6"/>
    </row>
    <row r="86" spans="1:36" x14ac:dyDescent="0.3">
      <c r="A86" s="2"/>
      <c r="B86" s="33"/>
      <c r="C86" s="34" t="s">
        <v>23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47">
        <v>90.43</v>
      </c>
      <c r="Q86" s="147">
        <v>90.81</v>
      </c>
      <c r="R86" s="147">
        <v>89.62</v>
      </c>
      <c r="S86" s="147"/>
      <c r="T86" s="147"/>
      <c r="U86" s="147"/>
      <c r="V86" s="147"/>
      <c r="W86" s="147"/>
      <c r="X86" s="147"/>
      <c r="Y86" s="147">
        <v>93.52</v>
      </c>
      <c r="Z86" s="147"/>
      <c r="AA86" s="147"/>
      <c r="AB86" s="147">
        <v>86.52</v>
      </c>
      <c r="AC86" s="147">
        <v>93.22</v>
      </c>
      <c r="AD86" s="147">
        <v>91.33</v>
      </c>
      <c r="AE86" s="147">
        <v>94.45</v>
      </c>
      <c r="AF86" s="147"/>
      <c r="AG86" s="147">
        <v>176.03</v>
      </c>
      <c r="AH86" s="147"/>
      <c r="AI86" s="39"/>
      <c r="AJ86" s="6"/>
    </row>
    <row r="87" spans="1:36" ht="15" thickBot="1" x14ac:dyDescent="0.35">
      <c r="A87" s="145"/>
      <c r="B87" s="48"/>
      <c r="C87" s="41" t="s">
        <v>24</v>
      </c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148">
        <v>48.62</v>
      </c>
      <c r="Q87" s="148">
        <v>48.82</v>
      </c>
      <c r="R87" s="148">
        <v>50.11</v>
      </c>
      <c r="S87" s="148"/>
      <c r="T87" s="148"/>
      <c r="U87" s="148"/>
      <c r="V87" s="148"/>
      <c r="W87" s="148"/>
      <c r="X87" s="148"/>
      <c r="Y87" s="148">
        <v>55.31</v>
      </c>
      <c r="Z87" s="148"/>
      <c r="AA87" s="148"/>
      <c r="AB87" s="148">
        <v>47.45</v>
      </c>
      <c r="AC87" s="148">
        <v>51.12</v>
      </c>
      <c r="AD87" s="148">
        <v>51.06</v>
      </c>
      <c r="AE87" s="148">
        <v>56.88</v>
      </c>
      <c r="AF87" s="148"/>
      <c r="AG87" s="148">
        <v>28.39</v>
      </c>
      <c r="AH87" s="148"/>
      <c r="AI87" s="51">
        <f>AVERAGE(D87:AG87)</f>
        <v>48.64</v>
      </c>
      <c r="AJ87" s="6"/>
    </row>
    <row r="88" spans="1:36" ht="15" thickTop="1" x14ac:dyDescent="0.3">
      <c r="A88" s="2">
        <v>118</v>
      </c>
      <c r="B88" s="45" t="s">
        <v>39</v>
      </c>
      <c r="C88" s="46" t="s">
        <v>15</v>
      </c>
      <c r="D88" s="11">
        <v>74</v>
      </c>
      <c r="E88" s="11">
        <v>118</v>
      </c>
      <c r="F88" s="11">
        <v>85</v>
      </c>
      <c r="G88" s="11">
        <v>49</v>
      </c>
      <c r="H88" s="11">
        <v>77</v>
      </c>
      <c r="I88" s="11">
        <v>109</v>
      </c>
      <c r="J88" s="11">
        <v>97</v>
      </c>
      <c r="K88" s="11">
        <v>92</v>
      </c>
      <c r="L88" s="11">
        <v>104</v>
      </c>
      <c r="M88" s="11">
        <v>111</v>
      </c>
      <c r="N88" s="11">
        <v>52</v>
      </c>
      <c r="O88" s="11">
        <v>64</v>
      </c>
      <c r="P88" s="11">
        <v>101</v>
      </c>
      <c r="Q88" s="11">
        <v>86</v>
      </c>
      <c r="R88" s="11">
        <v>118</v>
      </c>
      <c r="S88" s="11">
        <v>116</v>
      </c>
      <c r="T88" s="11">
        <v>118</v>
      </c>
      <c r="U88" s="11">
        <v>47</v>
      </c>
      <c r="V88" s="11">
        <v>51</v>
      </c>
      <c r="W88" s="11">
        <v>105</v>
      </c>
      <c r="X88" s="11">
        <v>109</v>
      </c>
      <c r="Y88" s="11">
        <v>117</v>
      </c>
      <c r="Z88" s="11">
        <v>118</v>
      </c>
      <c r="AA88" s="11">
        <v>105</v>
      </c>
      <c r="AB88" s="11">
        <v>75</v>
      </c>
      <c r="AC88" s="11">
        <v>87</v>
      </c>
      <c r="AD88" s="11">
        <v>64</v>
      </c>
      <c r="AE88" s="11">
        <v>102</v>
      </c>
      <c r="AF88" s="11">
        <v>105</v>
      </c>
      <c r="AG88" s="11">
        <v>131</v>
      </c>
      <c r="AH88" s="11"/>
      <c r="AI88" s="13">
        <f>SUM(D88:AG88)</f>
        <v>2787</v>
      </c>
      <c r="AJ88" s="6"/>
    </row>
    <row r="89" spans="1:36" x14ac:dyDescent="0.3">
      <c r="A89" s="2"/>
      <c r="B89" s="14"/>
      <c r="C89" s="15" t="s">
        <v>16</v>
      </c>
      <c r="D89" s="16">
        <f>+D88/$A88</f>
        <v>0.6271186440677966</v>
      </c>
      <c r="E89" s="16">
        <f t="shared" ref="E89:AG89" si="53">+E88/$A88</f>
        <v>1</v>
      </c>
      <c r="F89" s="16">
        <f t="shared" si="53"/>
        <v>0.72033898305084743</v>
      </c>
      <c r="G89" s="16">
        <f t="shared" si="53"/>
        <v>0.4152542372881356</v>
      </c>
      <c r="H89" s="16">
        <f t="shared" si="53"/>
        <v>0.65254237288135597</v>
      </c>
      <c r="I89" s="16">
        <f t="shared" si="53"/>
        <v>0.92372881355932202</v>
      </c>
      <c r="J89" s="16">
        <f t="shared" si="53"/>
        <v>0.82203389830508478</v>
      </c>
      <c r="K89" s="16">
        <f t="shared" si="53"/>
        <v>0.77966101694915257</v>
      </c>
      <c r="L89" s="16">
        <f t="shared" si="53"/>
        <v>0.88135593220338981</v>
      </c>
      <c r="M89" s="16">
        <f t="shared" si="53"/>
        <v>0.94067796610169496</v>
      </c>
      <c r="N89" s="16">
        <f t="shared" si="53"/>
        <v>0.44067796610169491</v>
      </c>
      <c r="O89" s="16">
        <f t="shared" si="53"/>
        <v>0.5423728813559322</v>
      </c>
      <c r="P89" s="16">
        <f t="shared" si="53"/>
        <v>0.85593220338983056</v>
      </c>
      <c r="Q89" s="16">
        <f t="shared" si="53"/>
        <v>0.72881355932203384</v>
      </c>
      <c r="R89" s="16">
        <f t="shared" si="53"/>
        <v>1</v>
      </c>
      <c r="S89" s="16">
        <f t="shared" si="53"/>
        <v>0.98305084745762716</v>
      </c>
      <c r="T89" s="16">
        <f t="shared" si="53"/>
        <v>1</v>
      </c>
      <c r="U89" s="16">
        <f t="shared" si="53"/>
        <v>0.39830508474576271</v>
      </c>
      <c r="V89" s="16">
        <f t="shared" si="53"/>
        <v>0.43220338983050849</v>
      </c>
      <c r="W89" s="16">
        <f t="shared" si="53"/>
        <v>0.88983050847457623</v>
      </c>
      <c r="X89" s="16">
        <f t="shared" si="53"/>
        <v>0.92372881355932202</v>
      </c>
      <c r="Y89" s="16">
        <f t="shared" si="53"/>
        <v>0.99152542372881358</v>
      </c>
      <c r="Z89" s="16">
        <f t="shared" si="53"/>
        <v>1</v>
      </c>
      <c r="AA89" s="16">
        <f t="shared" si="53"/>
        <v>0.88983050847457623</v>
      </c>
      <c r="AB89" s="16">
        <f t="shared" si="53"/>
        <v>0.63559322033898302</v>
      </c>
      <c r="AC89" s="16">
        <f t="shared" si="53"/>
        <v>0.73728813559322037</v>
      </c>
      <c r="AD89" s="16">
        <f t="shared" si="53"/>
        <v>0.5423728813559322</v>
      </c>
      <c r="AE89" s="16">
        <f t="shared" si="53"/>
        <v>0.86440677966101698</v>
      </c>
      <c r="AF89" s="16">
        <f t="shared" si="53"/>
        <v>0.88983050847457623</v>
      </c>
      <c r="AG89" s="16">
        <f t="shared" si="53"/>
        <v>1.1101694915254237</v>
      </c>
      <c r="AH89" s="16"/>
      <c r="AI89" s="17">
        <f>+AI88/(A88*A$1)</f>
        <v>0.78728813559322031</v>
      </c>
      <c r="AJ89" s="6"/>
    </row>
    <row r="90" spans="1:36" x14ac:dyDescent="0.3">
      <c r="A90" s="2"/>
      <c r="B90" s="14"/>
      <c r="C90" s="15" t="s">
        <v>17</v>
      </c>
      <c r="D90" s="18">
        <f t="shared" ref="D90:AG90" si="54">+IFERROR(D92/D88,0)</f>
        <v>85.36486486486487</v>
      </c>
      <c r="E90" s="18">
        <f t="shared" si="54"/>
        <v>98.983050847457633</v>
      </c>
      <c r="F90" s="18">
        <f t="shared" si="54"/>
        <v>94.411764705882348</v>
      </c>
      <c r="G90" s="18">
        <f t="shared" si="54"/>
        <v>86.632653061224488</v>
      </c>
      <c r="H90" s="18">
        <f t="shared" si="54"/>
        <v>102.74025974025975</v>
      </c>
      <c r="I90" s="18">
        <f t="shared" si="54"/>
        <v>109.30275229357798</v>
      </c>
      <c r="J90" s="18">
        <f t="shared" si="54"/>
        <v>104.10309278350516</v>
      </c>
      <c r="K90" s="18">
        <f t="shared" si="54"/>
        <v>87.902173913043484</v>
      </c>
      <c r="L90" s="18">
        <f t="shared" si="54"/>
        <v>103.875</v>
      </c>
      <c r="M90" s="18">
        <f t="shared" si="54"/>
        <v>102.74774774774775</v>
      </c>
      <c r="N90" s="18">
        <f t="shared" si="54"/>
        <v>71.384615384615387</v>
      </c>
      <c r="O90" s="18">
        <f t="shared" si="54"/>
        <v>84.484375</v>
      </c>
      <c r="P90" s="18">
        <f t="shared" si="54"/>
        <v>86.702970297029708</v>
      </c>
      <c r="Q90" s="18">
        <f t="shared" si="54"/>
        <v>80.895348837209298</v>
      </c>
      <c r="R90" s="18">
        <f t="shared" si="54"/>
        <v>98.13559322033899</v>
      </c>
      <c r="S90" s="18">
        <f t="shared" si="54"/>
        <v>105.70689655172414</v>
      </c>
      <c r="T90" s="18">
        <f t="shared" si="54"/>
        <v>103.51694915254237</v>
      </c>
      <c r="U90" s="18">
        <f t="shared" si="54"/>
        <v>71.276595744680847</v>
      </c>
      <c r="V90" s="18">
        <f t="shared" si="54"/>
        <v>79.072352941176476</v>
      </c>
      <c r="W90" s="18">
        <f t="shared" si="54"/>
        <v>96.457142857142856</v>
      </c>
      <c r="X90" s="18">
        <f t="shared" si="54"/>
        <v>94.605504587155963</v>
      </c>
      <c r="Y90" s="18">
        <f t="shared" si="54"/>
        <v>111.16239316239316</v>
      </c>
      <c r="Z90" s="18">
        <f t="shared" si="54"/>
        <v>115.94067796610169</v>
      </c>
      <c r="AA90" s="18">
        <f t="shared" si="54"/>
        <v>89.666666666666671</v>
      </c>
      <c r="AB90" s="18">
        <f t="shared" si="54"/>
        <v>83.453333333333333</v>
      </c>
      <c r="AC90" s="18">
        <f t="shared" si="54"/>
        <v>83.816091954022994</v>
      </c>
      <c r="AD90" s="18">
        <f t="shared" si="54"/>
        <v>89.75</v>
      </c>
      <c r="AE90" s="18">
        <f t="shared" si="54"/>
        <v>97.480392156862749</v>
      </c>
      <c r="AF90" s="18">
        <f t="shared" si="54"/>
        <v>121.8952380952381</v>
      </c>
      <c r="AG90" s="18">
        <f t="shared" si="54"/>
        <v>136.68702290076337</v>
      </c>
      <c r="AH90" s="18"/>
      <c r="AI90" s="19">
        <f>+AI92/AI88</f>
        <v>98.75948690348045</v>
      </c>
      <c r="AJ90" s="6"/>
    </row>
    <row r="91" spans="1:36" x14ac:dyDescent="0.3">
      <c r="A91" s="2"/>
      <c r="B91" s="14"/>
      <c r="C91" s="15" t="s">
        <v>18</v>
      </c>
      <c r="D91" s="18">
        <f t="shared" ref="D91:AG91" si="55">+D89*D90</f>
        <v>53.533898305084747</v>
      </c>
      <c r="E91" s="18">
        <f t="shared" si="55"/>
        <v>98.983050847457633</v>
      </c>
      <c r="F91" s="18">
        <f t="shared" si="55"/>
        <v>68.008474576271183</v>
      </c>
      <c r="G91" s="18">
        <f t="shared" si="55"/>
        <v>35.974576271186443</v>
      </c>
      <c r="H91" s="18">
        <f t="shared" si="55"/>
        <v>67.042372881355945</v>
      </c>
      <c r="I91" s="18">
        <f t="shared" si="55"/>
        <v>100.96610169491525</v>
      </c>
      <c r="J91" s="18">
        <f t="shared" si="55"/>
        <v>85.576271186440692</v>
      </c>
      <c r="K91" s="18">
        <f t="shared" si="55"/>
        <v>68.533898305084747</v>
      </c>
      <c r="L91" s="18">
        <f t="shared" si="55"/>
        <v>91.550847457627114</v>
      </c>
      <c r="M91" s="18">
        <f t="shared" si="55"/>
        <v>96.652542372881371</v>
      </c>
      <c r="N91" s="18">
        <f t="shared" si="55"/>
        <v>31.457627118644069</v>
      </c>
      <c r="O91" s="18">
        <f t="shared" si="55"/>
        <v>45.822033898305087</v>
      </c>
      <c r="P91" s="18">
        <f t="shared" si="55"/>
        <v>74.211864406779668</v>
      </c>
      <c r="Q91" s="18">
        <f t="shared" si="55"/>
        <v>58.957627118644062</v>
      </c>
      <c r="R91" s="18">
        <f t="shared" si="55"/>
        <v>98.13559322033899</v>
      </c>
      <c r="S91" s="18">
        <f t="shared" si="55"/>
        <v>103.91525423728814</v>
      </c>
      <c r="T91" s="18">
        <f t="shared" si="55"/>
        <v>103.51694915254237</v>
      </c>
      <c r="U91" s="18">
        <f t="shared" si="55"/>
        <v>28.389830508474574</v>
      </c>
      <c r="V91" s="18">
        <f t="shared" si="55"/>
        <v>34.17533898305085</v>
      </c>
      <c r="W91" s="18">
        <f t="shared" si="55"/>
        <v>85.830508474576263</v>
      </c>
      <c r="X91" s="18">
        <f t="shared" si="55"/>
        <v>87.389830508474574</v>
      </c>
      <c r="Y91" s="18">
        <f t="shared" si="55"/>
        <v>110.22033898305085</v>
      </c>
      <c r="Z91" s="18">
        <f t="shared" si="55"/>
        <v>115.94067796610169</v>
      </c>
      <c r="AA91" s="18">
        <f t="shared" si="55"/>
        <v>79.788135593220346</v>
      </c>
      <c r="AB91" s="18">
        <f t="shared" si="55"/>
        <v>53.042372881355931</v>
      </c>
      <c r="AC91" s="18">
        <f t="shared" si="55"/>
        <v>61.79661016949153</v>
      </c>
      <c r="AD91" s="18">
        <f t="shared" si="55"/>
        <v>48.677966101694913</v>
      </c>
      <c r="AE91" s="18">
        <f t="shared" si="55"/>
        <v>84.262711864406782</v>
      </c>
      <c r="AF91" s="18">
        <f t="shared" si="55"/>
        <v>108.46610169491525</v>
      </c>
      <c r="AG91" s="18">
        <f t="shared" si="55"/>
        <v>151.74576271186442</v>
      </c>
      <c r="AH91" s="18"/>
      <c r="AI91" s="19">
        <f>+AI90*AI89</f>
        <v>77.752172316384176</v>
      </c>
      <c r="AJ91" s="6"/>
    </row>
    <row r="92" spans="1:36" x14ac:dyDescent="0.3">
      <c r="A92" s="2"/>
      <c r="B92" s="33"/>
      <c r="C92" s="34" t="s">
        <v>19</v>
      </c>
      <c r="D92" s="20">
        <v>6317</v>
      </c>
      <c r="E92" s="20">
        <v>11680</v>
      </c>
      <c r="F92" s="20">
        <v>8025</v>
      </c>
      <c r="G92" s="20">
        <v>4245</v>
      </c>
      <c r="H92" s="20">
        <v>7911</v>
      </c>
      <c r="I92" s="20">
        <v>11914</v>
      </c>
      <c r="J92" s="20">
        <v>10098</v>
      </c>
      <c r="K92" s="20">
        <v>8087</v>
      </c>
      <c r="L92" s="20">
        <v>10803</v>
      </c>
      <c r="M92" s="20">
        <v>11405</v>
      </c>
      <c r="N92" s="20">
        <v>3712</v>
      </c>
      <c r="O92" s="20">
        <v>5407</v>
      </c>
      <c r="P92" s="20">
        <v>8757</v>
      </c>
      <c r="Q92" s="20">
        <v>6957</v>
      </c>
      <c r="R92" s="20">
        <v>11580</v>
      </c>
      <c r="S92" s="20">
        <v>12262</v>
      </c>
      <c r="T92" s="20">
        <v>12215</v>
      </c>
      <c r="U92" s="20">
        <v>3350</v>
      </c>
      <c r="V92" s="20">
        <v>4032.69</v>
      </c>
      <c r="W92" s="20">
        <v>10128</v>
      </c>
      <c r="X92" s="20">
        <v>10312</v>
      </c>
      <c r="Y92" s="20">
        <v>13006</v>
      </c>
      <c r="Z92" s="20">
        <v>13681</v>
      </c>
      <c r="AA92" s="20">
        <v>9415</v>
      </c>
      <c r="AB92" s="20">
        <v>6259</v>
      </c>
      <c r="AC92" s="20">
        <v>7292</v>
      </c>
      <c r="AD92" s="20">
        <v>5744</v>
      </c>
      <c r="AE92" s="20">
        <v>9943</v>
      </c>
      <c r="AF92" s="20">
        <v>12799</v>
      </c>
      <c r="AG92" s="20">
        <v>17906</v>
      </c>
      <c r="AH92" s="20"/>
      <c r="AI92" s="39">
        <f>SUM(D92:AG92)</f>
        <v>275242.69</v>
      </c>
      <c r="AJ92" s="6"/>
    </row>
    <row r="93" spans="1:36" ht="15" thickBot="1" x14ac:dyDescent="0.35">
      <c r="A93" s="2"/>
      <c r="B93" s="14"/>
      <c r="C93" s="15" t="s">
        <v>20</v>
      </c>
      <c r="D93" s="74">
        <f>1105.44/D92</f>
        <v>0.17499445939528258</v>
      </c>
      <c r="E93" s="74">
        <f>1224.99/E92</f>
        <v>0.1048792808219178</v>
      </c>
      <c r="F93" s="74">
        <f>645.81/F92</f>
        <v>8.0474766355140184E-2</v>
      </c>
      <c r="G93" s="74">
        <f>876.01/G92</f>
        <v>0.20636277974087161</v>
      </c>
      <c r="H93" s="74">
        <f>958.14/H92</f>
        <v>0.12111490329920364</v>
      </c>
      <c r="I93" s="74">
        <f>1020.04/I92</f>
        <v>8.5616921269095175E-2</v>
      </c>
      <c r="J93" s="74">
        <f>1022.72/J92</f>
        <v>0.10127946127946129</v>
      </c>
      <c r="K93" s="74">
        <f>1000.57/K92</f>
        <v>0.12372573265735132</v>
      </c>
      <c r="L93" s="74">
        <f>1130.65/L92</f>
        <v>0.10466074238637417</v>
      </c>
      <c r="M93" s="74">
        <f>836.19/M92</f>
        <v>7.3317843051293297E-2</v>
      </c>
      <c r="N93" s="74">
        <f>905.32/N92</f>
        <v>0.24389008620689656</v>
      </c>
      <c r="O93" s="74">
        <f>958.14/O92</f>
        <v>0.17720362493064545</v>
      </c>
      <c r="P93" s="74">
        <f>958.14/P92</f>
        <v>0.10941418293936279</v>
      </c>
      <c r="Q93" s="74">
        <f>998.17/Q92</f>
        <v>0.14347707345120023</v>
      </c>
      <c r="R93" s="74">
        <f>958.14/R92</f>
        <v>8.2740932642487039E-2</v>
      </c>
      <c r="S93" s="74">
        <f>881.85/S92</f>
        <v>7.1917305496656342E-2</v>
      </c>
      <c r="T93" s="74">
        <f>700.48/T92</f>
        <v>5.7345886205485058E-2</v>
      </c>
      <c r="U93" s="74">
        <f>928.8/U92</f>
        <v>0.27725373134328357</v>
      </c>
      <c r="V93" s="74">
        <f>1104.58/V92</f>
        <v>0.27390649913581255</v>
      </c>
      <c r="W93" s="74">
        <f>974.84/W92</f>
        <v>9.6251974723538705E-2</v>
      </c>
      <c r="X93" s="74">
        <f>1030.5/X92</f>
        <v>9.9932117920868896E-2</v>
      </c>
      <c r="Y93" s="74">
        <f xml:space="preserve"> 938/Y92</f>
        <v>7.2120559741657694E-2</v>
      </c>
      <c r="Z93" s="74">
        <f>961.3/Z92</f>
        <v>7.0265331481616844E-2</v>
      </c>
      <c r="AA93" s="74">
        <f>1068.88/AA92</f>
        <v>0.1135294742432289</v>
      </c>
      <c r="AB93" s="74">
        <f>1051.59/AB92</f>
        <v>0.16801246205464129</v>
      </c>
      <c r="AC93" s="74">
        <f>1011.37/AC92</f>
        <v>0.13869583104772354</v>
      </c>
      <c r="AD93" s="74"/>
      <c r="AE93" s="74"/>
      <c r="AF93" s="74"/>
      <c r="AG93" s="74"/>
      <c r="AH93" s="74"/>
      <c r="AI93" s="76">
        <f>AVERAGE(D93:AG93)</f>
        <v>0.12970707553158065</v>
      </c>
      <c r="AJ93" s="6"/>
    </row>
    <row r="94" spans="1:36" ht="15" thickTop="1" x14ac:dyDescent="0.3">
      <c r="A94" s="2">
        <v>103</v>
      </c>
      <c r="B94" s="28" t="s">
        <v>40</v>
      </c>
      <c r="C94" s="29" t="s">
        <v>15</v>
      </c>
      <c r="D94" s="30">
        <v>75</v>
      </c>
      <c r="E94" s="30">
        <v>78</v>
      </c>
      <c r="F94" s="30">
        <v>80</v>
      </c>
      <c r="G94" s="30">
        <v>50</v>
      </c>
      <c r="H94" s="30">
        <v>55</v>
      </c>
      <c r="I94" s="30">
        <v>54</v>
      </c>
      <c r="J94" s="30">
        <v>70</v>
      </c>
      <c r="K94" s="30">
        <v>62</v>
      </c>
      <c r="L94" s="30">
        <v>83</v>
      </c>
      <c r="M94" s="30">
        <v>84</v>
      </c>
      <c r="N94" s="30">
        <v>61</v>
      </c>
      <c r="O94" s="30">
        <v>67</v>
      </c>
      <c r="P94" s="30">
        <v>75</v>
      </c>
      <c r="Q94" s="30">
        <v>50</v>
      </c>
      <c r="R94" s="30">
        <v>64</v>
      </c>
      <c r="S94" s="30">
        <v>80</v>
      </c>
      <c r="T94" s="30">
        <v>87</v>
      </c>
      <c r="U94" s="30">
        <v>36</v>
      </c>
      <c r="V94" s="30">
        <v>46</v>
      </c>
      <c r="W94" s="30">
        <v>58</v>
      </c>
      <c r="X94" s="30">
        <v>54</v>
      </c>
      <c r="Y94" s="30">
        <v>55</v>
      </c>
      <c r="Z94" s="30">
        <v>71</v>
      </c>
      <c r="AA94" s="30">
        <v>93</v>
      </c>
      <c r="AB94" s="30">
        <v>46</v>
      </c>
      <c r="AC94" s="30">
        <v>42</v>
      </c>
      <c r="AD94" s="30">
        <v>44</v>
      </c>
      <c r="AE94" s="30">
        <v>61</v>
      </c>
      <c r="AF94" s="30">
        <v>49</v>
      </c>
      <c r="AG94" s="30">
        <v>73</v>
      </c>
      <c r="AH94" s="30"/>
      <c r="AI94" s="32">
        <f>SUM(D94:AG94)</f>
        <v>1903</v>
      </c>
      <c r="AJ94" s="6"/>
    </row>
    <row r="95" spans="1:36" x14ac:dyDescent="0.3">
      <c r="A95" s="2"/>
      <c r="B95" s="33"/>
      <c r="C95" s="34" t="s">
        <v>16</v>
      </c>
      <c r="D95" s="35">
        <f t="shared" ref="D95:AG95" si="56">+D94/$A94</f>
        <v>0.72815533980582525</v>
      </c>
      <c r="E95" s="35">
        <f t="shared" si="56"/>
        <v>0.75728155339805825</v>
      </c>
      <c r="F95" s="35">
        <f t="shared" si="56"/>
        <v>0.77669902912621358</v>
      </c>
      <c r="G95" s="35">
        <f t="shared" si="56"/>
        <v>0.4854368932038835</v>
      </c>
      <c r="H95" s="35">
        <f t="shared" si="56"/>
        <v>0.53398058252427183</v>
      </c>
      <c r="I95" s="35">
        <f t="shared" si="56"/>
        <v>0.52427184466019416</v>
      </c>
      <c r="J95" s="35">
        <f t="shared" si="56"/>
        <v>0.67961165048543692</v>
      </c>
      <c r="K95" s="35">
        <f t="shared" si="56"/>
        <v>0.60194174757281549</v>
      </c>
      <c r="L95" s="35">
        <f t="shared" si="56"/>
        <v>0.80582524271844658</v>
      </c>
      <c r="M95" s="35">
        <f t="shared" si="56"/>
        <v>0.81553398058252424</v>
      </c>
      <c r="N95" s="35">
        <f t="shared" si="56"/>
        <v>0.59223300970873782</v>
      </c>
      <c r="O95" s="35">
        <f t="shared" si="56"/>
        <v>0.65048543689320393</v>
      </c>
      <c r="P95" s="35">
        <f t="shared" si="56"/>
        <v>0.72815533980582525</v>
      </c>
      <c r="Q95" s="35">
        <f t="shared" si="56"/>
        <v>0.4854368932038835</v>
      </c>
      <c r="R95" s="35">
        <f t="shared" si="56"/>
        <v>0.62135922330097082</v>
      </c>
      <c r="S95" s="35">
        <f t="shared" si="56"/>
        <v>0.77669902912621358</v>
      </c>
      <c r="T95" s="35">
        <f t="shared" si="56"/>
        <v>0.84466019417475724</v>
      </c>
      <c r="U95" s="35">
        <f t="shared" si="56"/>
        <v>0.34951456310679613</v>
      </c>
      <c r="V95" s="35">
        <f t="shared" si="56"/>
        <v>0.44660194174757284</v>
      </c>
      <c r="W95" s="35">
        <f t="shared" si="56"/>
        <v>0.56310679611650483</v>
      </c>
      <c r="X95" s="35">
        <f t="shared" si="56"/>
        <v>0.52427184466019416</v>
      </c>
      <c r="Y95" s="35">
        <f t="shared" si="56"/>
        <v>0.53398058252427183</v>
      </c>
      <c r="Z95" s="35">
        <f t="shared" si="56"/>
        <v>0.68932038834951459</v>
      </c>
      <c r="AA95" s="35">
        <f t="shared" si="56"/>
        <v>0.90291262135922334</v>
      </c>
      <c r="AB95" s="35">
        <f t="shared" si="56"/>
        <v>0.44660194174757284</v>
      </c>
      <c r="AC95" s="35">
        <f t="shared" si="56"/>
        <v>0.40776699029126212</v>
      </c>
      <c r="AD95" s="35">
        <f t="shared" si="56"/>
        <v>0.42718446601941745</v>
      </c>
      <c r="AE95" s="35">
        <f t="shared" si="56"/>
        <v>0.59223300970873782</v>
      </c>
      <c r="AF95" s="35">
        <f t="shared" si="56"/>
        <v>0.47572815533980584</v>
      </c>
      <c r="AG95" s="35">
        <f t="shared" si="56"/>
        <v>0.70873786407766992</v>
      </c>
      <c r="AH95" s="35"/>
      <c r="AI95" s="36">
        <f>+AI94/(A94*A$1)</f>
        <v>0.61585760517799348</v>
      </c>
      <c r="AJ95" s="6"/>
    </row>
    <row r="96" spans="1:36" x14ac:dyDescent="0.3">
      <c r="A96" s="2"/>
      <c r="B96" s="33"/>
      <c r="C96" s="34" t="s">
        <v>17</v>
      </c>
      <c r="D96" s="37">
        <f t="shared" ref="D96:AG96" si="57">+IFERROR(D98/D94,0)</f>
        <v>78.146666666666661</v>
      </c>
      <c r="E96" s="37">
        <f t="shared" si="57"/>
        <v>104.61538461538461</v>
      </c>
      <c r="F96" s="37">
        <f t="shared" si="57"/>
        <v>104.3125</v>
      </c>
      <c r="G96" s="37">
        <f t="shared" si="57"/>
        <v>76.400000000000006</v>
      </c>
      <c r="H96" s="37">
        <f t="shared" si="57"/>
        <v>72.654545454545456</v>
      </c>
      <c r="I96" s="37">
        <f t="shared" si="57"/>
        <v>73.827592592592595</v>
      </c>
      <c r="J96" s="37">
        <f t="shared" si="57"/>
        <v>77.357142857142861</v>
      </c>
      <c r="K96" s="37">
        <f t="shared" si="57"/>
        <v>78.016129032258064</v>
      </c>
      <c r="L96" s="37">
        <f t="shared" si="57"/>
        <v>97.710843373493972</v>
      </c>
      <c r="M96" s="37">
        <f t="shared" si="57"/>
        <v>98.821428571428569</v>
      </c>
      <c r="N96" s="37">
        <f t="shared" si="57"/>
        <v>82.409836065573771</v>
      </c>
      <c r="O96" s="37">
        <f t="shared" si="57"/>
        <v>79.809104477611939</v>
      </c>
      <c r="P96" s="37">
        <f t="shared" si="57"/>
        <v>79.813333333333333</v>
      </c>
      <c r="Q96" s="37">
        <f t="shared" si="57"/>
        <v>77</v>
      </c>
      <c r="R96" s="37">
        <f t="shared" si="57"/>
        <v>81.109375</v>
      </c>
      <c r="S96" s="37">
        <f t="shared" si="57"/>
        <v>107.33750000000001</v>
      </c>
      <c r="T96" s="37">
        <f t="shared" si="57"/>
        <v>101.56321839080459</v>
      </c>
      <c r="U96" s="37">
        <f t="shared" si="57"/>
        <v>77.972222222222229</v>
      </c>
      <c r="V96" s="37">
        <f t="shared" si="57"/>
        <v>85.978260869565219</v>
      </c>
      <c r="W96" s="37">
        <f t="shared" si="57"/>
        <v>76.620689655172413</v>
      </c>
      <c r="X96" s="37">
        <f t="shared" si="57"/>
        <v>81.703703703703709</v>
      </c>
      <c r="Y96" s="37">
        <f t="shared" si="57"/>
        <v>82.63636363636364</v>
      </c>
      <c r="Z96" s="37">
        <f t="shared" si="57"/>
        <v>102.78873239436619</v>
      </c>
      <c r="AA96" s="37">
        <f t="shared" si="57"/>
        <v>105.47311827956989</v>
      </c>
      <c r="AB96" s="37">
        <f t="shared" si="57"/>
        <v>83.326086956521735</v>
      </c>
      <c r="AC96" s="37">
        <f t="shared" si="57"/>
        <v>86.976190476190482</v>
      </c>
      <c r="AD96" s="37">
        <f t="shared" si="57"/>
        <v>83.045454545454547</v>
      </c>
      <c r="AE96" s="37">
        <f t="shared" si="57"/>
        <v>94.573770491803273</v>
      </c>
      <c r="AF96" s="37">
        <f t="shared" si="57"/>
        <v>74.65306122448979</v>
      </c>
      <c r="AG96" s="37">
        <f t="shared" si="57"/>
        <v>92</v>
      </c>
      <c r="AH96" s="37"/>
      <c r="AI96" s="38">
        <f>+AI98/AI94</f>
        <v>88.391434576983727</v>
      </c>
      <c r="AJ96" s="6"/>
    </row>
    <row r="97" spans="1:36" x14ac:dyDescent="0.3">
      <c r="A97" s="2"/>
      <c r="B97" s="33"/>
      <c r="C97" s="34" t="s">
        <v>18</v>
      </c>
      <c r="D97" s="37">
        <f t="shared" ref="D97:AG97" si="58">+D95*D96</f>
        <v>56.902912621359221</v>
      </c>
      <c r="E97" s="37">
        <f t="shared" si="58"/>
        <v>79.22330097087378</v>
      </c>
      <c r="F97" s="37">
        <f t="shared" si="58"/>
        <v>81.019417475728147</v>
      </c>
      <c r="G97" s="37">
        <f t="shared" si="58"/>
        <v>37.087378640776706</v>
      </c>
      <c r="H97" s="37">
        <f t="shared" si="58"/>
        <v>38.796116504854368</v>
      </c>
      <c r="I97" s="37">
        <f t="shared" si="58"/>
        <v>38.705728155339806</v>
      </c>
      <c r="J97" s="37">
        <f t="shared" si="58"/>
        <v>52.572815533980588</v>
      </c>
      <c r="K97" s="37">
        <f t="shared" si="58"/>
        <v>46.961165048543684</v>
      </c>
      <c r="L97" s="37">
        <f t="shared" si="58"/>
        <v>78.737864077669897</v>
      </c>
      <c r="M97" s="37">
        <f t="shared" si="58"/>
        <v>80.592233009708735</v>
      </c>
      <c r="N97" s="37">
        <f t="shared" si="58"/>
        <v>48.805825242718441</v>
      </c>
      <c r="O97" s="37">
        <f t="shared" si="58"/>
        <v>51.914660194174758</v>
      </c>
      <c r="P97" s="37">
        <f t="shared" si="58"/>
        <v>58.116504854368934</v>
      </c>
      <c r="Q97" s="37">
        <f t="shared" si="58"/>
        <v>37.378640776699029</v>
      </c>
      <c r="R97" s="37">
        <f t="shared" si="58"/>
        <v>50.398058252427177</v>
      </c>
      <c r="S97" s="37">
        <f t="shared" si="58"/>
        <v>83.368932038834956</v>
      </c>
      <c r="T97" s="37">
        <f t="shared" si="58"/>
        <v>85.78640776699028</v>
      </c>
      <c r="U97" s="37">
        <f t="shared" si="58"/>
        <v>27.252427184466022</v>
      </c>
      <c r="V97" s="37">
        <f t="shared" si="58"/>
        <v>38.398058252427184</v>
      </c>
      <c r="W97" s="37">
        <f t="shared" si="58"/>
        <v>43.145631067961162</v>
      </c>
      <c r="X97" s="37">
        <f t="shared" si="58"/>
        <v>42.834951456310684</v>
      </c>
      <c r="Y97" s="37">
        <f t="shared" si="58"/>
        <v>44.126213592233007</v>
      </c>
      <c r="Z97" s="37">
        <f t="shared" si="58"/>
        <v>70.854368932038838</v>
      </c>
      <c r="AA97" s="37">
        <f t="shared" si="58"/>
        <v>95.233009708737868</v>
      </c>
      <c r="AB97" s="37">
        <f t="shared" si="58"/>
        <v>37.213592233009706</v>
      </c>
      <c r="AC97" s="37">
        <f t="shared" si="58"/>
        <v>35.466019417475728</v>
      </c>
      <c r="AD97" s="37">
        <f t="shared" si="58"/>
        <v>35.475728155339802</v>
      </c>
      <c r="AE97" s="37">
        <f t="shared" si="58"/>
        <v>56.009708737864074</v>
      </c>
      <c r="AF97" s="37">
        <f t="shared" si="58"/>
        <v>35.514563106796118</v>
      </c>
      <c r="AG97" s="37">
        <f t="shared" si="58"/>
        <v>65.203883495145632</v>
      </c>
      <c r="AH97" s="37"/>
      <c r="AI97" s="38">
        <f>+AI96*AI95</f>
        <v>54.436537216828484</v>
      </c>
      <c r="AJ97" s="6"/>
    </row>
    <row r="98" spans="1:36" x14ac:dyDescent="0.3">
      <c r="A98" s="2"/>
      <c r="B98" s="33"/>
      <c r="C98" s="34" t="s">
        <v>19</v>
      </c>
      <c r="D98" s="20">
        <v>5861</v>
      </c>
      <c r="E98" s="20">
        <v>8160</v>
      </c>
      <c r="F98" s="20">
        <v>8345</v>
      </c>
      <c r="G98" s="20">
        <v>3820</v>
      </c>
      <c r="H98" s="20">
        <v>3996</v>
      </c>
      <c r="I98" s="20">
        <v>3986.69</v>
      </c>
      <c r="J98" s="20">
        <v>5415</v>
      </c>
      <c r="K98" s="20">
        <v>4837</v>
      </c>
      <c r="L98" s="20">
        <v>8110</v>
      </c>
      <c r="M98" s="20">
        <v>8301</v>
      </c>
      <c r="N98" s="20">
        <v>5027</v>
      </c>
      <c r="O98" s="20">
        <v>5347.21</v>
      </c>
      <c r="P98" s="20">
        <v>5986</v>
      </c>
      <c r="Q98" s="20">
        <v>3850</v>
      </c>
      <c r="R98" s="20">
        <v>5191</v>
      </c>
      <c r="S98" s="20">
        <v>8587</v>
      </c>
      <c r="T98" s="20">
        <v>8836</v>
      </c>
      <c r="U98" s="20">
        <v>2807</v>
      </c>
      <c r="V98" s="20">
        <v>3955</v>
      </c>
      <c r="W98" s="20">
        <v>4444</v>
      </c>
      <c r="X98" s="20">
        <v>4412</v>
      </c>
      <c r="Y98" s="20">
        <v>4545</v>
      </c>
      <c r="Z98" s="20">
        <v>7298</v>
      </c>
      <c r="AA98" s="20">
        <v>9809</v>
      </c>
      <c r="AB98" s="20">
        <v>3833</v>
      </c>
      <c r="AC98" s="20">
        <v>3653</v>
      </c>
      <c r="AD98" s="20">
        <v>3654</v>
      </c>
      <c r="AE98" s="20">
        <v>5769</v>
      </c>
      <c r="AF98" s="20">
        <v>3658</v>
      </c>
      <c r="AG98" s="20">
        <v>6716</v>
      </c>
      <c r="AH98" s="20"/>
      <c r="AI98" s="39">
        <f>SUM(D98:AG98)</f>
        <v>168208.90000000002</v>
      </c>
      <c r="AJ98" s="6"/>
    </row>
    <row r="99" spans="1:36" ht="15" thickBot="1" x14ac:dyDescent="0.35">
      <c r="A99" s="145"/>
      <c r="B99" s="48"/>
      <c r="C99" s="41" t="s">
        <v>20</v>
      </c>
      <c r="D99" s="49">
        <f>1056.82/D98</f>
        <v>0.18031393960075071</v>
      </c>
      <c r="E99" s="49">
        <f>919.03/E98</f>
        <v>0.11262622549019607</v>
      </c>
      <c r="F99" s="49">
        <f>637.28/F98</f>
        <v>7.6366686638705814E-2</v>
      </c>
      <c r="G99" s="49">
        <f>766.7/G98</f>
        <v>0.20070680628272253</v>
      </c>
      <c r="H99" s="49">
        <f>927.17/H98</f>
        <v>0.23202452452452452</v>
      </c>
      <c r="I99" s="49">
        <f>529.85/I98</f>
        <v>0.13290474052409393</v>
      </c>
      <c r="J99" s="49">
        <f>1130.03/J98</f>
        <v>0.20868513388734994</v>
      </c>
      <c r="K99" s="49">
        <f>1342.33/K98</f>
        <v>0.2775129212321687</v>
      </c>
      <c r="L99" s="49">
        <f>1023.62/L98</f>
        <v>0.12621701602959309</v>
      </c>
      <c r="M99" s="49">
        <f>722.63/M98</f>
        <v>8.7053367064209131E-2</v>
      </c>
      <c r="N99" s="49">
        <f>803.82/N98</f>
        <v>0.15990053709966184</v>
      </c>
      <c r="O99" s="49">
        <f>827.17/O98</f>
        <v>0.15469188604898629</v>
      </c>
      <c r="P99" s="49">
        <f>927.17/P98</f>
        <v>0.15488974273304376</v>
      </c>
      <c r="Q99" s="49">
        <f>972.61/Q98</f>
        <v>0.25262597402597403</v>
      </c>
      <c r="R99" s="49">
        <f>927.17/R98</f>
        <v>0.17861105759969176</v>
      </c>
      <c r="S99" s="49">
        <f>918.31/S98</f>
        <v>0.10694188890182833</v>
      </c>
      <c r="T99" s="49">
        <f>867.25/T98</f>
        <v>9.8149615210502486E-2</v>
      </c>
      <c r="U99" s="49">
        <f>876.99/U98</f>
        <v>0.31242964018525116</v>
      </c>
      <c r="V99" s="49">
        <f>1124.33/V98</f>
        <v>0.28428065739570163</v>
      </c>
      <c r="W99" s="49">
        <f>813.54/W98</f>
        <v>0.18306480648064805</v>
      </c>
      <c r="X99" s="49">
        <f>1017.77/X98</f>
        <v>0.23068223028105167</v>
      </c>
      <c r="Y99" s="49">
        <f>1053.97/Y98</f>
        <v>0.2318965896589659</v>
      </c>
      <c r="Z99" s="49">
        <f>1236.96/Z98</f>
        <v>0.16949301178405043</v>
      </c>
      <c r="AA99" s="49">
        <f>621.28/AA98</f>
        <v>6.3337751044958715E-2</v>
      </c>
      <c r="AB99" s="49">
        <f>783.62/AB98</f>
        <v>0.20444038612053222</v>
      </c>
      <c r="AC99" s="49">
        <f>972.15/AC98</f>
        <v>0.26612373391732824</v>
      </c>
      <c r="AD99" s="49"/>
      <c r="AE99" s="49"/>
      <c r="AF99" s="49"/>
      <c r="AG99" s="49"/>
      <c r="AH99" s="49"/>
      <c r="AI99" s="51">
        <f>AVERAGE(D99:AG99)</f>
        <v>0.18022964883701886</v>
      </c>
      <c r="AJ99" s="6"/>
    </row>
    <row r="100" spans="1:36" ht="15" thickTop="1" x14ac:dyDescent="0.3">
      <c r="A100" s="2">
        <v>115</v>
      </c>
      <c r="B100" s="45" t="s">
        <v>41</v>
      </c>
      <c r="C100" s="46" t="s">
        <v>15</v>
      </c>
      <c r="D100" s="11">
        <v>23</v>
      </c>
      <c r="E100" s="11">
        <v>41</v>
      </c>
      <c r="F100" s="11">
        <v>41</v>
      </c>
      <c r="G100" s="11">
        <v>31</v>
      </c>
      <c r="H100" s="11">
        <v>27</v>
      </c>
      <c r="I100" s="11">
        <v>32</v>
      </c>
      <c r="J100" s="11">
        <v>32</v>
      </c>
      <c r="K100" s="11">
        <v>26</v>
      </c>
      <c r="L100" s="11">
        <v>62</v>
      </c>
      <c r="M100" s="11">
        <v>95</v>
      </c>
      <c r="N100" s="11">
        <v>28</v>
      </c>
      <c r="O100" s="11">
        <v>30</v>
      </c>
      <c r="P100" s="11">
        <v>49</v>
      </c>
      <c r="Q100" s="11">
        <v>49</v>
      </c>
      <c r="R100" s="11">
        <v>26</v>
      </c>
      <c r="S100" s="11">
        <v>83</v>
      </c>
      <c r="T100" s="11">
        <v>88</v>
      </c>
      <c r="U100" s="11">
        <v>28</v>
      </c>
      <c r="V100" s="11">
        <v>29</v>
      </c>
      <c r="W100" s="11">
        <v>24</v>
      </c>
      <c r="X100" s="11">
        <v>33</v>
      </c>
      <c r="Y100" s="11">
        <v>32</v>
      </c>
      <c r="Z100" s="11">
        <v>69</v>
      </c>
      <c r="AA100" s="11">
        <v>91</v>
      </c>
      <c r="AB100" s="11">
        <v>22</v>
      </c>
      <c r="AC100" s="11">
        <v>36</v>
      </c>
      <c r="AD100" s="11">
        <v>40</v>
      </c>
      <c r="AE100" s="11">
        <v>70</v>
      </c>
      <c r="AF100" s="11">
        <v>60</v>
      </c>
      <c r="AG100" s="11">
        <v>92</v>
      </c>
      <c r="AH100" s="11"/>
      <c r="AI100" s="13">
        <f>SUM(D100:AG100)</f>
        <v>1389</v>
      </c>
      <c r="AJ100" s="6"/>
    </row>
    <row r="101" spans="1:36" x14ac:dyDescent="0.3">
      <c r="A101" s="2"/>
      <c r="B101" s="14"/>
      <c r="C101" s="15" t="s">
        <v>16</v>
      </c>
      <c r="D101" s="16">
        <f t="shared" ref="D101:AG101" si="59">+D100/$A100</f>
        <v>0.2</v>
      </c>
      <c r="E101" s="16">
        <f t="shared" si="59"/>
        <v>0.35652173913043478</v>
      </c>
      <c r="F101" s="16">
        <f t="shared" si="59"/>
        <v>0.35652173913043478</v>
      </c>
      <c r="G101" s="16">
        <f t="shared" si="59"/>
        <v>0.26956521739130435</v>
      </c>
      <c r="H101" s="16">
        <f t="shared" si="59"/>
        <v>0.23478260869565218</v>
      </c>
      <c r="I101" s="16">
        <f t="shared" si="59"/>
        <v>0.27826086956521739</v>
      </c>
      <c r="J101" s="16">
        <f t="shared" si="59"/>
        <v>0.27826086956521739</v>
      </c>
      <c r="K101" s="16">
        <f t="shared" si="59"/>
        <v>0.22608695652173913</v>
      </c>
      <c r="L101" s="16">
        <f t="shared" si="59"/>
        <v>0.53913043478260869</v>
      </c>
      <c r="M101" s="16">
        <f t="shared" si="59"/>
        <v>0.82608695652173914</v>
      </c>
      <c r="N101" s="16">
        <f t="shared" si="59"/>
        <v>0.24347826086956523</v>
      </c>
      <c r="O101" s="16">
        <f t="shared" si="59"/>
        <v>0.2608695652173913</v>
      </c>
      <c r="P101" s="16">
        <f t="shared" si="59"/>
        <v>0.42608695652173911</v>
      </c>
      <c r="Q101" s="16">
        <f t="shared" si="59"/>
        <v>0.42608695652173911</v>
      </c>
      <c r="R101" s="16">
        <f t="shared" si="59"/>
        <v>0.22608695652173913</v>
      </c>
      <c r="S101" s="16">
        <f t="shared" si="59"/>
        <v>0.72173913043478266</v>
      </c>
      <c r="T101" s="16">
        <f t="shared" si="59"/>
        <v>0.76521739130434785</v>
      </c>
      <c r="U101" s="16">
        <f t="shared" si="59"/>
        <v>0.24347826086956523</v>
      </c>
      <c r="V101" s="16">
        <f t="shared" si="59"/>
        <v>0.25217391304347825</v>
      </c>
      <c r="W101" s="16">
        <f t="shared" si="59"/>
        <v>0.20869565217391303</v>
      </c>
      <c r="X101" s="16">
        <f t="shared" si="59"/>
        <v>0.28695652173913044</v>
      </c>
      <c r="Y101" s="16">
        <f t="shared" si="59"/>
        <v>0.27826086956521739</v>
      </c>
      <c r="Z101" s="16">
        <f t="shared" si="59"/>
        <v>0.6</v>
      </c>
      <c r="AA101" s="16">
        <f t="shared" si="59"/>
        <v>0.79130434782608694</v>
      </c>
      <c r="AB101" s="16">
        <f t="shared" si="59"/>
        <v>0.19130434782608696</v>
      </c>
      <c r="AC101" s="16">
        <f t="shared" si="59"/>
        <v>0.31304347826086959</v>
      </c>
      <c r="AD101" s="16">
        <f t="shared" si="59"/>
        <v>0.34782608695652173</v>
      </c>
      <c r="AE101" s="16">
        <f t="shared" si="59"/>
        <v>0.60869565217391308</v>
      </c>
      <c r="AF101" s="16">
        <f t="shared" si="59"/>
        <v>0.52173913043478259</v>
      </c>
      <c r="AG101" s="16">
        <f t="shared" si="59"/>
        <v>0.8</v>
      </c>
      <c r="AH101" s="16"/>
      <c r="AI101" s="17">
        <f>+AI100/(A100*A$1)</f>
        <v>0.40260869565217389</v>
      </c>
      <c r="AJ101" s="6"/>
    </row>
    <row r="102" spans="1:36" x14ac:dyDescent="0.3">
      <c r="A102" s="2"/>
      <c r="B102" s="14"/>
      <c r="C102" s="15" t="s">
        <v>17</v>
      </c>
      <c r="D102" s="18">
        <f t="shared" ref="D102:AG102" si="60">+IFERROR(D104/D100,0)</f>
        <v>92.695652173913047</v>
      </c>
      <c r="E102" s="18">
        <f t="shared" si="60"/>
        <v>77.756097560975604</v>
      </c>
      <c r="F102" s="18">
        <f t="shared" si="60"/>
        <v>103.58536585365853</v>
      </c>
      <c r="G102" s="18">
        <f t="shared" si="60"/>
        <v>86.516129032258064</v>
      </c>
      <c r="H102" s="18">
        <f t="shared" si="60"/>
        <v>86.592592592592595</v>
      </c>
      <c r="I102" s="18">
        <f t="shared" si="60"/>
        <v>91.25</v>
      </c>
      <c r="J102" s="18">
        <f t="shared" si="60"/>
        <v>91.25</v>
      </c>
      <c r="K102" s="18">
        <f t="shared" si="60"/>
        <v>94.15384615384616</v>
      </c>
      <c r="L102" s="18">
        <f t="shared" si="60"/>
        <v>100.80645161290323</v>
      </c>
      <c r="M102" s="18">
        <f t="shared" si="60"/>
        <v>104.47368421052632</v>
      </c>
      <c r="N102" s="18">
        <f t="shared" si="60"/>
        <v>89.714285714285708</v>
      </c>
      <c r="O102" s="18">
        <f t="shared" si="60"/>
        <v>89.466666666666669</v>
      </c>
      <c r="P102" s="18">
        <f t="shared" si="60"/>
        <v>93.938775510204081</v>
      </c>
      <c r="Q102" s="18">
        <f t="shared" si="60"/>
        <v>99.489795918367349</v>
      </c>
      <c r="R102" s="18">
        <f t="shared" si="60"/>
        <v>91.5</v>
      </c>
      <c r="S102" s="18">
        <f t="shared" si="60"/>
        <v>103.59036144578313</v>
      </c>
      <c r="T102" s="18">
        <f t="shared" si="60"/>
        <v>106.75</v>
      </c>
      <c r="U102" s="18">
        <f t="shared" si="60"/>
        <v>95.428571428571431</v>
      </c>
      <c r="V102" s="18">
        <f t="shared" si="60"/>
        <v>103.68965517241379</v>
      </c>
      <c r="W102" s="18">
        <f t="shared" si="60"/>
        <v>102.79166666666667</v>
      </c>
      <c r="X102" s="18">
        <f t="shared" si="60"/>
        <v>93.060606060606062</v>
      </c>
      <c r="Y102" s="18">
        <f t="shared" si="60"/>
        <v>89.5</v>
      </c>
      <c r="Z102" s="18">
        <f t="shared" si="60"/>
        <v>93.666666666666671</v>
      </c>
      <c r="AA102" s="18">
        <f t="shared" si="60"/>
        <v>103.41758241758242</v>
      </c>
      <c r="AB102" s="18">
        <f t="shared" si="60"/>
        <v>94.818181818181813</v>
      </c>
      <c r="AC102" s="18">
        <f t="shared" si="60"/>
        <v>82.916666666666671</v>
      </c>
      <c r="AD102" s="18">
        <f t="shared" si="60"/>
        <v>90.65</v>
      </c>
      <c r="AE102" s="18">
        <f t="shared" si="60"/>
        <v>96.228571428571428</v>
      </c>
      <c r="AF102" s="18">
        <f t="shared" si="60"/>
        <v>92.266666666666666</v>
      </c>
      <c r="AG102" s="18">
        <f t="shared" si="60"/>
        <v>105.41304347826087</v>
      </c>
      <c r="AH102" s="18"/>
      <c r="AI102" s="19">
        <f>+AI104/AI100</f>
        <v>96.988480921526275</v>
      </c>
      <c r="AJ102" s="6"/>
    </row>
    <row r="103" spans="1:36" x14ac:dyDescent="0.3">
      <c r="A103" s="2"/>
      <c r="B103" s="14"/>
      <c r="C103" s="15" t="s">
        <v>18</v>
      </c>
      <c r="D103" s="18">
        <f t="shared" ref="D103:AG103" si="61">+D101*D102</f>
        <v>18.53913043478261</v>
      </c>
      <c r="E103" s="18">
        <f t="shared" si="61"/>
        <v>27.721739130434781</v>
      </c>
      <c r="F103" s="18">
        <f t="shared" si="61"/>
        <v>36.930434782608693</v>
      </c>
      <c r="G103" s="18">
        <f t="shared" si="61"/>
        <v>23.321739130434782</v>
      </c>
      <c r="H103" s="18">
        <f t="shared" si="61"/>
        <v>20.330434782608698</v>
      </c>
      <c r="I103" s="18">
        <f t="shared" si="61"/>
        <v>25.391304347826086</v>
      </c>
      <c r="J103" s="18">
        <f t="shared" si="61"/>
        <v>25.391304347826086</v>
      </c>
      <c r="K103" s="18">
        <f t="shared" si="61"/>
        <v>21.286956521739132</v>
      </c>
      <c r="L103" s="18">
        <f t="shared" si="61"/>
        <v>54.347826086956523</v>
      </c>
      <c r="M103" s="18">
        <f t="shared" si="61"/>
        <v>86.304347826086953</v>
      </c>
      <c r="N103" s="18">
        <f t="shared" si="61"/>
        <v>21.843478260869563</v>
      </c>
      <c r="O103" s="18">
        <f t="shared" si="61"/>
        <v>23.339130434782607</v>
      </c>
      <c r="P103" s="18">
        <f t="shared" si="61"/>
        <v>40.026086956521738</v>
      </c>
      <c r="Q103" s="18">
        <f t="shared" si="61"/>
        <v>42.391304347826086</v>
      </c>
      <c r="R103" s="18">
        <f t="shared" si="61"/>
        <v>20.68695652173913</v>
      </c>
      <c r="S103" s="18">
        <f t="shared" si="61"/>
        <v>74.765217391304347</v>
      </c>
      <c r="T103" s="18">
        <f t="shared" si="61"/>
        <v>81.686956521739134</v>
      </c>
      <c r="U103" s="18">
        <f t="shared" si="61"/>
        <v>23.234782608695653</v>
      </c>
      <c r="V103" s="18">
        <f t="shared" si="61"/>
        <v>26.14782608695652</v>
      </c>
      <c r="W103" s="18">
        <f t="shared" si="61"/>
        <v>21.452173913043477</v>
      </c>
      <c r="X103" s="18">
        <f t="shared" si="61"/>
        <v>26.704347826086959</v>
      </c>
      <c r="Y103" s="18">
        <f t="shared" si="61"/>
        <v>24.904347826086958</v>
      </c>
      <c r="Z103" s="18">
        <f t="shared" si="61"/>
        <v>56.2</v>
      </c>
      <c r="AA103" s="18">
        <f t="shared" si="61"/>
        <v>81.834782608695662</v>
      </c>
      <c r="AB103" s="18">
        <f t="shared" si="61"/>
        <v>18.139130434782608</v>
      </c>
      <c r="AC103" s="18">
        <f t="shared" si="61"/>
        <v>25.956521739130437</v>
      </c>
      <c r="AD103" s="18">
        <f t="shared" si="61"/>
        <v>31.530434782608697</v>
      </c>
      <c r="AE103" s="18">
        <f t="shared" si="61"/>
        <v>58.573913043478264</v>
      </c>
      <c r="AF103" s="18">
        <f t="shared" si="61"/>
        <v>48.139130434782608</v>
      </c>
      <c r="AG103" s="18">
        <f t="shared" si="61"/>
        <v>84.330434782608705</v>
      </c>
      <c r="AH103" s="18"/>
      <c r="AI103" s="19">
        <f>+AI102*AI101</f>
        <v>39.048405797101445</v>
      </c>
      <c r="AJ103" s="6"/>
    </row>
    <row r="104" spans="1:36" x14ac:dyDescent="0.3">
      <c r="A104" s="2"/>
      <c r="B104" s="14"/>
      <c r="C104" s="15" t="s">
        <v>19</v>
      </c>
      <c r="D104" s="20">
        <v>2132</v>
      </c>
      <c r="E104" s="20">
        <v>3188</v>
      </c>
      <c r="F104" s="20">
        <v>4247</v>
      </c>
      <c r="G104" s="20">
        <v>2682</v>
      </c>
      <c r="H104" s="20">
        <v>2338</v>
      </c>
      <c r="I104" s="20">
        <v>2920</v>
      </c>
      <c r="J104" s="20">
        <v>2920</v>
      </c>
      <c r="K104" s="20">
        <v>2448</v>
      </c>
      <c r="L104" s="20">
        <v>6250</v>
      </c>
      <c r="M104" s="20">
        <v>9925</v>
      </c>
      <c r="N104" s="20">
        <v>2512</v>
      </c>
      <c r="O104" s="20">
        <v>2684</v>
      </c>
      <c r="P104" s="20">
        <v>4603</v>
      </c>
      <c r="Q104" s="20">
        <v>4875</v>
      </c>
      <c r="R104" s="20">
        <v>2379</v>
      </c>
      <c r="S104" s="20">
        <v>8598</v>
      </c>
      <c r="T104" s="20">
        <v>9394</v>
      </c>
      <c r="U104" s="20">
        <v>2672</v>
      </c>
      <c r="V104" s="20">
        <v>3007</v>
      </c>
      <c r="W104" s="20">
        <v>2467</v>
      </c>
      <c r="X104" s="20">
        <v>3071</v>
      </c>
      <c r="Y104" s="20">
        <v>2864</v>
      </c>
      <c r="Z104" s="20">
        <v>6463</v>
      </c>
      <c r="AA104" s="20">
        <v>9411</v>
      </c>
      <c r="AB104" s="20">
        <v>2086</v>
      </c>
      <c r="AC104" s="20">
        <v>2985</v>
      </c>
      <c r="AD104" s="20">
        <v>3626</v>
      </c>
      <c r="AE104" s="20">
        <v>6736</v>
      </c>
      <c r="AF104" s="20">
        <v>5536</v>
      </c>
      <c r="AG104" s="20">
        <v>9698</v>
      </c>
      <c r="AH104" s="20"/>
      <c r="AI104" s="22">
        <f>SUM(D104:AG104)</f>
        <v>134717</v>
      </c>
      <c r="AJ104" s="6"/>
    </row>
    <row r="105" spans="1:36" ht="15" thickBot="1" x14ac:dyDescent="0.35">
      <c r="A105" s="145"/>
      <c r="B105" s="24"/>
      <c r="C105" s="77" t="s">
        <v>79</v>
      </c>
      <c r="D105" s="25">
        <f>1005.04/D104</f>
        <v>0.4714071294559099</v>
      </c>
      <c r="E105" s="25">
        <f>850.38/E104</f>
        <v>0.26674404015056463</v>
      </c>
      <c r="F105" s="25">
        <f>458.95/F104</f>
        <v>0.10806451612903226</v>
      </c>
      <c r="G105" s="25">
        <f>568.64/G104</f>
        <v>0.21202087994034302</v>
      </c>
      <c r="H105" s="25">
        <f>1274.32/H104</f>
        <v>0.54504704875962362</v>
      </c>
      <c r="I105" s="25">
        <f>846.66/I104</f>
        <v>0.28995205479452052</v>
      </c>
      <c r="J105" s="25">
        <f>1274.32/J104</f>
        <v>0.43641095890410958</v>
      </c>
      <c r="K105" s="25">
        <f>1076.57/K104</f>
        <v>0.43977532679738557</v>
      </c>
      <c r="L105" s="25">
        <f>904.98/L104</f>
        <v>0.1447968</v>
      </c>
      <c r="M105" s="25">
        <f>538.59/M104</f>
        <v>5.4265994962216631E-2</v>
      </c>
      <c r="N105" s="25">
        <f>640.99/N104</f>
        <v>0.25517117834394903</v>
      </c>
      <c r="O105" s="25">
        <f>1274.32/O104</f>
        <v>0.47478390461997017</v>
      </c>
      <c r="P105" s="25">
        <f>1274.32/P104</f>
        <v>0.27684553552031282</v>
      </c>
      <c r="Q105" s="25">
        <f>467.8/Q104</f>
        <v>9.5958974358974367E-2</v>
      </c>
      <c r="R105" s="25">
        <f>1274.32/R104</f>
        <v>0.53565363598150484</v>
      </c>
      <c r="S105" s="25">
        <f>1125.29/S104</f>
        <v>0.1308781111886485</v>
      </c>
      <c r="T105" s="25">
        <f>651.66/T104</f>
        <v>6.9369810517351499E-2</v>
      </c>
      <c r="U105" s="25">
        <f>909.28/U104</f>
        <v>0.34029940119760477</v>
      </c>
      <c r="V105" s="25">
        <f>599.64/V104</f>
        <v>0.19941469903558362</v>
      </c>
      <c r="W105" s="25">
        <f>702.37/W104</f>
        <v>0.28470612079448726</v>
      </c>
      <c r="X105" s="25">
        <f>544.53/X104</f>
        <v>0.17731357863887984</v>
      </c>
      <c r="Y105" s="25">
        <f>728/Y104</f>
        <v>0.25418994413407819</v>
      </c>
      <c r="Z105" s="25">
        <f>846.89/Z104</f>
        <v>0.13103667027696117</v>
      </c>
      <c r="AA105" s="25">
        <f>723.88/AA104</f>
        <v>7.6918499628094786E-2</v>
      </c>
      <c r="AB105" s="25">
        <f>759.91/AB104</f>
        <v>0.36429050814956854</v>
      </c>
      <c r="AC105" s="25">
        <f>1011.21/AC104</f>
        <v>0.33876381909547743</v>
      </c>
      <c r="AD105" s="25"/>
      <c r="AE105" s="25"/>
      <c r="AF105" s="25"/>
      <c r="AG105" s="25"/>
      <c r="AH105" s="25"/>
      <c r="AI105" s="79">
        <f>AVERAGE(D105:AG105)</f>
        <v>0.26823381312981354</v>
      </c>
      <c r="AJ105" s="6"/>
    </row>
    <row r="106" spans="1:36" ht="15" thickTop="1" x14ac:dyDescent="0.3">
      <c r="A106" s="2">
        <v>100</v>
      </c>
      <c r="B106" s="28" t="s">
        <v>42</v>
      </c>
      <c r="C106" s="29" t="s">
        <v>15</v>
      </c>
      <c r="D106" s="30">
        <v>77</v>
      </c>
      <c r="E106" s="30">
        <v>80</v>
      </c>
      <c r="F106" s="30">
        <v>77</v>
      </c>
      <c r="G106" s="30">
        <v>66</v>
      </c>
      <c r="H106" s="30">
        <v>78</v>
      </c>
      <c r="I106" s="30">
        <v>84</v>
      </c>
      <c r="J106" s="30">
        <v>83</v>
      </c>
      <c r="K106" s="30">
        <v>74</v>
      </c>
      <c r="L106" s="30">
        <v>84</v>
      </c>
      <c r="M106" s="30">
        <v>85</v>
      </c>
      <c r="N106" s="30">
        <v>79</v>
      </c>
      <c r="O106" s="30">
        <v>82</v>
      </c>
      <c r="P106" s="30">
        <v>80</v>
      </c>
      <c r="Q106" s="30">
        <v>82</v>
      </c>
      <c r="R106" s="30">
        <v>83</v>
      </c>
      <c r="S106" s="30">
        <v>82</v>
      </c>
      <c r="T106" s="30">
        <v>75</v>
      </c>
      <c r="U106" s="30">
        <v>58</v>
      </c>
      <c r="V106" s="30">
        <v>66</v>
      </c>
      <c r="W106" s="30">
        <v>78</v>
      </c>
      <c r="X106" s="30">
        <v>73</v>
      </c>
      <c r="Y106" s="30">
        <v>77</v>
      </c>
      <c r="Z106" s="30">
        <v>78</v>
      </c>
      <c r="AA106" s="30">
        <v>73</v>
      </c>
      <c r="AB106" s="30">
        <v>53</v>
      </c>
      <c r="AC106" s="30">
        <v>76</v>
      </c>
      <c r="AD106" s="30">
        <v>64</v>
      </c>
      <c r="AE106" s="30">
        <v>76</v>
      </c>
      <c r="AF106" s="30">
        <v>71</v>
      </c>
      <c r="AG106" s="30">
        <v>68</v>
      </c>
      <c r="AH106" s="30"/>
      <c r="AI106" s="32">
        <f>SUM(D106:AG106)</f>
        <v>2262</v>
      </c>
      <c r="AJ106" s="6"/>
    </row>
    <row r="107" spans="1:36" x14ac:dyDescent="0.3">
      <c r="A107" s="2"/>
      <c r="B107" s="33"/>
      <c r="C107" s="34" t="s">
        <v>16</v>
      </c>
      <c r="D107" s="35">
        <f t="shared" ref="D107:AG107" si="62">+D106/$A106</f>
        <v>0.77</v>
      </c>
      <c r="E107" s="35">
        <f t="shared" si="62"/>
        <v>0.8</v>
      </c>
      <c r="F107" s="35">
        <f t="shared" si="62"/>
        <v>0.77</v>
      </c>
      <c r="G107" s="35">
        <f t="shared" si="62"/>
        <v>0.66</v>
      </c>
      <c r="H107" s="35">
        <f t="shared" si="62"/>
        <v>0.78</v>
      </c>
      <c r="I107" s="35">
        <f t="shared" si="62"/>
        <v>0.84</v>
      </c>
      <c r="J107" s="35">
        <f t="shared" si="62"/>
        <v>0.83</v>
      </c>
      <c r="K107" s="35">
        <f t="shared" si="62"/>
        <v>0.74</v>
      </c>
      <c r="L107" s="35">
        <f t="shared" si="62"/>
        <v>0.84</v>
      </c>
      <c r="M107" s="35">
        <f t="shared" si="62"/>
        <v>0.85</v>
      </c>
      <c r="N107" s="35">
        <f t="shared" si="62"/>
        <v>0.79</v>
      </c>
      <c r="O107" s="35">
        <f t="shared" si="62"/>
        <v>0.82</v>
      </c>
      <c r="P107" s="35">
        <f t="shared" si="62"/>
        <v>0.8</v>
      </c>
      <c r="Q107" s="35">
        <f t="shared" si="62"/>
        <v>0.82</v>
      </c>
      <c r="R107" s="35">
        <f t="shared" si="62"/>
        <v>0.83</v>
      </c>
      <c r="S107" s="35">
        <f t="shared" si="62"/>
        <v>0.82</v>
      </c>
      <c r="T107" s="35">
        <f t="shared" si="62"/>
        <v>0.75</v>
      </c>
      <c r="U107" s="35">
        <f t="shared" si="62"/>
        <v>0.57999999999999996</v>
      </c>
      <c r="V107" s="35">
        <f t="shared" si="62"/>
        <v>0.66</v>
      </c>
      <c r="W107" s="35">
        <f t="shared" si="62"/>
        <v>0.78</v>
      </c>
      <c r="X107" s="35">
        <f t="shared" si="62"/>
        <v>0.73</v>
      </c>
      <c r="Y107" s="35">
        <f t="shared" si="62"/>
        <v>0.77</v>
      </c>
      <c r="Z107" s="35">
        <f t="shared" si="62"/>
        <v>0.78</v>
      </c>
      <c r="AA107" s="35">
        <f t="shared" si="62"/>
        <v>0.73</v>
      </c>
      <c r="AB107" s="35">
        <f t="shared" si="62"/>
        <v>0.53</v>
      </c>
      <c r="AC107" s="35">
        <f t="shared" si="62"/>
        <v>0.76</v>
      </c>
      <c r="AD107" s="35">
        <f t="shared" si="62"/>
        <v>0.64</v>
      </c>
      <c r="AE107" s="35">
        <f t="shared" si="62"/>
        <v>0.76</v>
      </c>
      <c r="AF107" s="35">
        <f t="shared" si="62"/>
        <v>0.71</v>
      </c>
      <c r="AG107" s="35">
        <f t="shared" si="62"/>
        <v>0.68</v>
      </c>
      <c r="AH107" s="35"/>
      <c r="AI107" s="36">
        <f>+AI106/(A106*A$1)</f>
        <v>0.754</v>
      </c>
      <c r="AJ107" s="6"/>
    </row>
    <row r="108" spans="1:36" x14ac:dyDescent="0.3">
      <c r="A108" s="2"/>
      <c r="B108" s="33"/>
      <c r="C108" s="34" t="s">
        <v>17</v>
      </c>
      <c r="D108" s="37">
        <f t="shared" ref="D108:AG108" si="63">+IFERROR(D110/D106,0)</f>
        <v>80.15584415584415</v>
      </c>
      <c r="E108" s="37">
        <f t="shared" si="63"/>
        <v>84.762500000000003</v>
      </c>
      <c r="F108" s="37">
        <f t="shared" si="63"/>
        <v>83.935064935064929</v>
      </c>
      <c r="G108" s="37">
        <f t="shared" si="63"/>
        <v>82.257575757575751</v>
      </c>
      <c r="H108" s="37">
        <f t="shared" si="63"/>
        <v>85.34615384615384</v>
      </c>
      <c r="I108" s="37">
        <f t="shared" si="63"/>
        <v>87.63095238095238</v>
      </c>
      <c r="J108" s="37">
        <f t="shared" si="63"/>
        <v>88.903614457831324</v>
      </c>
      <c r="K108" s="37">
        <f t="shared" si="63"/>
        <v>85.71621621621621</v>
      </c>
      <c r="L108" s="37">
        <f t="shared" si="63"/>
        <v>84.86904761904762</v>
      </c>
      <c r="M108" s="37">
        <f t="shared" si="63"/>
        <v>85.870588235294122</v>
      </c>
      <c r="N108" s="37">
        <f t="shared" si="63"/>
        <v>89.797468354430379</v>
      </c>
      <c r="O108" s="37">
        <f t="shared" si="63"/>
        <v>89.329268292682926</v>
      </c>
      <c r="P108" s="37">
        <f t="shared" si="63"/>
        <v>92.757249999999999</v>
      </c>
      <c r="Q108" s="37">
        <f t="shared" si="63"/>
        <v>92.573170731707322</v>
      </c>
      <c r="R108" s="37">
        <f t="shared" si="63"/>
        <v>110.32530120481928</v>
      </c>
      <c r="S108" s="37">
        <f t="shared" si="63"/>
        <v>93.731707317073173</v>
      </c>
      <c r="T108" s="37">
        <f t="shared" si="63"/>
        <v>83.213333333333338</v>
      </c>
      <c r="U108" s="37">
        <f t="shared" si="63"/>
        <v>85.5</v>
      </c>
      <c r="V108" s="37">
        <f t="shared" si="63"/>
        <v>88.666666666666671</v>
      </c>
      <c r="W108" s="37">
        <f t="shared" si="63"/>
        <v>91.910256410256409</v>
      </c>
      <c r="X108" s="37">
        <f t="shared" si="63"/>
        <v>82.61643835616438</v>
      </c>
      <c r="Y108" s="37">
        <f t="shared" si="63"/>
        <v>90.090909090909093</v>
      </c>
      <c r="Z108" s="37">
        <f t="shared" si="63"/>
        <v>92.282051282051285</v>
      </c>
      <c r="AA108" s="37">
        <f t="shared" si="63"/>
        <v>86.630136986301366</v>
      </c>
      <c r="AB108" s="37">
        <f t="shared" si="63"/>
        <v>88.773584905660371</v>
      </c>
      <c r="AC108" s="37">
        <f t="shared" si="63"/>
        <v>62.263157894736842</v>
      </c>
      <c r="AD108" s="37">
        <f t="shared" si="63"/>
        <v>93.453125</v>
      </c>
      <c r="AE108" s="37">
        <f t="shared" si="63"/>
        <v>90.25</v>
      </c>
      <c r="AF108" s="37">
        <f t="shared" si="63"/>
        <v>86.83098591549296</v>
      </c>
      <c r="AG108" s="37">
        <f t="shared" si="63"/>
        <v>84.661764705882348</v>
      </c>
      <c r="AH108" s="37"/>
      <c r="AI108" s="38">
        <f>+AI110/AI106</f>
        <v>87.620061892130863</v>
      </c>
      <c r="AJ108" s="6"/>
    </row>
    <row r="109" spans="1:36" x14ac:dyDescent="0.3">
      <c r="A109" s="2"/>
      <c r="B109" s="33"/>
      <c r="C109" s="34" t="s">
        <v>18</v>
      </c>
      <c r="D109" s="37">
        <f t="shared" ref="D109:AG109" si="64">+D107*D108</f>
        <v>61.72</v>
      </c>
      <c r="E109" s="37">
        <f t="shared" si="64"/>
        <v>67.81</v>
      </c>
      <c r="F109" s="37">
        <f t="shared" si="64"/>
        <v>64.63</v>
      </c>
      <c r="G109" s="37">
        <f t="shared" si="64"/>
        <v>54.29</v>
      </c>
      <c r="H109" s="37">
        <f t="shared" si="64"/>
        <v>66.569999999999993</v>
      </c>
      <c r="I109" s="37">
        <f t="shared" si="64"/>
        <v>73.61</v>
      </c>
      <c r="J109" s="37">
        <f t="shared" si="64"/>
        <v>73.789999999999992</v>
      </c>
      <c r="K109" s="37">
        <f t="shared" si="64"/>
        <v>63.429999999999993</v>
      </c>
      <c r="L109" s="37">
        <f t="shared" si="64"/>
        <v>71.289999999999992</v>
      </c>
      <c r="M109" s="37">
        <f t="shared" si="64"/>
        <v>72.989999999999995</v>
      </c>
      <c r="N109" s="37">
        <f t="shared" si="64"/>
        <v>70.94</v>
      </c>
      <c r="O109" s="37">
        <f t="shared" si="64"/>
        <v>73.25</v>
      </c>
      <c r="P109" s="37">
        <f t="shared" si="64"/>
        <v>74.205799999999996</v>
      </c>
      <c r="Q109" s="37">
        <f t="shared" si="64"/>
        <v>75.91</v>
      </c>
      <c r="R109" s="37">
        <f t="shared" si="64"/>
        <v>91.570000000000007</v>
      </c>
      <c r="S109" s="37">
        <f t="shared" si="64"/>
        <v>76.86</v>
      </c>
      <c r="T109" s="37">
        <f t="shared" si="64"/>
        <v>62.410000000000004</v>
      </c>
      <c r="U109" s="37">
        <f t="shared" si="64"/>
        <v>49.589999999999996</v>
      </c>
      <c r="V109" s="37">
        <f t="shared" si="64"/>
        <v>58.52</v>
      </c>
      <c r="W109" s="37">
        <f t="shared" si="64"/>
        <v>71.69</v>
      </c>
      <c r="X109" s="37">
        <f t="shared" si="64"/>
        <v>60.309999999999995</v>
      </c>
      <c r="Y109" s="37">
        <f t="shared" si="64"/>
        <v>69.37</v>
      </c>
      <c r="Z109" s="37">
        <f t="shared" si="64"/>
        <v>71.98</v>
      </c>
      <c r="AA109" s="37">
        <f t="shared" si="64"/>
        <v>63.239999999999995</v>
      </c>
      <c r="AB109" s="37">
        <f t="shared" si="64"/>
        <v>47.05</v>
      </c>
      <c r="AC109" s="37">
        <f t="shared" si="64"/>
        <v>47.32</v>
      </c>
      <c r="AD109" s="37">
        <f t="shared" si="64"/>
        <v>59.81</v>
      </c>
      <c r="AE109" s="37">
        <f t="shared" si="64"/>
        <v>68.59</v>
      </c>
      <c r="AF109" s="37">
        <f t="shared" si="64"/>
        <v>61.65</v>
      </c>
      <c r="AG109" s="37">
        <f t="shared" si="64"/>
        <v>57.57</v>
      </c>
      <c r="AH109" s="37"/>
      <c r="AI109" s="38">
        <f>+AI108*AI107</f>
        <v>66.065526666666671</v>
      </c>
      <c r="AJ109" s="6"/>
    </row>
    <row r="110" spans="1:36" x14ac:dyDescent="0.3">
      <c r="A110" s="2"/>
      <c r="B110" s="14"/>
      <c r="C110" s="15" t="s">
        <v>19</v>
      </c>
      <c r="D110" s="20">
        <v>6172</v>
      </c>
      <c r="E110" s="20">
        <v>6781</v>
      </c>
      <c r="F110" s="20">
        <v>6463</v>
      </c>
      <c r="G110" s="20">
        <v>5429</v>
      </c>
      <c r="H110" s="20">
        <v>6657</v>
      </c>
      <c r="I110" s="20">
        <v>7361</v>
      </c>
      <c r="J110" s="20">
        <v>7379</v>
      </c>
      <c r="K110" s="20">
        <v>6343</v>
      </c>
      <c r="L110" s="20">
        <v>7129</v>
      </c>
      <c r="M110" s="20">
        <v>7299</v>
      </c>
      <c r="N110" s="20">
        <v>7094</v>
      </c>
      <c r="O110" s="20">
        <v>7325</v>
      </c>
      <c r="P110" s="20">
        <v>7420.58</v>
      </c>
      <c r="Q110" s="20">
        <v>7591</v>
      </c>
      <c r="R110" s="20">
        <v>9157</v>
      </c>
      <c r="S110" s="20">
        <v>7686</v>
      </c>
      <c r="T110" s="20">
        <v>6241</v>
      </c>
      <c r="U110" s="20">
        <v>4959</v>
      </c>
      <c r="V110" s="20">
        <v>5852</v>
      </c>
      <c r="W110" s="20">
        <v>7169</v>
      </c>
      <c r="X110" s="20">
        <v>6031</v>
      </c>
      <c r="Y110" s="20">
        <v>6937</v>
      </c>
      <c r="Z110" s="20">
        <v>7198</v>
      </c>
      <c r="AA110" s="20">
        <v>6324</v>
      </c>
      <c r="AB110" s="20">
        <v>4705</v>
      </c>
      <c r="AC110" s="20">
        <v>4732</v>
      </c>
      <c r="AD110" s="20">
        <v>5981</v>
      </c>
      <c r="AE110" s="20">
        <v>6859</v>
      </c>
      <c r="AF110" s="20">
        <v>6165</v>
      </c>
      <c r="AG110" s="20">
        <v>5757</v>
      </c>
      <c r="AH110" s="20"/>
      <c r="AI110" s="22">
        <f>SUM(D110:AG110)</f>
        <v>198196.58000000002</v>
      </c>
      <c r="AJ110" s="6"/>
    </row>
    <row r="111" spans="1:36" ht="15" thickBot="1" x14ac:dyDescent="0.35">
      <c r="A111" s="145"/>
      <c r="B111" s="48"/>
      <c r="C111" s="41" t="s">
        <v>20</v>
      </c>
      <c r="D111" s="49">
        <f>1242.82/D110</f>
        <v>0.2013642255346727</v>
      </c>
      <c r="E111" s="49">
        <f>685.93/E110</f>
        <v>0.10115469694735289</v>
      </c>
      <c r="F111" s="49">
        <f>486.15/F110</f>
        <v>7.5220485842488E-2</v>
      </c>
      <c r="G111" s="49">
        <f>758.22/G110</f>
        <v>0.13966107938846933</v>
      </c>
      <c r="H111" s="49">
        <f>1144.44/H110</f>
        <v>0.17191527715187022</v>
      </c>
      <c r="I111" s="49">
        <f>739.4/I110</f>
        <v>0.10044830865371553</v>
      </c>
      <c r="J111" s="49">
        <f>1144.44/J110</f>
        <v>0.15509418620409271</v>
      </c>
      <c r="K111" s="49">
        <f>1248.49/K110</f>
        <v>0.19682957591045247</v>
      </c>
      <c r="L111" s="49">
        <f>1404.82/L110</f>
        <v>0.19705709075606676</v>
      </c>
      <c r="M111" s="49">
        <f>706.92/M110</f>
        <v>9.6851623510069873E-2</v>
      </c>
      <c r="N111" s="49">
        <f>1132.22/N110</f>
        <v>0.15960248096983368</v>
      </c>
      <c r="O111" s="49">
        <f>1144.44/O110</f>
        <v>0.15623754266211604</v>
      </c>
      <c r="P111" s="49">
        <f>1144.44/P110</f>
        <v>0.15422514143099328</v>
      </c>
      <c r="Q111" s="49">
        <f>1248.72/Q110</f>
        <v>0.16450006586747465</v>
      </c>
      <c r="R111" s="49">
        <f>1144.44/R110</f>
        <v>0.12497979687670635</v>
      </c>
      <c r="S111" s="49">
        <f>725.44/S110</f>
        <v>9.4384595368201929E-2</v>
      </c>
      <c r="T111" s="49">
        <f>447.95/T110</f>
        <v>7.1775356513379268E-2</v>
      </c>
      <c r="U111" s="49">
        <f>833.1/U110</f>
        <v>0.16799758015728977</v>
      </c>
      <c r="V111" s="49">
        <f>1467.25/V110</f>
        <v>0.25072624743677374</v>
      </c>
      <c r="W111" s="49">
        <f>1378.96/W110</f>
        <v>0.19235039754498537</v>
      </c>
      <c r="X111" s="49">
        <f>1086.41/X110</f>
        <v>0.18013762228486158</v>
      </c>
      <c r="Y111" s="49">
        <f>1264.8/Y110</f>
        <v>0.18232665417327373</v>
      </c>
      <c r="Z111" s="49">
        <f>1123.79/Z110</f>
        <v>0.15612531258682966</v>
      </c>
      <c r="AA111" s="49">
        <f>856.85/AA110</f>
        <v>0.13549177735610374</v>
      </c>
      <c r="AB111" s="49">
        <f>546.7/AB110</f>
        <v>0.11619553666312435</v>
      </c>
      <c r="AC111" s="49">
        <f>942.49/AC110</f>
        <v>0.19917371090448013</v>
      </c>
      <c r="AD111" s="49"/>
      <c r="AE111" s="49"/>
      <c r="AF111" s="49"/>
      <c r="AG111" s="49"/>
      <c r="AH111" s="49"/>
      <c r="AI111" s="51">
        <f>AVERAGE(D111:AG111)</f>
        <v>0.15160870648829533</v>
      </c>
      <c r="AJ111" s="6"/>
    </row>
    <row r="112" spans="1:36" ht="15" thickTop="1" x14ac:dyDescent="0.3">
      <c r="A112" s="2">
        <v>107</v>
      </c>
      <c r="B112" s="45" t="s">
        <v>43</v>
      </c>
      <c r="C112" s="46" t="s">
        <v>15</v>
      </c>
      <c r="D112" s="11">
        <v>85</v>
      </c>
      <c r="E112" s="11">
        <v>93</v>
      </c>
      <c r="F112" s="11">
        <v>92</v>
      </c>
      <c r="G112" s="11">
        <v>77</v>
      </c>
      <c r="H112" s="11">
        <v>76</v>
      </c>
      <c r="I112" s="11">
        <v>79</v>
      </c>
      <c r="J112" s="11">
        <v>83</v>
      </c>
      <c r="K112" s="11">
        <v>83</v>
      </c>
      <c r="L112" s="11">
        <v>94</v>
      </c>
      <c r="M112" s="11">
        <v>104</v>
      </c>
      <c r="N112" s="11">
        <v>71</v>
      </c>
      <c r="O112" s="11">
        <v>87</v>
      </c>
      <c r="P112" s="11">
        <v>95</v>
      </c>
      <c r="Q112" s="11">
        <v>95</v>
      </c>
      <c r="R112" s="11">
        <v>101</v>
      </c>
      <c r="S112" s="11">
        <v>105</v>
      </c>
      <c r="T112" s="11">
        <v>106</v>
      </c>
      <c r="U112" s="11">
        <v>80</v>
      </c>
      <c r="V112" s="11">
        <v>100</v>
      </c>
      <c r="W112" s="11">
        <v>96</v>
      </c>
      <c r="X112" s="11">
        <v>96</v>
      </c>
      <c r="Y112" s="11">
        <v>97</v>
      </c>
      <c r="Z112" s="11">
        <v>97</v>
      </c>
      <c r="AA112" s="11">
        <v>107</v>
      </c>
      <c r="AB112" s="11">
        <v>86</v>
      </c>
      <c r="AC112" s="11">
        <v>105</v>
      </c>
      <c r="AD112" s="11">
        <v>98</v>
      </c>
      <c r="AE112" s="11">
        <v>87</v>
      </c>
      <c r="AF112" s="11">
        <v>86</v>
      </c>
      <c r="AG112" s="11">
        <v>106</v>
      </c>
      <c r="AH112" s="11"/>
      <c r="AI112" s="13">
        <f>SUM(D112:AG112)</f>
        <v>2767</v>
      </c>
      <c r="AJ112" s="6"/>
    </row>
    <row r="113" spans="1:36" x14ac:dyDescent="0.3">
      <c r="A113" s="2"/>
      <c r="B113" s="14"/>
      <c r="C113" s="15" t="s">
        <v>16</v>
      </c>
      <c r="D113" s="16">
        <f>+D112/$A112</f>
        <v>0.79439252336448596</v>
      </c>
      <c r="E113" s="16">
        <f t="shared" ref="E113:AG113" si="65">+E112/$A112</f>
        <v>0.86915887850467288</v>
      </c>
      <c r="F113" s="16">
        <f t="shared" si="65"/>
        <v>0.85981308411214952</v>
      </c>
      <c r="G113" s="16">
        <f t="shared" si="65"/>
        <v>0.71962616822429903</v>
      </c>
      <c r="H113" s="16">
        <f t="shared" si="65"/>
        <v>0.71028037383177567</v>
      </c>
      <c r="I113" s="16">
        <f t="shared" si="65"/>
        <v>0.73831775700934577</v>
      </c>
      <c r="J113" s="16">
        <f t="shared" si="65"/>
        <v>0.77570093457943923</v>
      </c>
      <c r="K113" s="16">
        <f t="shared" si="65"/>
        <v>0.77570093457943923</v>
      </c>
      <c r="L113" s="16">
        <f t="shared" si="65"/>
        <v>0.87850467289719625</v>
      </c>
      <c r="M113" s="16">
        <f t="shared" si="65"/>
        <v>0.9719626168224299</v>
      </c>
      <c r="N113" s="16">
        <f t="shared" si="65"/>
        <v>0.66355140186915884</v>
      </c>
      <c r="O113" s="16">
        <f t="shared" si="65"/>
        <v>0.81308411214953269</v>
      </c>
      <c r="P113" s="16">
        <f t="shared" si="65"/>
        <v>0.88785046728971961</v>
      </c>
      <c r="Q113" s="16">
        <f t="shared" si="65"/>
        <v>0.88785046728971961</v>
      </c>
      <c r="R113" s="16">
        <f t="shared" si="65"/>
        <v>0.94392523364485981</v>
      </c>
      <c r="S113" s="16">
        <f t="shared" si="65"/>
        <v>0.98130841121495327</v>
      </c>
      <c r="T113" s="16">
        <f t="shared" si="65"/>
        <v>0.99065420560747663</v>
      </c>
      <c r="U113" s="16">
        <f t="shared" si="65"/>
        <v>0.74766355140186913</v>
      </c>
      <c r="V113" s="16">
        <f t="shared" si="65"/>
        <v>0.93457943925233644</v>
      </c>
      <c r="W113" s="16">
        <f t="shared" si="65"/>
        <v>0.89719626168224298</v>
      </c>
      <c r="X113" s="16">
        <f t="shared" si="65"/>
        <v>0.89719626168224298</v>
      </c>
      <c r="Y113" s="16">
        <f t="shared" si="65"/>
        <v>0.90654205607476634</v>
      </c>
      <c r="Z113" s="16">
        <f t="shared" si="65"/>
        <v>0.90654205607476634</v>
      </c>
      <c r="AA113" s="16">
        <f>+AA112/$A112</f>
        <v>1</v>
      </c>
      <c r="AB113" s="16">
        <f t="shared" si="65"/>
        <v>0.80373831775700932</v>
      </c>
      <c r="AC113" s="16">
        <f t="shared" si="65"/>
        <v>0.98130841121495327</v>
      </c>
      <c r="AD113" s="16">
        <f t="shared" si="65"/>
        <v>0.91588785046728971</v>
      </c>
      <c r="AE113" s="16">
        <f t="shared" si="65"/>
        <v>0.81308411214953269</v>
      </c>
      <c r="AF113" s="16">
        <f t="shared" si="65"/>
        <v>0.80373831775700932</v>
      </c>
      <c r="AG113" s="16">
        <f t="shared" si="65"/>
        <v>0.99065420560747663</v>
      </c>
      <c r="AH113" s="16"/>
      <c r="AI113" s="17">
        <f>+AI112/(A112*A$1)</f>
        <v>0.86199376947040496</v>
      </c>
      <c r="AJ113" s="6"/>
    </row>
    <row r="114" spans="1:36" x14ac:dyDescent="0.3">
      <c r="A114" s="2"/>
      <c r="B114" s="14"/>
      <c r="C114" s="15" t="s">
        <v>17</v>
      </c>
      <c r="D114" s="18">
        <f>+IFERROR(D116/D112,0)</f>
        <v>88.752941176470586</v>
      </c>
      <c r="E114" s="18">
        <f t="shared" ref="E114:AG114" si="66">+IFERROR(E116/E112,0)</f>
        <v>93.150537634408607</v>
      </c>
      <c r="F114" s="18">
        <f t="shared" si="66"/>
        <v>97.532608695652172</v>
      </c>
      <c r="G114" s="18">
        <f t="shared" si="66"/>
        <v>91.987012987012989</v>
      </c>
      <c r="H114" s="18">
        <f t="shared" si="66"/>
        <v>93.84210526315789</v>
      </c>
      <c r="I114" s="18">
        <f t="shared" si="66"/>
        <v>96.12658227848101</v>
      </c>
      <c r="J114" s="18">
        <f t="shared" si="66"/>
        <v>96.349397590361448</v>
      </c>
      <c r="K114" s="18">
        <f t="shared" si="66"/>
        <v>96.5421686746988</v>
      </c>
      <c r="L114" s="18">
        <f t="shared" si="66"/>
        <v>97.851063829787236</v>
      </c>
      <c r="M114" s="18">
        <f t="shared" si="66"/>
        <v>107.41346153846153</v>
      </c>
      <c r="N114" s="18">
        <f t="shared" si="66"/>
        <v>92.897605633802812</v>
      </c>
      <c r="O114" s="18">
        <f t="shared" si="66"/>
        <v>96.195402298850581</v>
      </c>
      <c r="P114" s="18">
        <f t="shared" si="66"/>
        <v>96.78947368421052</v>
      </c>
      <c r="Q114" s="18">
        <f t="shared" si="66"/>
        <v>98.042105263157893</v>
      </c>
      <c r="R114" s="18">
        <f t="shared" si="66"/>
        <v>96.56435643564356</v>
      </c>
      <c r="S114" s="18">
        <f t="shared" si="66"/>
        <v>107.1047619047619</v>
      </c>
      <c r="T114" s="18">
        <f t="shared" si="66"/>
        <v>108.67924528301887</v>
      </c>
      <c r="U114" s="18">
        <f t="shared" si="66"/>
        <v>99.275000000000006</v>
      </c>
      <c r="V114" s="18">
        <f t="shared" si="66"/>
        <v>98.6</v>
      </c>
      <c r="W114" s="18">
        <f t="shared" si="66"/>
        <v>99.53125</v>
      </c>
      <c r="X114" s="18">
        <f t="shared" si="66"/>
        <v>98.572916666666671</v>
      </c>
      <c r="Y114" s="18">
        <f t="shared" si="66"/>
        <v>100.9381443298969</v>
      </c>
      <c r="Z114" s="18">
        <f t="shared" si="66"/>
        <v>107.79381443298969</v>
      </c>
      <c r="AA114" s="18">
        <f t="shared" si="66"/>
        <v>109.10280373831776</v>
      </c>
      <c r="AB114" s="18">
        <f t="shared" si="66"/>
        <v>99.220930232558146</v>
      </c>
      <c r="AC114" s="18">
        <f t="shared" si="66"/>
        <v>97.38095238095238</v>
      </c>
      <c r="AD114" s="18">
        <f t="shared" si="66"/>
        <v>91.204081632653057</v>
      </c>
      <c r="AE114" s="18">
        <f t="shared" si="66"/>
        <v>95.080459770114942</v>
      </c>
      <c r="AF114" s="18">
        <f t="shared" si="66"/>
        <v>91.534883720930239</v>
      </c>
      <c r="AG114" s="18">
        <f t="shared" si="66"/>
        <v>104.78301886792453</v>
      </c>
      <c r="AH114" s="18"/>
      <c r="AI114" s="19">
        <f>+AI116/AI112</f>
        <v>98.680422840621603</v>
      </c>
      <c r="AJ114" s="6"/>
    </row>
    <row r="115" spans="1:36" x14ac:dyDescent="0.3">
      <c r="A115" s="2"/>
      <c r="B115" s="14"/>
      <c r="C115" s="15" t="s">
        <v>18</v>
      </c>
      <c r="D115" s="18">
        <f>+D113*D114</f>
        <v>70.504672897196258</v>
      </c>
      <c r="E115" s="18">
        <f t="shared" ref="E115:AG115" si="67">+E113*E114</f>
        <v>80.962616822429908</v>
      </c>
      <c r="F115" s="18">
        <f t="shared" si="67"/>
        <v>83.859813084112147</v>
      </c>
      <c r="G115" s="18">
        <f t="shared" si="67"/>
        <v>66.196261682242991</v>
      </c>
      <c r="H115" s="18">
        <f t="shared" si="67"/>
        <v>66.654205607476626</v>
      </c>
      <c r="I115" s="18">
        <f t="shared" si="67"/>
        <v>70.971962616822424</v>
      </c>
      <c r="J115" s="18">
        <f t="shared" si="67"/>
        <v>74.738317757009341</v>
      </c>
      <c r="K115" s="18">
        <f t="shared" si="67"/>
        <v>74.887850467289724</v>
      </c>
      <c r="L115" s="18">
        <f t="shared" si="67"/>
        <v>85.962616822429908</v>
      </c>
      <c r="M115" s="18">
        <f t="shared" si="67"/>
        <v>104.4018691588785</v>
      </c>
      <c r="N115" s="18">
        <f t="shared" si="67"/>
        <v>61.642336448598122</v>
      </c>
      <c r="O115" s="18">
        <f t="shared" si="67"/>
        <v>78.214953271028037</v>
      </c>
      <c r="P115" s="18">
        <f t="shared" si="67"/>
        <v>85.934579439252332</v>
      </c>
      <c r="Q115" s="18">
        <f t="shared" si="67"/>
        <v>87.046728971962608</v>
      </c>
      <c r="R115" s="18">
        <f t="shared" si="67"/>
        <v>91.149532710280369</v>
      </c>
      <c r="S115" s="18">
        <f t="shared" si="67"/>
        <v>105.10280373831775</v>
      </c>
      <c r="T115" s="18">
        <f t="shared" si="67"/>
        <v>107.66355140186916</v>
      </c>
      <c r="U115" s="18">
        <f t="shared" si="67"/>
        <v>74.224299065420567</v>
      </c>
      <c r="V115" s="18">
        <f t="shared" si="67"/>
        <v>92.149532710280369</v>
      </c>
      <c r="W115" s="18">
        <f t="shared" si="67"/>
        <v>89.299065420560751</v>
      </c>
      <c r="X115" s="18">
        <f t="shared" si="67"/>
        <v>88.439252336448604</v>
      </c>
      <c r="Y115" s="18">
        <f t="shared" si="67"/>
        <v>91.504672897196258</v>
      </c>
      <c r="Z115" s="18">
        <f t="shared" si="67"/>
        <v>97.719626168224295</v>
      </c>
      <c r="AA115" s="18">
        <f t="shared" si="67"/>
        <v>109.10280373831776</v>
      </c>
      <c r="AB115" s="18">
        <f t="shared" si="67"/>
        <v>79.747663551401871</v>
      </c>
      <c r="AC115" s="18">
        <f t="shared" si="67"/>
        <v>95.560747663551396</v>
      </c>
      <c r="AD115" s="18">
        <f t="shared" si="67"/>
        <v>83.532710280373834</v>
      </c>
      <c r="AE115" s="18">
        <f t="shared" si="67"/>
        <v>77.308411214953267</v>
      </c>
      <c r="AF115" s="18">
        <f t="shared" si="67"/>
        <v>73.570093457943926</v>
      </c>
      <c r="AG115" s="18">
        <f t="shared" si="67"/>
        <v>103.80373831775701</v>
      </c>
      <c r="AH115" s="18"/>
      <c r="AI115" s="19">
        <f>+AI114*AI113</f>
        <v>85.061909657320868</v>
      </c>
      <c r="AJ115" s="6"/>
    </row>
    <row r="116" spans="1:36" x14ac:dyDescent="0.3">
      <c r="A116" s="2"/>
      <c r="B116" s="33"/>
      <c r="C116" s="34" t="s">
        <v>19</v>
      </c>
      <c r="D116" s="20">
        <v>7544</v>
      </c>
      <c r="E116" s="20">
        <v>8663</v>
      </c>
      <c r="F116" s="20">
        <v>8973</v>
      </c>
      <c r="G116" s="20">
        <v>7083</v>
      </c>
      <c r="H116" s="20">
        <v>7132</v>
      </c>
      <c r="I116" s="20">
        <v>7594</v>
      </c>
      <c r="J116" s="20">
        <v>7997</v>
      </c>
      <c r="K116" s="20">
        <v>8013</v>
      </c>
      <c r="L116" s="20">
        <v>9198</v>
      </c>
      <c r="M116" s="20">
        <v>11171</v>
      </c>
      <c r="N116" s="20">
        <v>6595.73</v>
      </c>
      <c r="O116" s="20">
        <v>8369</v>
      </c>
      <c r="P116" s="20">
        <v>9195</v>
      </c>
      <c r="Q116" s="20">
        <v>9314</v>
      </c>
      <c r="R116" s="20">
        <v>9753</v>
      </c>
      <c r="S116" s="20">
        <v>11246</v>
      </c>
      <c r="T116" s="20">
        <v>11520</v>
      </c>
      <c r="U116" s="20">
        <v>7942</v>
      </c>
      <c r="V116" s="20">
        <v>9860</v>
      </c>
      <c r="W116" s="20">
        <v>9555</v>
      </c>
      <c r="X116" s="20">
        <v>9463</v>
      </c>
      <c r="Y116" s="20">
        <v>9791</v>
      </c>
      <c r="Z116" s="20">
        <v>10456</v>
      </c>
      <c r="AA116" s="20">
        <v>11674</v>
      </c>
      <c r="AB116" s="20">
        <v>8533</v>
      </c>
      <c r="AC116" s="20">
        <v>10225</v>
      </c>
      <c r="AD116" s="20">
        <v>8938</v>
      </c>
      <c r="AE116" s="20">
        <v>8272</v>
      </c>
      <c r="AF116" s="20">
        <v>7872</v>
      </c>
      <c r="AG116" s="20">
        <v>11107</v>
      </c>
      <c r="AH116" s="20"/>
      <c r="AI116" s="39">
        <f>SUM(D116:AG116)</f>
        <v>273048.73</v>
      </c>
      <c r="AJ116" s="6"/>
    </row>
    <row r="117" spans="1:36" ht="15" thickBot="1" x14ac:dyDescent="0.35">
      <c r="A117" s="145"/>
      <c r="B117" s="24"/>
      <c r="C117" s="15" t="s">
        <v>20</v>
      </c>
      <c r="D117" s="25">
        <f>1183.61/D116</f>
        <v>0.15689422057264049</v>
      </c>
      <c r="E117" s="25">
        <f>1114.41/E116</f>
        <v>0.12864019392820039</v>
      </c>
      <c r="F117" s="25">
        <f>1244.43/F116</f>
        <v>0.13868605817452359</v>
      </c>
      <c r="G117" s="25">
        <f>870.88/G116</f>
        <v>0.12295355075532967</v>
      </c>
      <c r="H117" s="25">
        <f>868.6/H116</f>
        <v>0.12178911946158161</v>
      </c>
      <c r="I117" s="25">
        <f>929.97/I116</f>
        <v>0.12246115354227022</v>
      </c>
      <c r="J117" s="25">
        <f>868.6/J116</f>
        <v>0.10861573089908716</v>
      </c>
      <c r="K117" s="25">
        <f>1169.46/K116</f>
        <v>0.14594533882441033</v>
      </c>
      <c r="L117" s="25">
        <f>1126.31/L116</f>
        <v>0.12245161991737334</v>
      </c>
      <c r="M117" s="25">
        <f>909.6/M116</f>
        <v>8.1425118610688393E-2</v>
      </c>
      <c r="N117" s="25">
        <f>841.6/N116</f>
        <v>0.12759770336263007</v>
      </c>
      <c r="O117" s="25">
        <f>868.6/O116</f>
        <v>0.10378778826622058</v>
      </c>
      <c r="P117" s="25">
        <f>868.6/P116</f>
        <v>9.4464382816748238E-2</v>
      </c>
      <c r="Q117" s="25">
        <f>1070.6/Q116</f>
        <v>0.11494524371913248</v>
      </c>
      <c r="R117" s="25">
        <f>868.6/R116</f>
        <v>8.9059776479032099E-2</v>
      </c>
      <c r="S117" s="25">
        <f>1213.97/S116</f>
        <v>0.10794682553796905</v>
      </c>
      <c r="T117" s="25">
        <f>1033.87/T116</f>
        <v>8.9745659722222218E-2</v>
      </c>
      <c r="U117" s="25">
        <f>882.32/U116</f>
        <v>0.11109544195416772</v>
      </c>
      <c r="V117" s="25">
        <f>1325.88/V116</f>
        <v>0.13447058823529412</v>
      </c>
      <c r="W117" s="25">
        <f>1063.19/W116</f>
        <v>0.11127053898482471</v>
      </c>
      <c r="X117" s="25">
        <f>1170.89/X116</f>
        <v>0.123733488322942</v>
      </c>
      <c r="Y117" s="25">
        <f>1319.84/Y116</f>
        <v>0.13480134817689715</v>
      </c>
      <c r="Z117" s="25">
        <f>1163.02/Z116</f>
        <v>0.11122991583779648</v>
      </c>
      <c r="AA117" s="25">
        <f>829.21/AA116</f>
        <v>7.1030495117354805E-2</v>
      </c>
      <c r="AB117" s="25">
        <f>768.1/AB116</f>
        <v>9.0015234970116029E-2</v>
      </c>
      <c r="AC117" s="25">
        <f>1041.85/AC116</f>
        <v>0.10189242053789731</v>
      </c>
      <c r="AD117" s="25"/>
      <c r="AE117" s="25"/>
      <c r="AF117" s="25"/>
      <c r="AG117" s="25"/>
      <c r="AH117" s="25"/>
      <c r="AI117" s="27">
        <f>AVERAGE(D117:AG117)</f>
        <v>0.11411342141259037</v>
      </c>
      <c r="AJ117" s="6"/>
    </row>
    <row r="118" spans="1:36" ht="15" thickTop="1" x14ac:dyDescent="0.3">
      <c r="A118" s="2">
        <v>125</v>
      </c>
      <c r="B118" s="28" t="s">
        <v>44</v>
      </c>
      <c r="C118" s="29" t="s">
        <v>15</v>
      </c>
      <c r="D118" s="30">
        <v>90</v>
      </c>
      <c r="E118" s="30">
        <v>90</v>
      </c>
      <c r="F118" s="30">
        <v>98</v>
      </c>
      <c r="G118" s="30">
        <v>52</v>
      </c>
      <c r="H118" s="30">
        <v>59</v>
      </c>
      <c r="I118" s="30">
        <v>68</v>
      </c>
      <c r="J118" s="30">
        <v>88</v>
      </c>
      <c r="K118" s="30">
        <v>70</v>
      </c>
      <c r="L118" s="30">
        <v>111</v>
      </c>
      <c r="M118" s="30">
        <v>124</v>
      </c>
      <c r="N118" s="30">
        <v>54</v>
      </c>
      <c r="O118" s="30">
        <v>65</v>
      </c>
      <c r="P118" s="30">
        <v>66</v>
      </c>
      <c r="Q118" s="30">
        <v>78</v>
      </c>
      <c r="R118" s="30">
        <v>122</v>
      </c>
      <c r="S118" s="30">
        <v>124</v>
      </c>
      <c r="T118" s="30">
        <v>123</v>
      </c>
      <c r="U118" s="30">
        <v>57</v>
      </c>
      <c r="V118" s="30">
        <v>65</v>
      </c>
      <c r="W118" s="30">
        <v>60</v>
      </c>
      <c r="X118" s="30">
        <v>75</v>
      </c>
      <c r="Y118" s="30">
        <v>78</v>
      </c>
      <c r="Z118" s="30">
        <v>103</v>
      </c>
      <c r="AA118" s="30">
        <v>123</v>
      </c>
      <c r="AB118" s="30">
        <v>48</v>
      </c>
      <c r="AC118" s="30">
        <v>70</v>
      </c>
      <c r="AD118" s="30">
        <v>66</v>
      </c>
      <c r="AE118" s="30">
        <v>62</v>
      </c>
      <c r="AF118" s="30">
        <v>84</v>
      </c>
      <c r="AG118" s="30">
        <v>125</v>
      </c>
      <c r="AH118" s="30"/>
      <c r="AI118" s="32">
        <f>SUM(D118:AG118)</f>
        <v>2498</v>
      </c>
      <c r="AJ118" s="6"/>
    </row>
    <row r="119" spans="1:36" x14ac:dyDescent="0.3">
      <c r="A119" s="2"/>
      <c r="B119" s="33"/>
      <c r="C119" s="34" t="s">
        <v>16</v>
      </c>
      <c r="D119" s="35">
        <f t="shared" ref="D119:AG119" si="68">+D118/$A118</f>
        <v>0.72</v>
      </c>
      <c r="E119" s="35">
        <f t="shared" si="68"/>
        <v>0.72</v>
      </c>
      <c r="F119" s="35">
        <f t="shared" si="68"/>
        <v>0.78400000000000003</v>
      </c>
      <c r="G119" s="35">
        <f t="shared" si="68"/>
        <v>0.41599999999999998</v>
      </c>
      <c r="H119" s="35">
        <f t="shared" si="68"/>
        <v>0.47199999999999998</v>
      </c>
      <c r="I119" s="35">
        <f t="shared" si="68"/>
        <v>0.54400000000000004</v>
      </c>
      <c r="J119" s="35">
        <f t="shared" si="68"/>
        <v>0.70399999999999996</v>
      </c>
      <c r="K119" s="35">
        <f t="shared" si="68"/>
        <v>0.56000000000000005</v>
      </c>
      <c r="L119" s="35">
        <f t="shared" si="68"/>
        <v>0.88800000000000001</v>
      </c>
      <c r="M119" s="35">
        <f t="shared" si="68"/>
        <v>0.99199999999999999</v>
      </c>
      <c r="N119" s="35">
        <f t="shared" si="68"/>
        <v>0.432</v>
      </c>
      <c r="O119" s="35">
        <f t="shared" si="68"/>
        <v>0.52</v>
      </c>
      <c r="P119" s="35">
        <f t="shared" si="68"/>
        <v>0.52800000000000002</v>
      </c>
      <c r="Q119" s="35">
        <f t="shared" si="68"/>
        <v>0.624</v>
      </c>
      <c r="R119" s="35">
        <f t="shared" si="68"/>
        <v>0.97599999999999998</v>
      </c>
      <c r="S119" s="35">
        <f t="shared" si="68"/>
        <v>0.99199999999999999</v>
      </c>
      <c r="T119" s="35">
        <f t="shared" si="68"/>
        <v>0.98399999999999999</v>
      </c>
      <c r="U119" s="35">
        <f t="shared" si="68"/>
        <v>0.45600000000000002</v>
      </c>
      <c r="V119" s="35">
        <f t="shared" si="68"/>
        <v>0.52</v>
      </c>
      <c r="W119" s="35">
        <f t="shared" si="68"/>
        <v>0.48</v>
      </c>
      <c r="X119" s="35">
        <f t="shared" si="68"/>
        <v>0.6</v>
      </c>
      <c r="Y119" s="35">
        <f t="shared" si="68"/>
        <v>0.624</v>
      </c>
      <c r="Z119" s="35">
        <f t="shared" si="68"/>
        <v>0.82399999999999995</v>
      </c>
      <c r="AA119" s="35">
        <f t="shared" si="68"/>
        <v>0.98399999999999999</v>
      </c>
      <c r="AB119" s="35">
        <f t="shared" si="68"/>
        <v>0.38400000000000001</v>
      </c>
      <c r="AC119" s="35">
        <f t="shared" si="68"/>
        <v>0.56000000000000005</v>
      </c>
      <c r="AD119" s="35">
        <f t="shared" si="68"/>
        <v>0.52800000000000002</v>
      </c>
      <c r="AE119" s="35">
        <f t="shared" si="68"/>
        <v>0.496</v>
      </c>
      <c r="AF119" s="35">
        <f t="shared" si="68"/>
        <v>0.67200000000000004</v>
      </c>
      <c r="AG119" s="35">
        <f t="shared" si="68"/>
        <v>1</v>
      </c>
      <c r="AH119" s="35"/>
      <c r="AI119" s="36">
        <f>+AI118/(A118*A$1)</f>
        <v>0.66613333333333336</v>
      </c>
      <c r="AJ119" s="6"/>
    </row>
    <row r="120" spans="1:36" x14ac:dyDescent="0.3">
      <c r="A120" s="2"/>
      <c r="B120" s="33"/>
      <c r="C120" s="34" t="s">
        <v>17</v>
      </c>
      <c r="D120" s="37">
        <f>+IFERROR(D122/D118,0)</f>
        <v>86.488888888888894</v>
      </c>
      <c r="E120" s="37">
        <f t="shared" ref="E120:AG120" si="69">+IFERROR(E122/E118,0)</f>
        <v>102.48888888888889</v>
      </c>
      <c r="F120" s="37">
        <f t="shared" si="69"/>
        <v>89.08163265306122</v>
      </c>
      <c r="G120" s="37">
        <f t="shared" si="69"/>
        <v>78.730769230769226</v>
      </c>
      <c r="H120" s="37">
        <f t="shared" si="69"/>
        <v>88.169491525423723</v>
      </c>
      <c r="I120" s="37">
        <f t="shared" si="69"/>
        <v>85.840441176470577</v>
      </c>
      <c r="J120" s="37">
        <f t="shared" si="69"/>
        <v>97.61363636363636</v>
      </c>
      <c r="K120" s="37">
        <f t="shared" si="69"/>
        <v>89.085714285714289</v>
      </c>
      <c r="L120" s="37">
        <f t="shared" si="69"/>
        <v>99.261261261261268</v>
      </c>
      <c r="M120" s="37">
        <f t="shared" si="69"/>
        <v>99.524193548387103</v>
      </c>
      <c r="N120" s="37">
        <f t="shared" si="69"/>
        <v>87.68518518518519</v>
      </c>
      <c r="O120" s="37">
        <f t="shared" si="69"/>
        <v>90.107692307692304</v>
      </c>
      <c r="P120" s="37">
        <f t="shared" si="69"/>
        <v>94.712121212121218</v>
      </c>
      <c r="Q120" s="37">
        <f t="shared" si="69"/>
        <v>93.987179487179489</v>
      </c>
      <c r="R120" s="37">
        <f t="shared" si="69"/>
        <v>98.93442622950819</v>
      </c>
      <c r="S120" s="37">
        <f t="shared" si="69"/>
        <v>107.36290322580645</v>
      </c>
      <c r="T120" s="37">
        <f t="shared" si="69"/>
        <v>104.41463414634147</v>
      </c>
      <c r="U120" s="37">
        <f t="shared" si="69"/>
        <v>86.087719298245617</v>
      </c>
      <c r="V120" s="37">
        <f t="shared" si="69"/>
        <v>87.476923076923072</v>
      </c>
      <c r="W120" s="37">
        <f t="shared" si="69"/>
        <v>85.566666666666663</v>
      </c>
      <c r="X120" s="37">
        <f t="shared" si="69"/>
        <v>91.213333333333338</v>
      </c>
      <c r="Y120" s="37">
        <f t="shared" si="69"/>
        <v>95.769230769230774</v>
      </c>
      <c r="Z120" s="37">
        <f t="shared" si="69"/>
        <v>106.02912621359224</v>
      </c>
      <c r="AA120" s="37">
        <f t="shared" si="69"/>
        <v>107.44715447154472</v>
      </c>
      <c r="AB120" s="37">
        <f t="shared" si="69"/>
        <v>88.125</v>
      </c>
      <c r="AC120" s="37">
        <f t="shared" si="69"/>
        <v>85.785714285714292</v>
      </c>
      <c r="AD120" s="37">
        <f t="shared" si="69"/>
        <v>91.060606060606062</v>
      </c>
      <c r="AE120" s="37">
        <f t="shared" si="69"/>
        <v>88.112903225806448</v>
      </c>
      <c r="AF120" s="37">
        <f t="shared" si="69"/>
        <v>87.80952380952381</v>
      </c>
      <c r="AG120" s="37">
        <f t="shared" si="69"/>
        <v>105.096</v>
      </c>
      <c r="AH120" s="37"/>
      <c r="AI120" s="38">
        <f>+AI122/AI118</f>
        <v>95.217033626901525</v>
      </c>
      <c r="AJ120" s="6"/>
    </row>
    <row r="121" spans="1:36" x14ac:dyDescent="0.3">
      <c r="A121" s="2"/>
      <c r="B121" s="33"/>
      <c r="C121" s="34" t="s">
        <v>18</v>
      </c>
      <c r="D121" s="37">
        <f t="shared" ref="D121:AG121" si="70">+D119*D120</f>
        <v>62.271999999999998</v>
      </c>
      <c r="E121" s="37">
        <f t="shared" si="70"/>
        <v>73.792000000000002</v>
      </c>
      <c r="F121" s="37">
        <f t="shared" si="70"/>
        <v>69.84</v>
      </c>
      <c r="G121" s="37">
        <f t="shared" si="70"/>
        <v>32.751999999999995</v>
      </c>
      <c r="H121" s="37">
        <f t="shared" si="70"/>
        <v>41.615999999999993</v>
      </c>
      <c r="I121" s="37">
        <f t="shared" si="70"/>
        <v>46.697199999999995</v>
      </c>
      <c r="J121" s="37">
        <f t="shared" si="70"/>
        <v>68.72</v>
      </c>
      <c r="K121" s="37">
        <f t="shared" si="70"/>
        <v>49.888000000000005</v>
      </c>
      <c r="L121" s="37">
        <f t="shared" si="70"/>
        <v>88.144000000000005</v>
      </c>
      <c r="M121" s="37">
        <f t="shared" si="70"/>
        <v>98.728000000000009</v>
      </c>
      <c r="N121" s="37">
        <f t="shared" si="70"/>
        <v>37.880000000000003</v>
      </c>
      <c r="O121" s="37">
        <f t="shared" si="70"/>
        <v>46.856000000000002</v>
      </c>
      <c r="P121" s="37">
        <f t="shared" si="70"/>
        <v>50.008000000000003</v>
      </c>
      <c r="Q121" s="37">
        <f t="shared" si="70"/>
        <v>58.648000000000003</v>
      </c>
      <c r="R121" s="37">
        <f t="shared" si="70"/>
        <v>96.559999999999988</v>
      </c>
      <c r="S121" s="37">
        <f t="shared" si="70"/>
        <v>106.50399999999999</v>
      </c>
      <c r="T121" s="37">
        <f t="shared" si="70"/>
        <v>102.744</v>
      </c>
      <c r="U121" s="37">
        <f t="shared" si="70"/>
        <v>39.256</v>
      </c>
      <c r="V121" s="37">
        <f t="shared" si="70"/>
        <v>45.488</v>
      </c>
      <c r="W121" s="37">
        <f t="shared" si="70"/>
        <v>41.071999999999996</v>
      </c>
      <c r="X121" s="37">
        <f t="shared" si="70"/>
        <v>54.728000000000002</v>
      </c>
      <c r="Y121" s="37">
        <f t="shared" si="70"/>
        <v>59.760000000000005</v>
      </c>
      <c r="Z121" s="37">
        <f t="shared" si="70"/>
        <v>87.367999999999995</v>
      </c>
      <c r="AA121" s="37">
        <f t="shared" si="70"/>
        <v>105.72800000000001</v>
      </c>
      <c r="AB121" s="37">
        <f t="shared" si="70"/>
        <v>33.840000000000003</v>
      </c>
      <c r="AC121" s="37">
        <f t="shared" si="70"/>
        <v>48.040000000000006</v>
      </c>
      <c r="AD121" s="37">
        <f t="shared" si="70"/>
        <v>48.080000000000005</v>
      </c>
      <c r="AE121" s="37">
        <f t="shared" si="70"/>
        <v>43.704000000000001</v>
      </c>
      <c r="AF121" s="37">
        <f t="shared" si="70"/>
        <v>59.008000000000003</v>
      </c>
      <c r="AG121" s="37">
        <f t="shared" si="70"/>
        <v>105.096</v>
      </c>
      <c r="AH121" s="37"/>
      <c r="AI121" s="38">
        <f>+AI120*AI119</f>
        <v>63.427240000000005</v>
      </c>
      <c r="AJ121" s="6"/>
    </row>
    <row r="122" spans="1:36" x14ac:dyDescent="0.3">
      <c r="A122" s="2"/>
      <c r="B122" s="33"/>
      <c r="C122" s="34" t="s">
        <v>19</v>
      </c>
      <c r="D122" s="20">
        <v>7784</v>
      </c>
      <c r="E122" s="20">
        <v>9224</v>
      </c>
      <c r="F122" s="20">
        <v>8730</v>
      </c>
      <c r="G122" s="20">
        <v>4094</v>
      </c>
      <c r="H122" s="20">
        <v>5202</v>
      </c>
      <c r="I122" s="20">
        <v>5837.15</v>
      </c>
      <c r="J122" s="20">
        <v>8590</v>
      </c>
      <c r="K122" s="20">
        <v>6236</v>
      </c>
      <c r="L122" s="20">
        <v>11018</v>
      </c>
      <c r="M122" s="20">
        <v>12341</v>
      </c>
      <c r="N122" s="20">
        <v>4735</v>
      </c>
      <c r="O122" s="20">
        <v>5857</v>
      </c>
      <c r="P122" s="20">
        <v>6251</v>
      </c>
      <c r="Q122" s="20">
        <v>7331</v>
      </c>
      <c r="R122" s="20">
        <v>12070</v>
      </c>
      <c r="S122" s="20">
        <v>13313</v>
      </c>
      <c r="T122" s="20">
        <v>12843</v>
      </c>
      <c r="U122" s="20">
        <v>4907</v>
      </c>
      <c r="V122" s="20">
        <v>5686</v>
      </c>
      <c r="W122" s="20">
        <v>5134</v>
      </c>
      <c r="X122" s="20">
        <v>6841</v>
      </c>
      <c r="Y122" s="20">
        <v>7470</v>
      </c>
      <c r="Z122" s="20">
        <v>10921</v>
      </c>
      <c r="AA122" s="20">
        <v>13216</v>
      </c>
      <c r="AB122" s="20">
        <v>4230</v>
      </c>
      <c r="AC122" s="20">
        <v>6005</v>
      </c>
      <c r="AD122" s="20">
        <v>6010</v>
      </c>
      <c r="AE122" s="20">
        <v>5463</v>
      </c>
      <c r="AF122" s="20">
        <v>7376</v>
      </c>
      <c r="AG122" s="20">
        <v>13137</v>
      </c>
      <c r="AH122" s="20"/>
      <c r="AI122" s="39">
        <f>SUM(D122:AG122)</f>
        <v>237852.15</v>
      </c>
      <c r="AJ122" s="6"/>
    </row>
    <row r="123" spans="1:36" ht="15" thickBot="1" x14ac:dyDescent="0.35">
      <c r="A123" s="145"/>
      <c r="B123" s="40"/>
      <c r="C123" s="41" t="s">
        <v>20</v>
      </c>
      <c r="D123" s="49">
        <f>1429.54/D122</f>
        <v>0.18365107913669065</v>
      </c>
      <c r="E123" s="49">
        <f>1009.23/E122</f>
        <v>0.10941348655680833</v>
      </c>
      <c r="F123" s="49">
        <f>514.19/F122</f>
        <v>5.889919816723941E-2</v>
      </c>
      <c r="G123" s="49">
        <f>407.38/G122</f>
        <v>9.9506595017098187E-2</v>
      </c>
      <c r="H123" s="49">
        <f>1258.12/H122</f>
        <v>0.24185313341022682</v>
      </c>
      <c r="I123" s="49">
        <f>1216.12/I122</f>
        <v>0.20834139948433739</v>
      </c>
      <c r="J123" s="49">
        <f>1258.12/J122</f>
        <v>0.14646332945285215</v>
      </c>
      <c r="K123" s="49">
        <f>644.48/K122</f>
        <v>0.10334830019243105</v>
      </c>
      <c r="L123" s="49">
        <f>1089.15/L122</f>
        <v>9.8851878743873675E-2</v>
      </c>
      <c r="M123" s="49">
        <f>553.2/M122</f>
        <v>4.4826189125678637E-2</v>
      </c>
      <c r="N123" s="49">
        <f>461.33/N122</f>
        <v>9.7429778247096088E-2</v>
      </c>
      <c r="O123" s="49">
        <f>1258.12/O122</f>
        <v>0.21480621478572645</v>
      </c>
      <c r="P123" s="49">
        <f>1258.12/P122</f>
        <v>0.20126699728043512</v>
      </c>
      <c r="Q123" s="49">
        <f>1017.6/Q122</f>
        <v>0.1388078024826081</v>
      </c>
      <c r="R123" s="49">
        <f>1258.12/R122</f>
        <v>0.10423529411764705</v>
      </c>
      <c r="S123" s="49">
        <f>1650.07/S122</f>
        <v>0.12394426500413129</v>
      </c>
      <c r="T123" s="49">
        <f>570.04/T122</f>
        <v>4.4385268239507898E-2</v>
      </c>
      <c r="U123" s="49">
        <f>435.67/U122</f>
        <v>8.8785408599959245E-2</v>
      </c>
      <c r="V123" s="49">
        <f>1096.49/V122</f>
        <v>0.19284030953218431</v>
      </c>
      <c r="W123" s="49">
        <f>1027.19/W122</f>
        <v>0.20007596416049864</v>
      </c>
      <c r="X123" s="49">
        <f>1322.23/X122</f>
        <v>0.19328022218973834</v>
      </c>
      <c r="Y123" s="49">
        <f>1226.34/Y122</f>
        <v>0.16416867469879518</v>
      </c>
      <c r="Z123" s="49">
        <f>1330.96/Z122</f>
        <v>0.12187162347770351</v>
      </c>
      <c r="AA123" s="49">
        <f>806.86/AA122</f>
        <v>6.1051755447941891E-2</v>
      </c>
      <c r="AB123" s="49">
        <f>925.72/AB122</f>
        <v>0.21884633569739953</v>
      </c>
      <c r="AC123" s="49">
        <f>1210.39/AC122</f>
        <v>0.20156369691923398</v>
      </c>
      <c r="AD123" s="49"/>
      <c r="AE123" s="49"/>
      <c r="AF123" s="49"/>
      <c r="AG123" s="49"/>
      <c r="AH123" s="49"/>
      <c r="AI123" s="51">
        <f>AVERAGE(D123:AG123)</f>
        <v>0.14086593077568627</v>
      </c>
      <c r="AJ123" s="6"/>
    </row>
    <row r="124" spans="1:36" ht="15" thickTop="1" x14ac:dyDescent="0.3">
      <c r="A124" s="2">
        <v>141</v>
      </c>
      <c r="B124" s="103" t="s">
        <v>45</v>
      </c>
      <c r="C124" s="104" t="s">
        <v>15</v>
      </c>
      <c r="D124" s="11">
        <v>67</v>
      </c>
      <c r="E124" s="11">
        <v>66</v>
      </c>
      <c r="F124" s="11">
        <v>58</v>
      </c>
      <c r="G124" s="11">
        <v>19</v>
      </c>
      <c r="H124" s="11">
        <v>52</v>
      </c>
      <c r="I124" s="11">
        <v>60</v>
      </c>
      <c r="J124" s="11">
        <v>52</v>
      </c>
      <c r="K124" s="11">
        <v>61</v>
      </c>
      <c r="L124" s="11">
        <v>91</v>
      </c>
      <c r="M124" s="11">
        <v>95</v>
      </c>
      <c r="N124" s="11">
        <v>52</v>
      </c>
      <c r="O124" s="11">
        <v>62</v>
      </c>
      <c r="P124" s="11">
        <v>65</v>
      </c>
      <c r="Q124" s="11">
        <v>64</v>
      </c>
      <c r="R124" s="11">
        <v>60</v>
      </c>
      <c r="S124" s="11">
        <v>96</v>
      </c>
      <c r="T124" s="11">
        <v>103</v>
      </c>
      <c r="U124" s="11">
        <v>52</v>
      </c>
      <c r="V124" s="11">
        <v>55</v>
      </c>
      <c r="W124" s="11">
        <v>52</v>
      </c>
      <c r="X124" s="11">
        <v>58</v>
      </c>
      <c r="Y124" s="11">
        <v>65</v>
      </c>
      <c r="Z124" s="11">
        <v>80</v>
      </c>
      <c r="AA124" s="11">
        <v>88</v>
      </c>
      <c r="AB124" s="11">
        <v>62</v>
      </c>
      <c r="AC124" s="11">
        <v>58</v>
      </c>
      <c r="AD124" s="11">
        <v>84</v>
      </c>
      <c r="AE124" s="11">
        <v>72</v>
      </c>
      <c r="AF124" s="11">
        <v>84</v>
      </c>
      <c r="AG124" s="11">
        <v>83</v>
      </c>
      <c r="AH124" s="11"/>
      <c r="AI124" s="13">
        <f>SUM(D124:AG124)</f>
        <v>2016</v>
      </c>
      <c r="AJ124" s="6"/>
    </row>
    <row r="125" spans="1:36" x14ac:dyDescent="0.3">
      <c r="A125" s="145"/>
      <c r="B125" s="40"/>
      <c r="C125" s="34" t="s">
        <v>16</v>
      </c>
      <c r="D125" s="16">
        <f>D124/$A$124</f>
        <v>0.47517730496453903</v>
      </c>
      <c r="E125" s="16">
        <f t="shared" ref="E125:AG125" si="71">E124/$A$124</f>
        <v>0.46808510638297873</v>
      </c>
      <c r="F125" s="16">
        <f t="shared" si="71"/>
        <v>0.41134751773049644</v>
      </c>
      <c r="G125" s="16">
        <f t="shared" si="71"/>
        <v>0.13475177304964539</v>
      </c>
      <c r="H125" s="16">
        <f t="shared" si="71"/>
        <v>0.36879432624113473</v>
      </c>
      <c r="I125" s="16">
        <f t="shared" si="71"/>
        <v>0.42553191489361702</v>
      </c>
      <c r="J125" s="16">
        <f t="shared" si="71"/>
        <v>0.36879432624113473</v>
      </c>
      <c r="K125" s="16">
        <f t="shared" si="71"/>
        <v>0.43262411347517732</v>
      </c>
      <c r="L125" s="16">
        <f t="shared" si="71"/>
        <v>0.64539007092198586</v>
      </c>
      <c r="M125" s="16">
        <f t="shared" si="71"/>
        <v>0.67375886524822692</v>
      </c>
      <c r="N125" s="16">
        <f t="shared" si="71"/>
        <v>0.36879432624113473</v>
      </c>
      <c r="O125" s="16">
        <f t="shared" si="71"/>
        <v>0.43971631205673761</v>
      </c>
      <c r="P125" s="16">
        <f t="shared" si="71"/>
        <v>0.46099290780141844</v>
      </c>
      <c r="Q125" s="16">
        <f t="shared" si="71"/>
        <v>0.45390070921985815</v>
      </c>
      <c r="R125" s="16">
        <f t="shared" si="71"/>
        <v>0.42553191489361702</v>
      </c>
      <c r="S125" s="16">
        <f t="shared" si="71"/>
        <v>0.68085106382978722</v>
      </c>
      <c r="T125" s="16">
        <f t="shared" si="71"/>
        <v>0.73049645390070927</v>
      </c>
      <c r="U125" s="16">
        <f t="shared" si="71"/>
        <v>0.36879432624113473</v>
      </c>
      <c r="V125" s="16">
        <f t="shared" si="71"/>
        <v>0.39007092198581561</v>
      </c>
      <c r="W125" s="16">
        <f t="shared" si="71"/>
        <v>0.36879432624113473</v>
      </c>
      <c r="X125" s="16">
        <f t="shared" si="71"/>
        <v>0.41134751773049644</v>
      </c>
      <c r="Y125" s="16">
        <f t="shared" si="71"/>
        <v>0.46099290780141844</v>
      </c>
      <c r="Z125" s="16">
        <f t="shared" si="71"/>
        <v>0.56737588652482274</v>
      </c>
      <c r="AA125" s="16">
        <f t="shared" si="71"/>
        <v>0.62411347517730498</v>
      </c>
      <c r="AB125" s="16">
        <f t="shared" si="71"/>
        <v>0.43971631205673761</v>
      </c>
      <c r="AC125" s="16">
        <f t="shared" si="71"/>
        <v>0.41134751773049644</v>
      </c>
      <c r="AD125" s="16">
        <f t="shared" si="71"/>
        <v>0.5957446808510638</v>
      </c>
      <c r="AE125" s="16">
        <f t="shared" si="71"/>
        <v>0.51063829787234039</v>
      </c>
      <c r="AF125" s="16">
        <f t="shared" si="71"/>
        <v>0.5957446808510638</v>
      </c>
      <c r="AG125" s="16">
        <f t="shared" si="71"/>
        <v>0.58865248226950351</v>
      </c>
      <c r="AH125" s="16"/>
      <c r="AI125" s="17">
        <f>+AI124/(A124*A$1)</f>
        <v>0.47659574468085109</v>
      </c>
      <c r="AJ125" s="6"/>
    </row>
    <row r="126" spans="1:36" x14ac:dyDescent="0.3">
      <c r="A126" s="23"/>
      <c r="B126" s="40"/>
      <c r="C126" s="34" t="s">
        <v>17</v>
      </c>
      <c r="D126" s="18">
        <f>+IFERROR(D128/D124,0)</f>
        <v>92.268656716417908</v>
      </c>
      <c r="E126" s="18">
        <f t="shared" ref="E126:AG126" si="72">+IFERROR(E128/E124,0)</f>
        <v>95.757575757575751</v>
      </c>
      <c r="F126" s="18">
        <f t="shared" si="72"/>
        <v>93.379310344827587</v>
      </c>
      <c r="G126" s="18">
        <f t="shared" si="72"/>
        <v>81.21052631578948</v>
      </c>
      <c r="H126" s="18">
        <f t="shared" si="72"/>
        <v>93.09615384615384</v>
      </c>
      <c r="I126" s="18">
        <f t="shared" si="72"/>
        <v>93.916666666666671</v>
      </c>
      <c r="J126" s="18">
        <f t="shared" si="72"/>
        <v>97.038461538461533</v>
      </c>
      <c r="K126" s="18">
        <f t="shared" si="72"/>
        <v>96.688524590163937</v>
      </c>
      <c r="L126" s="18">
        <f t="shared" si="72"/>
        <v>90.472527472527474</v>
      </c>
      <c r="M126" s="18">
        <f t="shared" si="72"/>
        <v>104.49473684210527</v>
      </c>
      <c r="N126" s="18">
        <f t="shared" si="72"/>
        <v>93.09615384615384</v>
      </c>
      <c r="O126" s="18">
        <f t="shared" si="72"/>
        <v>96.204999999999998</v>
      </c>
      <c r="P126" s="18">
        <f t="shared" si="72"/>
        <v>97.015384615384619</v>
      </c>
      <c r="Q126" s="18">
        <f t="shared" si="72"/>
        <v>76.365624999999994</v>
      </c>
      <c r="R126" s="18">
        <f t="shared" si="72"/>
        <v>93.666666666666671</v>
      </c>
      <c r="S126" s="18">
        <f t="shared" si="72"/>
        <v>104.92708333333333</v>
      </c>
      <c r="T126" s="18">
        <f t="shared" si="72"/>
        <v>101.78640776699029</v>
      </c>
      <c r="U126" s="18">
        <f t="shared" si="72"/>
        <v>93.09615384615384</v>
      </c>
      <c r="V126" s="18">
        <f t="shared" si="72"/>
        <v>94.25454545454545</v>
      </c>
      <c r="W126" s="18">
        <f t="shared" si="72"/>
        <v>97.365384615384613</v>
      </c>
      <c r="X126" s="18">
        <f t="shared" si="72"/>
        <v>92.103448275862064</v>
      </c>
      <c r="Y126" s="18">
        <f t="shared" si="72"/>
        <v>93.046153846153842</v>
      </c>
      <c r="Z126" s="18">
        <f t="shared" si="72"/>
        <v>113.72499999999999</v>
      </c>
      <c r="AA126" s="18">
        <f t="shared" si="72"/>
        <v>102.42045454545455</v>
      </c>
      <c r="AB126" s="18">
        <f t="shared" si="72"/>
        <v>93.58064516129032</v>
      </c>
      <c r="AC126" s="18">
        <f t="shared" si="72"/>
        <v>94.931034482758619</v>
      </c>
      <c r="AD126" s="18">
        <f t="shared" si="72"/>
        <v>94.928571428571431</v>
      </c>
      <c r="AE126" s="18">
        <f t="shared" si="72"/>
        <v>90.833333333333329</v>
      </c>
      <c r="AF126" s="18">
        <f t="shared" si="72"/>
        <v>94.845238095238102</v>
      </c>
      <c r="AG126" s="18">
        <f t="shared" si="72"/>
        <v>100.71084337349397</v>
      </c>
      <c r="AH126" s="18"/>
      <c r="AI126" s="19">
        <f>+AI128/AI124</f>
        <v>96.207395833333322</v>
      </c>
      <c r="AJ126" s="6"/>
    </row>
    <row r="127" spans="1:36" x14ac:dyDescent="0.3">
      <c r="A127" s="23"/>
      <c r="B127" s="40"/>
      <c r="C127" s="34" t="s">
        <v>18</v>
      </c>
      <c r="D127" s="18">
        <f>+D125*D126</f>
        <v>43.843971631205676</v>
      </c>
      <c r="E127" s="18">
        <f t="shared" ref="E127:AG127" si="73">+E125*E126</f>
        <v>44.822695035460988</v>
      </c>
      <c r="F127" s="18">
        <f t="shared" si="73"/>
        <v>38.411347517730498</v>
      </c>
      <c r="G127" s="18">
        <f t="shared" si="73"/>
        <v>10.943262411347519</v>
      </c>
      <c r="H127" s="18">
        <f t="shared" si="73"/>
        <v>34.333333333333329</v>
      </c>
      <c r="I127" s="18">
        <f t="shared" si="73"/>
        <v>39.964539007092199</v>
      </c>
      <c r="J127" s="18">
        <f t="shared" si="73"/>
        <v>35.787234042553187</v>
      </c>
      <c r="K127" s="18">
        <f t="shared" si="73"/>
        <v>41.829787234042556</v>
      </c>
      <c r="L127" s="18">
        <f t="shared" si="73"/>
        <v>58.390070921985824</v>
      </c>
      <c r="M127" s="18">
        <f t="shared" si="73"/>
        <v>70.40425531914893</v>
      </c>
      <c r="N127" s="18">
        <f t="shared" si="73"/>
        <v>34.333333333333329</v>
      </c>
      <c r="O127" s="18">
        <f t="shared" si="73"/>
        <v>42.302907801418442</v>
      </c>
      <c r="P127" s="18">
        <f t="shared" si="73"/>
        <v>44.723404255319153</v>
      </c>
      <c r="Q127" s="18">
        <f t="shared" si="73"/>
        <v>34.662411347517725</v>
      </c>
      <c r="R127" s="18">
        <f t="shared" si="73"/>
        <v>39.858156028368796</v>
      </c>
      <c r="S127" s="18">
        <f t="shared" si="73"/>
        <v>71.439716312056731</v>
      </c>
      <c r="T127" s="18">
        <f t="shared" si="73"/>
        <v>74.354609929078023</v>
      </c>
      <c r="U127" s="18">
        <f t="shared" si="73"/>
        <v>34.333333333333329</v>
      </c>
      <c r="V127" s="18">
        <f t="shared" si="73"/>
        <v>36.765957446808507</v>
      </c>
      <c r="W127" s="18">
        <f t="shared" si="73"/>
        <v>35.907801418439711</v>
      </c>
      <c r="X127" s="18">
        <f t="shared" si="73"/>
        <v>37.88652482269503</v>
      </c>
      <c r="Y127" s="18">
        <f t="shared" si="73"/>
        <v>42.893617021276597</v>
      </c>
      <c r="Z127" s="18">
        <f t="shared" si="73"/>
        <v>64.524822695035468</v>
      </c>
      <c r="AA127" s="18">
        <f t="shared" si="73"/>
        <v>63.921985815602838</v>
      </c>
      <c r="AB127" s="18">
        <f t="shared" si="73"/>
        <v>41.148936170212764</v>
      </c>
      <c r="AC127" s="18">
        <f t="shared" si="73"/>
        <v>39.049645390070921</v>
      </c>
      <c r="AD127" s="18">
        <f t="shared" si="73"/>
        <v>56.553191489361701</v>
      </c>
      <c r="AE127" s="18">
        <f t="shared" si="73"/>
        <v>46.38297872340425</v>
      </c>
      <c r="AF127" s="18">
        <f t="shared" si="73"/>
        <v>56.50354609929078</v>
      </c>
      <c r="AG127" s="18">
        <f t="shared" si="73"/>
        <v>59.283687943262407</v>
      </c>
      <c r="AH127" s="18"/>
      <c r="AI127" s="19">
        <f>+AI126*AI125</f>
        <v>45.852035460992902</v>
      </c>
      <c r="AJ127" s="6"/>
    </row>
    <row r="128" spans="1:36" x14ac:dyDescent="0.3">
      <c r="A128" s="2"/>
      <c r="B128" s="33"/>
      <c r="C128" s="34" t="s">
        <v>19</v>
      </c>
      <c r="D128" s="20">
        <v>6182</v>
      </c>
      <c r="E128" s="20">
        <v>6320</v>
      </c>
      <c r="F128" s="20">
        <v>5416</v>
      </c>
      <c r="G128" s="20">
        <v>1543</v>
      </c>
      <c r="H128" s="20">
        <v>4841</v>
      </c>
      <c r="I128" s="20">
        <v>5635</v>
      </c>
      <c r="J128" s="20">
        <v>5046</v>
      </c>
      <c r="K128" s="20">
        <v>5898</v>
      </c>
      <c r="L128" s="20">
        <v>8233</v>
      </c>
      <c r="M128" s="20">
        <v>9927</v>
      </c>
      <c r="N128" s="20">
        <v>4841</v>
      </c>
      <c r="O128" s="20">
        <v>5964.71</v>
      </c>
      <c r="P128" s="20">
        <v>6306</v>
      </c>
      <c r="Q128" s="20">
        <v>4887.3999999999996</v>
      </c>
      <c r="R128" s="20">
        <v>5620</v>
      </c>
      <c r="S128" s="20">
        <v>10073</v>
      </c>
      <c r="T128" s="20">
        <v>10484</v>
      </c>
      <c r="U128" s="20">
        <v>4841</v>
      </c>
      <c r="V128" s="20">
        <v>5184</v>
      </c>
      <c r="W128" s="20">
        <v>5063</v>
      </c>
      <c r="X128" s="20">
        <v>5342</v>
      </c>
      <c r="Y128" s="20">
        <v>6048</v>
      </c>
      <c r="Z128" s="20">
        <v>9098</v>
      </c>
      <c r="AA128" s="20">
        <v>9013</v>
      </c>
      <c r="AB128" s="20">
        <v>5802</v>
      </c>
      <c r="AC128" s="20">
        <v>5506</v>
      </c>
      <c r="AD128" s="20">
        <v>7974</v>
      </c>
      <c r="AE128" s="20">
        <v>6540</v>
      </c>
      <c r="AF128" s="20">
        <v>7967</v>
      </c>
      <c r="AG128" s="20">
        <v>8359</v>
      </c>
      <c r="AH128" s="20"/>
      <c r="AI128" s="39">
        <f>SUM(D128:AG128)</f>
        <v>193954.11</v>
      </c>
      <c r="AJ128" s="6"/>
    </row>
    <row r="129" spans="1:36" ht="15" thickBot="1" x14ac:dyDescent="0.35">
      <c r="A129" s="23"/>
      <c r="B129" s="105"/>
      <c r="C129" s="106" t="s">
        <v>20</v>
      </c>
      <c r="D129" s="42">
        <f>146.88/D128</f>
        <v>2.3759301197023616E-2</v>
      </c>
      <c r="E129" s="42">
        <f>288/E128</f>
        <v>4.5569620253164557E-2</v>
      </c>
      <c r="F129" s="42"/>
      <c r="G129" s="42"/>
      <c r="H129" s="42">
        <f>1157.01/H128</f>
        <v>0.23900227225779797</v>
      </c>
      <c r="I129" s="42">
        <f>1307.01/I128</f>
        <v>0.23194498669032831</v>
      </c>
      <c r="J129" s="42">
        <f>1157.01/J128</f>
        <v>0.2292925089179548</v>
      </c>
      <c r="K129" s="42"/>
      <c r="L129" s="42">
        <f>300/L128</f>
        <v>3.6438722215474312E-2</v>
      </c>
      <c r="M129" s="42">
        <f>288/M128</f>
        <v>2.9011786038077969E-2</v>
      </c>
      <c r="N129" s="42">
        <f>1048.06/N128</f>
        <v>0.21649659161330304</v>
      </c>
      <c r="O129" s="42">
        <f>1157.01/O128</f>
        <v>0.19397590159454525</v>
      </c>
      <c r="P129" s="42">
        <f>1157.01/P128</f>
        <v>0.18347764034253092</v>
      </c>
      <c r="Q129" s="42"/>
      <c r="R129" s="42">
        <f>1157.01/R128</f>
        <v>0.20587366548042704</v>
      </c>
      <c r="S129" s="42">
        <f>1572.2/S128</f>
        <v>0.15608061153578875</v>
      </c>
      <c r="T129" s="42">
        <f>1121.42/T128</f>
        <v>0.10696489889355208</v>
      </c>
      <c r="U129" s="42">
        <f>1132.58/U128</f>
        <v>0.23395579425738483</v>
      </c>
      <c r="V129" s="42">
        <f>1132.58/V128</f>
        <v>0.21847608024691356</v>
      </c>
      <c r="W129" s="42">
        <f>1671.82/W128</f>
        <v>0.3302034366976101</v>
      </c>
      <c r="X129" s="42">
        <f>1450.94/X128</f>
        <v>0.27160988393859981</v>
      </c>
      <c r="Y129" s="42">
        <f>1322.77/Y128</f>
        <v>0.21871197089947089</v>
      </c>
      <c r="Z129" s="42">
        <f>1859/Z128</f>
        <v>0.2043306221147505</v>
      </c>
      <c r="AA129" s="42">
        <f>1576.97/AA128</f>
        <v>0.17496615999112394</v>
      </c>
      <c r="AB129" s="42">
        <f>1087.6/AB128</f>
        <v>0.18745260255084453</v>
      </c>
      <c r="AC129" s="42">
        <f>1584.49/AC128</f>
        <v>0.28777515437704321</v>
      </c>
      <c r="AD129" s="42"/>
      <c r="AE129" s="42"/>
      <c r="AF129" s="42"/>
      <c r="AG129" s="42"/>
      <c r="AH129" s="42"/>
      <c r="AI129" s="44">
        <f>AVERAGE(D129:AG129)</f>
        <v>0.18297137327744137</v>
      </c>
      <c r="AJ129" s="6"/>
    </row>
    <row r="130" spans="1:36" ht="15" thickTop="1" x14ac:dyDescent="0.3">
      <c r="A130" s="2">
        <v>98</v>
      </c>
      <c r="B130" s="14" t="s">
        <v>46</v>
      </c>
      <c r="C130" s="15" t="s">
        <v>15</v>
      </c>
      <c r="D130" s="30">
        <v>83</v>
      </c>
      <c r="E130" s="30">
        <v>96</v>
      </c>
      <c r="F130" s="30">
        <v>94</v>
      </c>
      <c r="G130" s="30">
        <v>61</v>
      </c>
      <c r="H130" s="30">
        <v>75</v>
      </c>
      <c r="I130" s="30">
        <v>81</v>
      </c>
      <c r="J130" s="30">
        <v>88</v>
      </c>
      <c r="K130" s="30">
        <v>86</v>
      </c>
      <c r="L130" s="30">
        <v>95</v>
      </c>
      <c r="M130" s="30">
        <v>97</v>
      </c>
      <c r="N130" s="30">
        <v>56</v>
      </c>
      <c r="O130" s="30">
        <v>67</v>
      </c>
      <c r="P130" s="30">
        <v>68</v>
      </c>
      <c r="Q130" s="30">
        <v>72</v>
      </c>
      <c r="R130" s="30">
        <v>67</v>
      </c>
      <c r="S130" s="30">
        <v>82</v>
      </c>
      <c r="T130" s="30">
        <v>95</v>
      </c>
      <c r="U130" s="30">
        <v>65</v>
      </c>
      <c r="V130" s="30">
        <v>77</v>
      </c>
      <c r="W130" s="30">
        <v>86</v>
      </c>
      <c r="X130" s="30">
        <v>89</v>
      </c>
      <c r="Y130" s="30">
        <v>74</v>
      </c>
      <c r="Z130" s="30">
        <v>77</v>
      </c>
      <c r="AA130" s="30">
        <v>93</v>
      </c>
      <c r="AB130" s="30">
        <v>54</v>
      </c>
      <c r="AC130" s="30">
        <v>57</v>
      </c>
      <c r="AD130" s="30">
        <v>62</v>
      </c>
      <c r="AE130" s="30">
        <v>61</v>
      </c>
      <c r="AF130" s="30">
        <v>67</v>
      </c>
      <c r="AG130" s="30">
        <v>88</v>
      </c>
      <c r="AH130" s="30"/>
      <c r="AI130" s="32">
        <f>SUM(D130:AG130)</f>
        <v>2313</v>
      </c>
      <c r="AJ130" s="6"/>
    </row>
    <row r="131" spans="1:36" x14ac:dyDescent="0.3">
      <c r="A131" s="2"/>
      <c r="B131" s="14"/>
      <c r="C131" s="15" t="s">
        <v>16</v>
      </c>
      <c r="D131" s="35">
        <f t="shared" ref="D131:AG131" si="74">+D130/$A130</f>
        <v>0.84693877551020413</v>
      </c>
      <c r="E131" s="35">
        <f t="shared" si="74"/>
        <v>0.97959183673469385</v>
      </c>
      <c r="F131" s="35">
        <f t="shared" si="74"/>
        <v>0.95918367346938771</v>
      </c>
      <c r="G131" s="35">
        <f t="shared" si="74"/>
        <v>0.62244897959183676</v>
      </c>
      <c r="H131" s="35">
        <f t="shared" si="74"/>
        <v>0.76530612244897955</v>
      </c>
      <c r="I131" s="35">
        <f t="shared" si="74"/>
        <v>0.82653061224489799</v>
      </c>
      <c r="J131" s="35">
        <f t="shared" si="74"/>
        <v>0.89795918367346939</v>
      </c>
      <c r="K131" s="35">
        <f t="shared" si="74"/>
        <v>0.87755102040816324</v>
      </c>
      <c r="L131" s="35">
        <f t="shared" si="74"/>
        <v>0.96938775510204078</v>
      </c>
      <c r="M131" s="35">
        <f t="shared" si="74"/>
        <v>0.98979591836734693</v>
      </c>
      <c r="N131" s="35">
        <f t="shared" si="74"/>
        <v>0.5714285714285714</v>
      </c>
      <c r="O131" s="35">
        <f t="shared" si="74"/>
        <v>0.68367346938775508</v>
      </c>
      <c r="P131" s="35">
        <f t="shared" si="74"/>
        <v>0.69387755102040816</v>
      </c>
      <c r="Q131" s="35">
        <f t="shared" si="74"/>
        <v>0.73469387755102045</v>
      </c>
      <c r="R131" s="35">
        <f t="shared" si="74"/>
        <v>0.68367346938775508</v>
      </c>
      <c r="S131" s="35">
        <f t="shared" si="74"/>
        <v>0.83673469387755106</v>
      </c>
      <c r="T131" s="35">
        <f t="shared" si="74"/>
        <v>0.96938775510204078</v>
      </c>
      <c r="U131" s="35">
        <f t="shared" si="74"/>
        <v>0.66326530612244894</v>
      </c>
      <c r="V131" s="35">
        <f t="shared" si="74"/>
        <v>0.7857142857142857</v>
      </c>
      <c r="W131" s="35">
        <f t="shared" si="74"/>
        <v>0.87755102040816324</v>
      </c>
      <c r="X131" s="35">
        <f t="shared" si="74"/>
        <v>0.90816326530612246</v>
      </c>
      <c r="Y131" s="35">
        <f t="shared" si="74"/>
        <v>0.75510204081632648</v>
      </c>
      <c r="Z131" s="35">
        <f t="shared" si="74"/>
        <v>0.7857142857142857</v>
      </c>
      <c r="AA131" s="35">
        <f t="shared" si="74"/>
        <v>0.94897959183673475</v>
      </c>
      <c r="AB131" s="35">
        <f t="shared" si="74"/>
        <v>0.55102040816326525</v>
      </c>
      <c r="AC131" s="35">
        <f t="shared" si="74"/>
        <v>0.58163265306122447</v>
      </c>
      <c r="AD131" s="35">
        <f t="shared" si="74"/>
        <v>0.63265306122448983</v>
      </c>
      <c r="AE131" s="35">
        <f t="shared" si="74"/>
        <v>0.62244897959183676</v>
      </c>
      <c r="AF131" s="35">
        <f t="shared" si="74"/>
        <v>0.68367346938775508</v>
      </c>
      <c r="AG131" s="35">
        <f t="shared" si="74"/>
        <v>0.89795918367346939</v>
      </c>
      <c r="AH131" s="35"/>
      <c r="AI131" s="36">
        <f>+AI130/(A130*A$1)</f>
        <v>0.78673469387755102</v>
      </c>
      <c r="AJ131" s="6"/>
    </row>
    <row r="132" spans="1:36" x14ac:dyDescent="0.3">
      <c r="A132" s="2"/>
      <c r="B132" s="14"/>
      <c r="C132" s="15" t="s">
        <v>17</v>
      </c>
      <c r="D132" s="37">
        <f t="shared" ref="D132:AG132" si="75">+IFERROR(D134/D130,0)</f>
        <v>89.795180722891573</v>
      </c>
      <c r="E132" s="37">
        <f t="shared" si="75"/>
        <v>109.45833333333333</v>
      </c>
      <c r="F132" s="37">
        <f t="shared" si="75"/>
        <v>109.84042553191489</v>
      </c>
      <c r="G132" s="37">
        <f t="shared" si="75"/>
        <v>85.573770491803273</v>
      </c>
      <c r="H132" s="37">
        <f t="shared" si="75"/>
        <v>90.173333333333332</v>
      </c>
      <c r="I132" s="37">
        <f t="shared" si="75"/>
        <v>90.716049382716051</v>
      </c>
      <c r="J132" s="37">
        <f t="shared" si="75"/>
        <v>95.181818181818187</v>
      </c>
      <c r="K132" s="37">
        <f t="shared" si="75"/>
        <v>93.511627906976742</v>
      </c>
      <c r="L132" s="37">
        <f t="shared" si="75"/>
        <v>120.68421052631579</v>
      </c>
      <c r="M132" s="37">
        <f t="shared" si="75"/>
        <v>132.23711340206185</v>
      </c>
      <c r="N132" s="37">
        <f t="shared" si="75"/>
        <v>93.321428571428569</v>
      </c>
      <c r="O132" s="37">
        <f t="shared" si="75"/>
        <v>96.940298507462686</v>
      </c>
      <c r="P132" s="37">
        <f t="shared" si="75"/>
        <v>96.602941176470594</v>
      </c>
      <c r="Q132" s="37">
        <f t="shared" si="75"/>
        <v>97.194444444444443</v>
      </c>
      <c r="R132" s="37">
        <f t="shared" si="75"/>
        <v>89.28358208955224</v>
      </c>
      <c r="S132" s="37">
        <f t="shared" si="75"/>
        <v>125.84146341463415</v>
      </c>
      <c r="T132" s="37">
        <f t="shared" si="75"/>
        <v>125.02105263157895</v>
      </c>
      <c r="U132" s="37">
        <f t="shared" si="75"/>
        <v>97.138461538461542</v>
      </c>
      <c r="V132" s="37">
        <f t="shared" si="75"/>
        <v>103.61974025974027</v>
      </c>
      <c r="W132" s="37">
        <f t="shared" si="75"/>
        <v>101.3953488372093</v>
      </c>
      <c r="X132" s="37">
        <f t="shared" si="75"/>
        <v>102.71910112359551</v>
      </c>
      <c r="Y132" s="37">
        <f t="shared" si="75"/>
        <v>99.081081081081081</v>
      </c>
      <c r="Z132" s="37">
        <f t="shared" si="75"/>
        <v>131.35064935064935</v>
      </c>
      <c r="AA132" s="37">
        <f t="shared" si="75"/>
        <v>133.73118279569891</v>
      </c>
      <c r="AB132" s="37">
        <f t="shared" si="75"/>
        <v>94.074074074074076</v>
      </c>
      <c r="AC132" s="37">
        <f t="shared" si="75"/>
        <v>98.263157894736835</v>
      </c>
      <c r="AD132" s="37">
        <f t="shared" si="75"/>
        <v>102.2741935483871</v>
      </c>
      <c r="AE132" s="37">
        <f t="shared" si="75"/>
        <v>101.9672131147541</v>
      </c>
      <c r="AF132" s="37">
        <f t="shared" si="75"/>
        <v>99.358208955223887</v>
      </c>
      <c r="AG132" s="37">
        <f t="shared" si="75"/>
        <v>126.55681818181819</v>
      </c>
      <c r="AH132" s="37"/>
      <c r="AI132" s="38">
        <f>+AI134/AI130</f>
        <v>105.86542153047989</v>
      </c>
      <c r="AJ132" s="6"/>
    </row>
    <row r="133" spans="1:36" x14ac:dyDescent="0.3">
      <c r="A133" s="2"/>
      <c r="B133" s="14"/>
      <c r="C133" s="15" t="s">
        <v>18</v>
      </c>
      <c r="D133" s="37">
        <f t="shared" ref="D133:AG133" si="76">+D131*D132</f>
        <v>76.051020408163282</v>
      </c>
      <c r="E133" s="37">
        <f t="shared" si="76"/>
        <v>107.22448979591836</v>
      </c>
      <c r="F133" s="37">
        <f t="shared" si="76"/>
        <v>105.35714285714285</v>
      </c>
      <c r="G133" s="37">
        <f t="shared" si="76"/>
        <v>53.265306122448976</v>
      </c>
      <c r="H133" s="37">
        <f t="shared" si="76"/>
        <v>69.010204081632651</v>
      </c>
      <c r="I133" s="37">
        <f t="shared" si="76"/>
        <v>74.979591836734699</v>
      </c>
      <c r="J133" s="37">
        <f t="shared" si="76"/>
        <v>85.469387755102048</v>
      </c>
      <c r="K133" s="37">
        <f t="shared" si="76"/>
        <v>82.061224489795919</v>
      </c>
      <c r="L133" s="37">
        <f t="shared" si="76"/>
        <v>116.98979591836735</v>
      </c>
      <c r="M133" s="37">
        <f t="shared" si="76"/>
        <v>130.88775510204081</v>
      </c>
      <c r="N133" s="37">
        <f t="shared" si="76"/>
        <v>53.326530612244895</v>
      </c>
      <c r="O133" s="37">
        <f t="shared" si="76"/>
        <v>66.275510204081627</v>
      </c>
      <c r="P133" s="37">
        <f t="shared" si="76"/>
        <v>67.030612244897966</v>
      </c>
      <c r="Q133" s="37">
        <f t="shared" si="76"/>
        <v>71.408163265306129</v>
      </c>
      <c r="R133" s="37">
        <f t="shared" si="76"/>
        <v>61.04081632653061</v>
      </c>
      <c r="S133" s="37">
        <f t="shared" si="76"/>
        <v>105.29591836734694</v>
      </c>
      <c r="T133" s="37">
        <f t="shared" si="76"/>
        <v>121.19387755102041</v>
      </c>
      <c r="U133" s="37">
        <f t="shared" si="76"/>
        <v>64.428571428571431</v>
      </c>
      <c r="V133" s="37">
        <f t="shared" si="76"/>
        <v>81.415510204081642</v>
      </c>
      <c r="W133" s="37">
        <f t="shared" si="76"/>
        <v>88.979591836734684</v>
      </c>
      <c r="X133" s="37">
        <f t="shared" si="76"/>
        <v>93.285714285714292</v>
      </c>
      <c r="Y133" s="37">
        <f t="shared" si="76"/>
        <v>74.816326530612244</v>
      </c>
      <c r="Z133" s="37">
        <f t="shared" si="76"/>
        <v>103.20408163265306</v>
      </c>
      <c r="AA133" s="37">
        <f t="shared" si="76"/>
        <v>126.90816326530611</v>
      </c>
      <c r="AB133" s="37">
        <f t="shared" si="76"/>
        <v>51.836734693877546</v>
      </c>
      <c r="AC133" s="37">
        <f t="shared" si="76"/>
        <v>57.15306122448979</v>
      </c>
      <c r="AD133" s="37">
        <f t="shared" si="76"/>
        <v>64.704081632653072</v>
      </c>
      <c r="AE133" s="37">
        <f t="shared" si="76"/>
        <v>63.469387755102048</v>
      </c>
      <c r="AF133" s="37">
        <f t="shared" si="76"/>
        <v>67.928571428571431</v>
      </c>
      <c r="AG133" s="37">
        <f t="shared" si="76"/>
        <v>113.64285714285715</v>
      </c>
      <c r="AH133" s="37"/>
      <c r="AI133" s="38">
        <f>+AI132*AI131</f>
        <v>83.287999999999997</v>
      </c>
      <c r="AJ133" s="6"/>
    </row>
    <row r="134" spans="1:36" x14ac:dyDescent="0.3">
      <c r="A134" s="2"/>
      <c r="B134" s="33"/>
      <c r="C134" s="34" t="s">
        <v>19</v>
      </c>
      <c r="D134" s="20">
        <v>7453</v>
      </c>
      <c r="E134" s="20">
        <v>10508</v>
      </c>
      <c r="F134" s="20">
        <v>10325</v>
      </c>
      <c r="G134" s="20">
        <v>5220</v>
      </c>
      <c r="H134" s="20">
        <v>6763</v>
      </c>
      <c r="I134" s="20">
        <v>7348</v>
      </c>
      <c r="J134" s="20">
        <v>8376</v>
      </c>
      <c r="K134" s="20">
        <v>8042</v>
      </c>
      <c r="L134" s="20">
        <v>11465</v>
      </c>
      <c r="M134" s="20">
        <v>12827</v>
      </c>
      <c r="N134" s="20">
        <v>5226</v>
      </c>
      <c r="O134" s="20">
        <v>6495</v>
      </c>
      <c r="P134" s="20">
        <v>6569</v>
      </c>
      <c r="Q134" s="20">
        <v>6998</v>
      </c>
      <c r="R134" s="20">
        <v>5982</v>
      </c>
      <c r="S134" s="20">
        <v>10319</v>
      </c>
      <c r="T134" s="20">
        <v>11877</v>
      </c>
      <c r="U134" s="20">
        <v>6314</v>
      </c>
      <c r="V134" s="20">
        <v>7978.72</v>
      </c>
      <c r="W134" s="20">
        <v>8720</v>
      </c>
      <c r="X134" s="20">
        <v>9142</v>
      </c>
      <c r="Y134" s="20">
        <v>7332</v>
      </c>
      <c r="Z134" s="20">
        <v>10114</v>
      </c>
      <c r="AA134" s="20">
        <v>12437</v>
      </c>
      <c r="AB134" s="20">
        <v>5080</v>
      </c>
      <c r="AC134" s="20">
        <v>5601</v>
      </c>
      <c r="AD134" s="20">
        <v>6341</v>
      </c>
      <c r="AE134" s="20">
        <v>6220</v>
      </c>
      <c r="AF134" s="20">
        <v>6657</v>
      </c>
      <c r="AG134" s="20">
        <v>11137</v>
      </c>
      <c r="AH134" s="20"/>
      <c r="AI134" s="39">
        <f>SUM(D134:AG134)</f>
        <v>244866.72</v>
      </c>
      <c r="AJ134" s="6"/>
    </row>
    <row r="135" spans="1:36" ht="15" thickBot="1" x14ac:dyDescent="0.35">
      <c r="A135" s="23"/>
      <c r="B135" s="80"/>
      <c r="C135" s="81" t="s">
        <v>20</v>
      </c>
      <c r="D135" s="82">
        <f>1275.5/D134</f>
        <v>0.17113913860190527</v>
      </c>
      <c r="E135" s="82">
        <f>1024.02/E134</f>
        <v>9.7451465550057098E-2</v>
      </c>
      <c r="F135" s="82">
        <f>873.8/F134</f>
        <v>8.4629539951573851E-2</v>
      </c>
      <c r="G135" s="82">
        <f>810.45/G134</f>
        <v>0.15525862068965518</v>
      </c>
      <c r="H135" s="82">
        <f>1413.6/H134</f>
        <v>0.20901966582877421</v>
      </c>
      <c r="I135" s="82">
        <f>1176.65/I134</f>
        <v>0.16013200870985303</v>
      </c>
      <c r="J135" s="82">
        <f>1413.6/J134</f>
        <v>0.16876790830945557</v>
      </c>
      <c r="K135" s="82">
        <f>1428.83/K134</f>
        <v>0.17767097736881371</v>
      </c>
      <c r="L135" s="82">
        <f>1301.53/L134</f>
        <v>0.11352202354993458</v>
      </c>
      <c r="M135" s="82">
        <f>539.19/M134</f>
        <v>4.2035550011694088E-2</v>
      </c>
      <c r="N135" s="82">
        <f>837.3/N134</f>
        <v>0.16021814006888632</v>
      </c>
      <c r="O135" s="82">
        <f>1413.6/O134</f>
        <v>0.21764434180138567</v>
      </c>
      <c r="P135" s="82">
        <f>1413.6/P134</f>
        <v>0.2151925711676054</v>
      </c>
      <c r="Q135" s="82">
        <f>1027.32/Q134</f>
        <v>0.14680194341240355</v>
      </c>
      <c r="R135" s="82">
        <f>1413.6/R134</f>
        <v>0.23630892678034102</v>
      </c>
      <c r="S135" s="82">
        <f>1429.65/S134</f>
        <v>0.13854540168620991</v>
      </c>
      <c r="T135" s="82">
        <f>794.37/T134</f>
        <v>6.6883051275574645E-2</v>
      </c>
      <c r="U135" s="82">
        <f>1006.68/U134</f>
        <v>0.15943617358251505</v>
      </c>
      <c r="V135" s="82">
        <f>1121.88/V134</f>
        <v>0.14060901999318187</v>
      </c>
      <c r="W135" s="82">
        <f>1238.05/W134</f>
        <v>0.14197821100917429</v>
      </c>
      <c r="X135" s="82">
        <f>1288.88/X134</f>
        <v>0.14098446729380881</v>
      </c>
      <c r="Y135" s="82">
        <f>1407.75/Y134</f>
        <v>0.19200081833060556</v>
      </c>
      <c r="Z135" s="82">
        <f>1340.04/Z134</f>
        <v>0.13249357326478148</v>
      </c>
      <c r="AA135" s="82">
        <f>686.23/AA134</f>
        <v>5.5176489507115865E-2</v>
      </c>
      <c r="AB135" s="82">
        <f>902.2/AB134</f>
        <v>0.1775984251968504</v>
      </c>
      <c r="AC135" s="82">
        <f>1304.81/AC134</f>
        <v>0.23296018568112836</v>
      </c>
      <c r="AD135" s="82"/>
      <c r="AE135" s="82"/>
      <c r="AF135" s="82"/>
      <c r="AG135" s="82"/>
      <c r="AH135" s="82"/>
      <c r="AI135" s="84">
        <f>AVERAGE(D135:AG135)</f>
        <v>0.15132533225474171</v>
      </c>
      <c r="AJ135" s="6"/>
    </row>
    <row r="136" spans="1:36" ht="15.6" thickTop="1" thickBot="1" x14ac:dyDescent="0.35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4"/>
      <c r="AJ136" s="85">
        <f>+AI134+AI122+AI116+AI110+AI104+AI98+AI92+AI83+AI77+AI72+AI64+AI50+AI44+AI38+AI32+AI23+AI14+AI128</f>
        <v>4204486.2300000004</v>
      </c>
    </row>
    <row r="137" spans="1:36" ht="15" thickTop="1" x14ac:dyDescent="0.3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4"/>
      <c r="AJ137" s="86"/>
    </row>
    <row r="138" spans="1:36" ht="28.8" x14ac:dyDescent="0.3">
      <c r="A138" s="2"/>
      <c r="B138" s="2"/>
      <c r="C138" s="3"/>
      <c r="D138" s="3">
        <v>1</v>
      </c>
      <c r="E138" s="3">
        <v>2</v>
      </c>
      <c r="F138" s="3">
        <v>3</v>
      </c>
      <c r="G138" s="3">
        <v>4</v>
      </c>
      <c r="H138" s="3">
        <v>5</v>
      </c>
      <c r="I138" s="3">
        <v>6</v>
      </c>
      <c r="J138" s="3">
        <v>7</v>
      </c>
      <c r="K138" s="3">
        <v>8</v>
      </c>
      <c r="L138" s="3">
        <v>9</v>
      </c>
      <c r="M138" s="3">
        <v>10</v>
      </c>
      <c r="N138" s="3">
        <v>11</v>
      </c>
      <c r="O138" s="3">
        <v>12</v>
      </c>
      <c r="P138" s="3">
        <v>13</v>
      </c>
      <c r="Q138" s="3">
        <v>14</v>
      </c>
      <c r="R138" s="3">
        <v>15</v>
      </c>
      <c r="S138" s="3">
        <v>16</v>
      </c>
      <c r="T138" s="3">
        <v>17</v>
      </c>
      <c r="U138" s="3">
        <v>18</v>
      </c>
      <c r="V138" s="3">
        <v>19</v>
      </c>
      <c r="W138" s="3">
        <v>20</v>
      </c>
      <c r="X138" s="3">
        <v>21</v>
      </c>
      <c r="Y138" s="3">
        <v>22</v>
      </c>
      <c r="Z138" s="3">
        <v>23</v>
      </c>
      <c r="AA138" s="3">
        <v>24</v>
      </c>
      <c r="AB138" s="3">
        <v>25</v>
      </c>
      <c r="AC138" s="3">
        <v>26</v>
      </c>
      <c r="AD138" s="3">
        <v>27</v>
      </c>
      <c r="AE138" s="3">
        <v>28</v>
      </c>
      <c r="AF138" s="3">
        <v>29</v>
      </c>
      <c r="AG138" s="3">
        <v>30</v>
      </c>
      <c r="AH138" s="3"/>
      <c r="AI138" s="87" t="s">
        <v>47</v>
      </c>
      <c r="AJ138" s="87" t="s">
        <v>48</v>
      </c>
    </row>
    <row r="139" spans="1:36" x14ac:dyDescent="0.3">
      <c r="A139" s="2"/>
      <c r="B139" s="2" t="s">
        <v>58</v>
      </c>
      <c r="C139" s="3"/>
      <c r="D139" s="20">
        <f t="shared" ref="D139:AG139" si="77">+D134+D128+D122+D116+D110+D104+D98+D92+D83+D77+D72+D66+D50+D44+D38+D32+D23+D14</f>
        <v>125816</v>
      </c>
      <c r="E139" s="20">
        <f t="shared" si="77"/>
        <v>151249</v>
      </c>
      <c r="F139" s="20">
        <f t="shared" si="77"/>
        <v>141145</v>
      </c>
      <c r="G139" s="20">
        <f t="shared" si="77"/>
        <v>93520.08</v>
      </c>
      <c r="H139" s="20">
        <f t="shared" si="77"/>
        <v>116368</v>
      </c>
      <c r="I139" s="20">
        <f t="shared" si="77"/>
        <v>136980.30000000002</v>
      </c>
      <c r="J139" s="20">
        <f t="shared" si="77"/>
        <v>143928</v>
      </c>
      <c r="K139" s="20">
        <f t="shared" si="77"/>
        <v>128919</v>
      </c>
      <c r="L139" s="20">
        <f t="shared" si="77"/>
        <v>170958</v>
      </c>
      <c r="M139" s="20">
        <f t="shared" si="77"/>
        <v>197432</v>
      </c>
      <c r="N139" s="20">
        <f t="shared" si="77"/>
        <v>112043.97</v>
      </c>
      <c r="O139" s="20">
        <f t="shared" si="77"/>
        <v>127835.8</v>
      </c>
      <c r="P139" s="20">
        <f t="shared" si="77"/>
        <v>134140.18</v>
      </c>
      <c r="Q139" s="20">
        <f t="shared" si="77"/>
        <v>130958.37999999999</v>
      </c>
      <c r="R139" s="20">
        <f t="shared" si="77"/>
        <v>147825</v>
      </c>
      <c r="S139" s="20">
        <f t="shared" si="77"/>
        <v>189635</v>
      </c>
      <c r="T139" s="20">
        <f t="shared" si="77"/>
        <v>188260</v>
      </c>
      <c r="U139" s="20">
        <f t="shared" si="77"/>
        <v>98840</v>
      </c>
      <c r="V139" s="20">
        <f t="shared" si="77"/>
        <v>121850.33</v>
      </c>
      <c r="W139" s="20">
        <f t="shared" si="77"/>
        <v>134832.26</v>
      </c>
      <c r="X139" s="20">
        <f t="shared" si="77"/>
        <v>133406</v>
      </c>
      <c r="Y139" s="20">
        <f t="shared" si="77"/>
        <v>147170</v>
      </c>
      <c r="Z139" s="20">
        <f t="shared" si="77"/>
        <v>185144</v>
      </c>
      <c r="AA139" s="20">
        <f t="shared" si="77"/>
        <v>182561</v>
      </c>
      <c r="AB139" s="20">
        <f t="shared" si="77"/>
        <v>103377</v>
      </c>
      <c r="AC139" s="20">
        <f t="shared" si="77"/>
        <v>141346.15</v>
      </c>
      <c r="AD139" s="20">
        <f t="shared" si="77"/>
        <v>129926</v>
      </c>
      <c r="AE139" s="20">
        <f t="shared" si="77"/>
        <v>133654</v>
      </c>
      <c r="AF139" s="20">
        <f t="shared" si="77"/>
        <v>140970</v>
      </c>
      <c r="AG139" s="20">
        <f t="shared" si="77"/>
        <v>184290</v>
      </c>
      <c r="AH139" s="20"/>
      <c r="AI139" s="93">
        <f>AVERAGE(D139:AH139)</f>
        <v>142479.3483333333</v>
      </c>
      <c r="AJ139" s="119">
        <f t="shared" ref="AJ139:AJ149" si="78">+AI139/AI140-1</f>
        <v>5.5268287586315301E-2</v>
      </c>
    </row>
    <row r="140" spans="1:36" x14ac:dyDescent="0.3">
      <c r="A140" s="2"/>
      <c r="B140" s="2" t="s">
        <v>59</v>
      </c>
      <c r="C140" s="3"/>
      <c r="D140" s="20">
        <v>114623.50999999998</v>
      </c>
      <c r="E140" s="20">
        <v>117829.61</v>
      </c>
      <c r="F140" s="20">
        <v>122917.56999999999</v>
      </c>
      <c r="G140" s="20">
        <v>130495.9</v>
      </c>
      <c r="H140" s="20">
        <v>137863.53999999998</v>
      </c>
      <c r="I140" s="20">
        <v>147506.49000000002</v>
      </c>
      <c r="J140" s="20">
        <v>112811.34</v>
      </c>
      <c r="K140" s="20">
        <v>116217.00000000001</v>
      </c>
      <c r="L140" s="20">
        <v>126765.45</v>
      </c>
      <c r="M140" s="20">
        <v>128354.98999999999</v>
      </c>
      <c r="N140" s="20">
        <v>132118</v>
      </c>
      <c r="O140" s="20">
        <v>158761.15</v>
      </c>
      <c r="P140" s="20">
        <v>166812.37000000002</v>
      </c>
      <c r="Q140" s="20">
        <v>119556.14</v>
      </c>
      <c r="R140" s="20">
        <v>129791.56999999998</v>
      </c>
      <c r="S140" s="20">
        <v>134517.78</v>
      </c>
      <c r="T140" s="20">
        <v>142856.24</v>
      </c>
      <c r="U140" s="20">
        <v>143916.46999999997</v>
      </c>
      <c r="V140" s="20">
        <v>174275.35</v>
      </c>
      <c r="W140" s="20">
        <v>178301.25</v>
      </c>
      <c r="X140" s="20">
        <v>113992.63</v>
      </c>
      <c r="Y140" s="20">
        <v>127051.5</v>
      </c>
      <c r="Z140" s="20">
        <v>138426.22</v>
      </c>
      <c r="AA140" s="20">
        <v>145337.99</v>
      </c>
      <c r="AB140" s="20">
        <v>141152</v>
      </c>
      <c r="AC140" s="20">
        <v>163152</v>
      </c>
      <c r="AD140" s="20">
        <v>184053</v>
      </c>
      <c r="AE140" s="20">
        <v>105809.09</v>
      </c>
      <c r="AF140" s="20">
        <v>116549.62000000001</v>
      </c>
      <c r="AG140" s="20">
        <v>126650</v>
      </c>
      <c r="AH140" s="20">
        <v>135017.18</v>
      </c>
      <c r="AI140" s="93">
        <v>135017.18</v>
      </c>
      <c r="AJ140" s="119">
        <f t="shared" si="78"/>
        <v>0.34345155973884345</v>
      </c>
    </row>
    <row r="141" spans="1:36" x14ac:dyDescent="0.3">
      <c r="A141" s="2"/>
      <c r="B141" s="2" t="s">
        <v>60</v>
      </c>
      <c r="C141" s="3"/>
      <c r="D141" s="20">
        <v>73863.600000000006</v>
      </c>
      <c r="E141" s="20">
        <v>79060.419999999984</v>
      </c>
      <c r="F141" s="20">
        <v>81003.360000000001</v>
      </c>
      <c r="G141" s="20">
        <v>76954.900000000009</v>
      </c>
      <c r="H141" s="20">
        <v>91299.05799999999</v>
      </c>
      <c r="I141" s="20">
        <v>88235.790000000008</v>
      </c>
      <c r="J141" s="20">
        <v>58618.97</v>
      </c>
      <c r="K141" s="20">
        <v>71658.139999999985</v>
      </c>
      <c r="L141" s="20">
        <v>78494.25</v>
      </c>
      <c r="M141" s="20">
        <v>86823.1</v>
      </c>
      <c r="N141" s="20">
        <v>84585.727999999988</v>
      </c>
      <c r="O141" s="20">
        <v>79436.500000000015</v>
      </c>
      <c r="P141" s="20">
        <v>107050.59999999999</v>
      </c>
      <c r="Q141" s="20">
        <v>110143.86999999998</v>
      </c>
      <c r="R141" s="20">
        <v>122240.58</v>
      </c>
      <c r="S141" s="20">
        <v>121024.60999999999</v>
      </c>
      <c r="T141" s="20">
        <v>116009.29</v>
      </c>
      <c r="U141" s="20">
        <v>109786.48000000001</v>
      </c>
      <c r="V141" s="20">
        <v>112968.72</v>
      </c>
      <c r="W141" s="20">
        <v>112812.02</v>
      </c>
      <c r="X141" s="20">
        <v>88597.29</v>
      </c>
      <c r="Y141" s="20">
        <v>111025.8</v>
      </c>
      <c r="Z141" s="20">
        <v>132492.99</v>
      </c>
      <c r="AA141" s="20">
        <v>121294.78</v>
      </c>
      <c r="AB141" s="20">
        <v>144013.08000000002</v>
      </c>
      <c r="AC141" s="20">
        <v>131690.88999999998</v>
      </c>
      <c r="AD141" s="20">
        <v>122800.08999999998</v>
      </c>
      <c r="AE141" s="20">
        <v>100021.31000000001</v>
      </c>
      <c r="AF141" s="20"/>
      <c r="AG141" s="20"/>
      <c r="AH141" s="20"/>
      <c r="AI141" s="93">
        <f>AVERAGE(D141:AG141)</f>
        <v>100500.22199999998</v>
      </c>
      <c r="AJ141" s="119">
        <f t="shared" si="78"/>
        <v>0.27548293357685361</v>
      </c>
    </row>
    <row r="142" spans="1:36" x14ac:dyDescent="0.3">
      <c r="B142" s="2" t="s">
        <v>61</v>
      </c>
      <c r="C142" s="3"/>
      <c r="D142" s="20">
        <v>82854.86</v>
      </c>
      <c r="E142" s="20">
        <v>80638.539999999994</v>
      </c>
      <c r="F142" s="20">
        <v>60554.259999999995</v>
      </c>
      <c r="G142" s="20">
        <v>64807.009999999995</v>
      </c>
      <c r="H142" s="20">
        <v>76514.759999999995</v>
      </c>
      <c r="I142" s="20">
        <v>83320.000000000015</v>
      </c>
      <c r="J142" s="20">
        <v>71398.990000000005</v>
      </c>
      <c r="K142" s="20">
        <v>79576.290000000008</v>
      </c>
      <c r="L142" s="20">
        <v>79602.19</v>
      </c>
      <c r="M142" s="20">
        <v>62180.97</v>
      </c>
      <c r="N142" s="20">
        <v>72936.51999999999</v>
      </c>
      <c r="O142" s="20">
        <v>77463.539999999994</v>
      </c>
      <c r="P142" s="20">
        <v>82155.279999999984</v>
      </c>
      <c r="Q142" s="20">
        <v>87161.51999999999</v>
      </c>
      <c r="R142" s="20">
        <v>100886.34999999999</v>
      </c>
      <c r="S142" s="20">
        <v>107066.53999999998</v>
      </c>
      <c r="T142" s="20">
        <v>74252.77</v>
      </c>
      <c r="U142" s="20">
        <v>74107.56</v>
      </c>
      <c r="V142" s="20">
        <v>83657.62</v>
      </c>
      <c r="W142" s="20">
        <v>75423.94</v>
      </c>
      <c r="X142" s="20">
        <v>70802.810000000012</v>
      </c>
      <c r="Y142" s="20">
        <v>77494.189999999988</v>
      </c>
      <c r="Z142" s="20">
        <v>84626.680000000008</v>
      </c>
      <c r="AA142" s="20">
        <v>65300.72</v>
      </c>
      <c r="AB142" s="20">
        <v>77262.150000000009</v>
      </c>
      <c r="AC142" s="20">
        <v>78740.91</v>
      </c>
      <c r="AD142" s="20">
        <v>81055.740000000005</v>
      </c>
      <c r="AE142" s="20">
        <v>80039.549999999988</v>
      </c>
      <c r="AF142" s="20">
        <v>84612.52</v>
      </c>
      <c r="AG142" s="20">
        <v>87320.98</v>
      </c>
      <c r="AH142" s="20">
        <v>65515.239999999991</v>
      </c>
      <c r="AI142" s="93">
        <f>AVERAGE(D142:AG142)</f>
        <v>78793.858666666652</v>
      </c>
      <c r="AJ142" s="119">
        <f t="shared" si="78"/>
        <v>0.16481058729716236</v>
      </c>
    </row>
    <row r="143" spans="1:36" x14ac:dyDescent="0.3">
      <c r="B143" s="2" t="s">
        <v>51</v>
      </c>
      <c r="C143" s="3"/>
      <c r="D143" s="20">
        <v>67602.77</v>
      </c>
      <c r="E143" s="20">
        <v>66458.939999999988</v>
      </c>
      <c r="F143" s="20">
        <v>83823.130000000019</v>
      </c>
      <c r="G143" s="20">
        <v>97534.23000000001</v>
      </c>
      <c r="H143" s="20">
        <v>93973.470000000016</v>
      </c>
      <c r="I143" s="20">
        <v>60633.320000000007</v>
      </c>
      <c r="J143" s="20">
        <v>71392.59</v>
      </c>
      <c r="K143" s="20">
        <v>74964.61</v>
      </c>
      <c r="L143" s="20">
        <v>77754.549999999988</v>
      </c>
      <c r="M143" s="20">
        <v>72153.59</v>
      </c>
      <c r="N143" s="20">
        <v>97852.160000000003</v>
      </c>
      <c r="O143" s="20">
        <v>96924.62</v>
      </c>
      <c r="P143" s="20">
        <v>57639.839999999997</v>
      </c>
      <c r="Q143" s="20">
        <v>66461.450000000012</v>
      </c>
      <c r="R143" s="20">
        <v>63997.119999999995</v>
      </c>
      <c r="S143" s="20">
        <v>66648.78</v>
      </c>
      <c r="T143" s="20">
        <v>67478.63</v>
      </c>
      <c r="U143" s="20">
        <v>74443.569999999992</v>
      </c>
      <c r="V143" s="20">
        <v>78196.569999999992</v>
      </c>
      <c r="W143" s="20">
        <v>55414.229999999996</v>
      </c>
      <c r="X143" s="20">
        <v>55682.65</v>
      </c>
      <c r="Y143" s="20">
        <v>49132.170000000006</v>
      </c>
      <c r="Z143" s="20">
        <v>45279.17</v>
      </c>
      <c r="AA143" s="20">
        <v>43029.96</v>
      </c>
      <c r="AB143" s="20">
        <v>52906.930000000008</v>
      </c>
      <c r="AC143" s="20">
        <v>59619.35</v>
      </c>
      <c r="AD143" s="20">
        <v>49546.95</v>
      </c>
      <c r="AE143" s="20">
        <v>55525.320000000007</v>
      </c>
      <c r="AF143" s="20">
        <v>56721.73</v>
      </c>
      <c r="AG143" s="20">
        <v>60370.54</v>
      </c>
      <c r="AH143" s="20">
        <v>77838.62000000001</v>
      </c>
      <c r="AI143" s="93">
        <v>67645.211612903237</v>
      </c>
      <c r="AJ143" s="119">
        <f t="shared" si="78"/>
        <v>-0.12070281664214377</v>
      </c>
    </row>
    <row r="144" spans="1:36" x14ac:dyDescent="0.3">
      <c r="B144" s="2" t="s">
        <v>52</v>
      </c>
      <c r="C144" s="3"/>
      <c r="D144" s="20">
        <v>70065</v>
      </c>
      <c r="E144" s="20">
        <v>66144.81</v>
      </c>
      <c r="F144" s="20">
        <v>75735.520000000019</v>
      </c>
      <c r="G144" s="20">
        <v>86485.090000000011</v>
      </c>
      <c r="H144" s="20">
        <v>83527.02</v>
      </c>
      <c r="I144" s="20">
        <v>96226.680000000008</v>
      </c>
      <c r="J144" s="20">
        <v>112884.18999999997</v>
      </c>
      <c r="K144" s="20">
        <v>66614.469999999987</v>
      </c>
      <c r="L144" s="20">
        <v>79859.41</v>
      </c>
      <c r="M144" s="20">
        <v>85053.95</v>
      </c>
      <c r="N144" s="20">
        <v>89977.71</v>
      </c>
      <c r="O144" s="20">
        <v>86370.739999999991</v>
      </c>
      <c r="P144" s="20">
        <v>109352.45999999999</v>
      </c>
      <c r="Q144" s="20">
        <v>106708.48999999999</v>
      </c>
      <c r="R144" s="20">
        <v>61864.179999999993</v>
      </c>
      <c r="S144" s="20">
        <v>72865.290000000008</v>
      </c>
      <c r="T144" s="20">
        <v>74909.69</v>
      </c>
      <c r="U144" s="20">
        <v>77430.179999999993</v>
      </c>
      <c r="V144" s="20">
        <v>78790.110000000015</v>
      </c>
      <c r="W144" s="20">
        <v>96551.599999999991</v>
      </c>
      <c r="X144" s="20">
        <v>90910.9</v>
      </c>
      <c r="Y144" s="20">
        <v>53908.470000000008</v>
      </c>
      <c r="Z144" s="20">
        <v>55233.39</v>
      </c>
      <c r="AA144" s="20">
        <v>56637.599999999999</v>
      </c>
      <c r="AB144" s="20">
        <v>54914.99</v>
      </c>
      <c r="AC144" s="20">
        <v>61969.72</v>
      </c>
      <c r="AD144" s="20">
        <v>74137.399999999994</v>
      </c>
      <c r="AE144" s="20">
        <v>72565.25</v>
      </c>
      <c r="AF144" s="20">
        <v>48777.47</v>
      </c>
      <c r="AG144" s="20">
        <v>61456.729999999996</v>
      </c>
      <c r="AH144" s="20"/>
      <c r="AI144" s="93">
        <v>76931</v>
      </c>
      <c r="AJ144" s="119">
        <f t="shared" si="78"/>
        <v>-0.15140564912971455</v>
      </c>
    </row>
    <row r="145" spans="2:36" x14ac:dyDescent="0.3">
      <c r="B145" s="2" t="s">
        <v>62</v>
      </c>
      <c r="C145" s="3"/>
      <c r="D145" s="20">
        <v>90900.959999999977</v>
      </c>
      <c r="E145" s="20">
        <v>110402.01</v>
      </c>
      <c r="F145" s="20">
        <v>105326.36999999998</v>
      </c>
      <c r="G145" s="20">
        <v>66581.670000000013</v>
      </c>
      <c r="H145" s="20">
        <v>74482.51999999999</v>
      </c>
      <c r="I145" s="20">
        <v>77418.439999999988</v>
      </c>
      <c r="J145" s="20">
        <v>79867.890000000014</v>
      </c>
      <c r="K145" s="20">
        <v>93534.050000000017</v>
      </c>
      <c r="L145" s="20">
        <v>130042.68000000001</v>
      </c>
      <c r="M145" s="20">
        <v>140749.15999999997</v>
      </c>
      <c r="N145" s="20">
        <v>73838.139999999985</v>
      </c>
      <c r="O145" s="20">
        <v>74852.73</v>
      </c>
      <c r="P145" s="20">
        <v>77689.62999999999</v>
      </c>
      <c r="Q145" s="20">
        <v>82940.800000000003</v>
      </c>
      <c r="R145" s="20">
        <v>91217.34</v>
      </c>
      <c r="S145" s="20">
        <v>120190.80000000002</v>
      </c>
      <c r="T145" s="20">
        <v>120174.86</v>
      </c>
      <c r="U145" s="20">
        <v>68984.239999999991</v>
      </c>
      <c r="V145" s="20">
        <v>78411.680000000008</v>
      </c>
      <c r="W145" s="20">
        <v>83139.08</v>
      </c>
      <c r="X145" s="20">
        <v>81866.12000000001</v>
      </c>
      <c r="Y145" s="20">
        <v>85785.35</v>
      </c>
      <c r="Z145" s="20">
        <v>117856.4</v>
      </c>
      <c r="AA145" s="20">
        <v>127161.93999999999</v>
      </c>
      <c r="AB145" s="20">
        <v>68498.410000000018</v>
      </c>
      <c r="AC145" s="20">
        <v>76958.27</v>
      </c>
      <c r="AD145" s="20">
        <v>80332.850000000006</v>
      </c>
      <c r="AE145" s="20">
        <v>80516.19</v>
      </c>
      <c r="AF145" s="20">
        <v>70980.319999999992</v>
      </c>
      <c r="AG145" s="20">
        <v>83606.89</v>
      </c>
      <c r="AH145" s="20">
        <v>96058.549999999988</v>
      </c>
      <c r="AI145" s="93">
        <v>90656.978709677423</v>
      </c>
      <c r="AJ145" s="119">
        <f t="shared" si="78"/>
        <v>4.1842966451314689E-2</v>
      </c>
    </row>
    <row r="146" spans="2:36" x14ac:dyDescent="0.3">
      <c r="B146" s="2" t="s">
        <v>54</v>
      </c>
      <c r="C146" s="3"/>
      <c r="D146" s="20">
        <v>84754.189999999988</v>
      </c>
      <c r="E146" s="20">
        <v>77509.83</v>
      </c>
      <c r="F146" s="20">
        <v>86097.87000000001</v>
      </c>
      <c r="G146" s="20">
        <v>114711.41999999998</v>
      </c>
      <c r="H146" s="20">
        <v>144350.47</v>
      </c>
      <c r="I146" s="20">
        <v>103110.33000000002</v>
      </c>
      <c r="J146" s="20">
        <v>63647.21</v>
      </c>
      <c r="K146" s="20">
        <v>76126.25</v>
      </c>
      <c r="L146" s="20">
        <v>82670.789999999979</v>
      </c>
      <c r="M146" s="20">
        <v>80723.710000000006</v>
      </c>
      <c r="N146" s="20">
        <v>91710.989999999991</v>
      </c>
      <c r="O146" s="20">
        <v>97999.8</v>
      </c>
      <c r="P146" s="20">
        <v>73673.760000000009</v>
      </c>
      <c r="Q146" s="20">
        <v>81090.11</v>
      </c>
      <c r="R146" s="20">
        <v>95424.680000000008</v>
      </c>
      <c r="S146" s="20">
        <v>88123.109999999986</v>
      </c>
      <c r="T146" s="20">
        <v>86107.98000000001</v>
      </c>
      <c r="U146" s="20">
        <v>94430.400000000009</v>
      </c>
      <c r="V146" s="20">
        <v>108674.07999999999</v>
      </c>
      <c r="W146" s="20">
        <v>63410.119999999995</v>
      </c>
      <c r="X146" s="20">
        <v>71808.240000000005</v>
      </c>
      <c r="Y146" s="20">
        <v>72142.2</v>
      </c>
      <c r="Z146" s="20">
        <v>82430.219999999987</v>
      </c>
      <c r="AA146" s="20">
        <v>78378.259999999995</v>
      </c>
      <c r="AB146" s="20">
        <v>98445.599999999977</v>
      </c>
      <c r="AC146" s="20">
        <v>111067.27900000001</v>
      </c>
      <c r="AD146" s="20">
        <v>65574.12000000001</v>
      </c>
      <c r="AE146" s="20">
        <v>68571.259999999995</v>
      </c>
      <c r="AF146" s="20">
        <v>77694.38</v>
      </c>
      <c r="AG146" s="20">
        <v>90020.51</v>
      </c>
      <c r="AH146" s="20"/>
      <c r="AI146" s="93">
        <v>87015.972299999994</v>
      </c>
      <c r="AJ146" s="119">
        <f t="shared" si="78"/>
        <v>-5.286343324641285E-3</v>
      </c>
    </row>
    <row r="147" spans="2:36" x14ac:dyDescent="0.3">
      <c r="B147" s="2" t="s">
        <v>55</v>
      </c>
      <c r="C147" s="3"/>
      <c r="D147" s="20">
        <v>100183.41</v>
      </c>
      <c r="E147" s="20">
        <v>64601.049999999996</v>
      </c>
      <c r="F147" s="20">
        <v>68269.820000000007</v>
      </c>
      <c r="G147" s="20">
        <v>72258.659999999989</v>
      </c>
      <c r="H147" s="20">
        <v>72333.430000000008</v>
      </c>
      <c r="I147" s="20">
        <v>87807.180000000008</v>
      </c>
      <c r="J147" s="20">
        <v>108556.6</v>
      </c>
      <c r="K147" s="20">
        <v>115466.53999999998</v>
      </c>
      <c r="L147" s="20">
        <v>66024.539999999994</v>
      </c>
      <c r="M147" s="20">
        <v>67539.360000000001</v>
      </c>
      <c r="N147" s="20">
        <v>74683.11</v>
      </c>
      <c r="O147" s="20">
        <v>70834.399999999994</v>
      </c>
      <c r="P147" s="20">
        <v>77578</v>
      </c>
      <c r="Q147" s="20">
        <v>95943.329999999987</v>
      </c>
      <c r="R147" s="20">
        <v>104559.17000000001</v>
      </c>
      <c r="S147" s="20">
        <v>77145.600000000006</v>
      </c>
      <c r="T147" s="20">
        <v>83957.91</v>
      </c>
      <c r="U147" s="20">
        <v>88179.42</v>
      </c>
      <c r="V147" s="20">
        <v>90305.080000000016</v>
      </c>
      <c r="W147" s="20">
        <v>90852.430000000022</v>
      </c>
      <c r="X147" s="20">
        <v>94160.400000000009</v>
      </c>
      <c r="Y147" s="20">
        <v>100448.5</v>
      </c>
      <c r="Z147" s="20">
        <v>58556.94</v>
      </c>
      <c r="AA147" s="20">
        <v>74305.420000000013</v>
      </c>
      <c r="AB147" s="20">
        <v>110828.91999999998</v>
      </c>
      <c r="AC147" s="20">
        <v>131833.35</v>
      </c>
      <c r="AD147" s="20">
        <v>108369.62000000001</v>
      </c>
      <c r="AE147" s="20">
        <v>100972.90000000002</v>
      </c>
      <c r="AF147" s="20">
        <v>102375.05999999997</v>
      </c>
      <c r="AG147" s="20">
        <v>73325.179999999993</v>
      </c>
      <c r="AH147" s="20">
        <v>79575.48000000001</v>
      </c>
      <c r="AI147" s="93">
        <v>87478.413225806449</v>
      </c>
      <c r="AJ147" s="119">
        <f t="shared" si="78"/>
        <v>0.15589313615477463</v>
      </c>
    </row>
    <row r="148" spans="2:36" x14ac:dyDescent="0.3">
      <c r="B148" s="2" t="s">
        <v>56</v>
      </c>
      <c r="C148" s="3"/>
      <c r="D148" s="20">
        <v>73444.495945945935</v>
      </c>
      <c r="E148" s="20">
        <v>70000.913513513515</v>
      </c>
      <c r="F148" s="20">
        <v>82405.333783783775</v>
      </c>
      <c r="G148" s="20">
        <v>81409.199189189181</v>
      </c>
      <c r="H148" s="20">
        <v>56865.548378378378</v>
      </c>
      <c r="I148" s="20">
        <v>62159.099054054052</v>
      </c>
      <c r="J148" s="20">
        <v>68168.310270270274</v>
      </c>
      <c r="K148" s="20">
        <v>72491.048378378386</v>
      </c>
      <c r="L148" s="20">
        <v>79462.536621621635</v>
      </c>
      <c r="M148" s="20">
        <v>82286.569999999992</v>
      </c>
      <c r="N148" s="20">
        <v>87756.881891891884</v>
      </c>
      <c r="O148" s="20">
        <v>60813.235405405416</v>
      </c>
      <c r="P148" s="20">
        <v>67185.838918918933</v>
      </c>
      <c r="Q148" s="20">
        <v>71968.58</v>
      </c>
      <c r="R148" s="20">
        <v>77449.497972972982</v>
      </c>
      <c r="S148" s="20">
        <v>77877.45608108108</v>
      </c>
      <c r="T148" s="20">
        <v>92299.417837837827</v>
      </c>
      <c r="U148" s="20">
        <v>95235.570540540561</v>
      </c>
      <c r="V148" s="20">
        <v>66435.505135135143</v>
      </c>
      <c r="W148" s="20">
        <v>71817.671216216215</v>
      </c>
      <c r="X148" s="20">
        <v>77909.038648648653</v>
      </c>
      <c r="Y148" s="20">
        <v>76039.610000000015</v>
      </c>
      <c r="Z148" s="20">
        <v>83017.246891891889</v>
      </c>
      <c r="AA148" s="20">
        <v>97788.939054054033</v>
      </c>
      <c r="AB148" s="20">
        <v>100716.69608108109</v>
      </c>
      <c r="AC148" s="20">
        <v>60620.706621621626</v>
      </c>
      <c r="AD148" s="20">
        <v>65791.327972972969</v>
      </c>
      <c r="AE148" s="20">
        <v>67384.328513513508</v>
      </c>
      <c r="AF148" s="20">
        <v>68441.759459459456</v>
      </c>
      <c r="AG148" s="20">
        <v>70813.988918918913</v>
      </c>
      <c r="AH148" s="20">
        <v>80034.929999999993</v>
      </c>
      <c r="AI148" s="93">
        <v>75680.363945074118</v>
      </c>
      <c r="AJ148" s="119">
        <f t="shared" si="78"/>
        <v>0.17129975883137716</v>
      </c>
    </row>
    <row r="149" spans="2:36" x14ac:dyDescent="0.3">
      <c r="B149" s="2" t="s">
        <v>57</v>
      </c>
      <c r="C149" s="3"/>
      <c r="D149" s="20">
        <v>33656.116941360997</v>
      </c>
      <c r="E149" s="20">
        <v>59686.468693291514</v>
      </c>
      <c r="F149" s="20">
        <v>58711.559712837836</v>
      </c>
      <c r="G149" s="20">
        <v>58839.028445945951</v>
      </c>
      <c r="H149" s="20">
        <v>60982.806381515446</v>
      </c>
      <c r="I149" s="20">
        <v>61858.128717422784</v>
      </c>
      <c r="J149" s="20">
        <v>51575.66097852317</v>
      </c>
      <c r="K149" s="20">
        <v>56701.234278474905</v>
      </c>
      <c r="L149" s="20">
        <v>57605.917512065636</v>
      </c>
      <c r="M149" s="20">
        <v>61577.438005550182</v>
      </c>
      <c r="N149" s="20">
        <v>58640.260154440148</v>
      </c>
      <c r="O149" s="20">
        <v>68436.549682673736</v>
      </c>
      <c r="P149" s="20">
        <v>73227.321708494215</v>
      </c>
      <c r="Q149" s="20">
        <v>51023.233935810807</v>
      </c>
      <c r="R149" s="20">
        <v>64623.597294884159</v>
      </c>
      <c r="S149" s="20">
        <v>67981.496738658287</v>
      </c>
      <c r="T149" s="20">
        <v>67756.304453426652</v>
      </c>
      <c r="U149" s="20">
        <v>68129.117726833982</v>
      </c>
      <c r="V149" s="20">
        <v>82579.69435328187</v>
      </c>
      <c r="W149" s="20">
        <v>86104.767290057935</v>
      </c>
      <c r="X149" s="20">
        <v>54908.009784025096</v>
      </c>
      <c r="Y149" s="20">
        <v>64694.263143098447</v>
      </c>
      <c r="Z149" s="20">
        <v>68642.409522200775</v>
      </c>
      <c r="AA149" s="20">
        <v>76101.53125241313</v>
      </c>
      <c r="AB149" s="20">
        <v>72255.067227316613</v>
      </c>
      <c r="AC149" s="20">
        <v>87091.800108590745</v>
      </c>
      <c r="AD149" s="20">
        <v>88778.279335183397</v>
      </c>
      <c r="AE149" s="20">
        <v>58176.199035955593</v>
      </c>
      <c r="AF149" s="20">
        <v>63073.101497345568</v>
      </c>
      <c r="AG149" s="20">
        <v>54951.444955357139</v>
      </c>
      <c r="AH149" s="20"/>
      <c r="AI149" s="93">
        <v>64612.293628901214</v>
      </c>
      <c r="AJ149" s="119">
        <f t="shared" si="78"/>
        <v>0.39263580344961979</v>
      </c>
    </row>
    <row r="150" spans="2:36" x14ac:dyDescent="0.3">
      <c r="B150" s="2" t="s">
        <v>49</v>
      </c>
      <c r="C150" s="3"/>
      <c r="D150" s="20">
        <v>38972.550000000003</v>
      </c>
      <c r="E150" s="20">
        <v>39174.61</v>
      </c>
      <c r="F150" s="20">
        <v>34707.620000000003</v>
      </c>
      <c r="G150" s="20">
        <v>40887.170000000006</v>
      </c>
      <c r="H150" s="20">
        <v>44251.140000000007</v>
      </c>
      <c r="I150" s="20">
        <v>46034.819999999992</v>
      </c>
      <c r="J150" s="20">
        <v>39862.78</v>
      </c>
      <c r="K150" s="20">
        <v>41413.649999999994</v>
      </c>
      <c r="L150" s="20">
        <v>42345.120000000003</v>
      </c>
      <c r="M150" s="20">
        <v>33456.019999999997</v>
      </c>
      <c r="N150" s="20">
        <v>43313.859999999993</v>
      </c>
      <c r="O150" s="20">
        <v>43531.740000000005</v>
      </c>
      <c r="P150" s="20">
        <v>51145.510000000009</v>
      </c>
      <c r="Q150" s="20">
        <v>50218.990000000005</v>
      </c>
      <c r="R150" s="20">
        <v>46705.89</v>
      </c>
      <c r="S150" s="20">
        <v>47389.38</v>
      </c>
      <c r="T150" s="20">
        <v>38041.599999999999</v>
      </c>
      <c r="U150" s="20">
        <v>45036.49</v>
      </c>
      <c r="V150" s="20">
        <v>57478.16</v>
      </c>
      <c r="W150" s="20">
        <v>49952.299999999996</v>
      </c>
      <c r="X150" s="20">
        <v>46827.219999999994</v>
      </c>
      <c r="Y150" s="20">
        <v>53260.289999999994</v>
      </c>
      <c r="Z150" s="20">
        <v>59358.32</v>
      </c>
      <c r="AA150" s="20">
        <v>48776.539999999994</v>
      </c>
      <c r="AB150" s="20">
        <v>36573.770000000004</v>
      </c>
      <c r="AC150" s="20">
        <v>44737.770000000004</v>
      </c>
      <c r="AD150" s="20">
        <v>47850.439999999995</v>
      </c>
      <c r="AE150" s="20">
        <v>53364.35</v>
      </c>
      <c r="AF150" s="20">
        <v>57628.400000000009</v>
      </c>
      <c r="AG150" s="20">
        <v>63124.35</v>
      </c>
      <c r="AH150" s="20">
        <v>52845.420000000006</v>
      </c>
      <c r="AI150" s="93">
        <v>46395.686129032256</v>
      </c>
      <c r="AJ150" s="23"/>
    </row>
  </sheetData>
  <mergeCells count="2">
    <mergeCell ref="B52:C52"/>
    <mergeCell ref="B53:C53"/>
  </mergeCells>
  <phoneticPr fontId="8" type="noConversion"/>
  <conditionalFormatting sqref="D148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4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9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1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7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50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0:D15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5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9:D150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8:AH14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8:AH14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AH144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AH144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AH144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AH144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9:AH14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9:AH14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AH14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AH14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AH147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7:AH147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AH15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AH150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:AH145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5:A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:AH13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9:AH13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:AH13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9:AH15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6:AH116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6:AH1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N11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6:N11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AH11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2:AH1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2:AH12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N1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2:N12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AH1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8:AH1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8:AH12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N12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N12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2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4:AH13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4:AH13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:N13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:N13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:AH13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0:AH11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0:AH1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N11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0:N1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AH11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4:AH104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4:AH10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N10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4:N10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AH10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AH9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AH9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N9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8:N9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AH9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2:AH9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N9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2:N9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AH9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3:AH83 O85:O8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3:AH83 O85:O8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N83 D85:N8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3:N83 D85:N8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AH83 D85:O8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:AH7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7:AH7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N7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:N7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AH7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AH7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2:AH7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N7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2:N7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AH7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AH6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AH6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N6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6:N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AH6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AH5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AH5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N5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N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AH5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AH4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AH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N4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N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AH4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:AH3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8:AH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N3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:N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AH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AH3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AH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N3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N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AH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AH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AH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N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N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AH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H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AH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N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H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AH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AH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N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April!D139:AG139</xm:f>
              <xm:sqref>C139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April!D143:AG143</xm:f>
              <xm:sqref>C143</xm:sqref>
            </x14:sparkline>
            <x14:sparkline>
              <xm:f>April!D142:AG142</xm:f>
              <xm:sqref>C142</xm:sqref>
            </x14:sparkline>
            <x14:sparkline>
              <xm:f>April!D141:AG141</xm:f>
              <xm:sqref>C141</xm:sqref>
            </x14:sparkline>
            <x14:sparkline>
              <xm:f>April!D140:AG140</xm:f>
              <xm:sqref>C140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April!D14:AG14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April!D23:AG23</xm:f>
              <xm:sqref>B23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April!D32:AG32</xm:f>
              <xm:sqref>B32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April!D38:AG38</xm:f>
              <xm:sqref>B38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April!D44:AG44</xm:f>
              <xm:sqref>B44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April!D50:AG50</xm:f>
              <xm:sqref>B50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April!D144:AG144</xm:f>
              <xm:sqref>C144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April!D147:AG147</xm:f>
              <xm:sqref>C147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April!D148:AG148</xm:f>
              <xm:sqref>C148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April!D149:AG149</xm:f>
              <xm:sqref>C149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April!D150:AG150</xm:f>
              <xm:sqref>C150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April!D146:AG146</xm:f>
              <xm:sqref>C146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April!D145:AG145</xm:f>
              <xm:sqref>C145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April!D134:AG134</xm:f>
              <xm:sqref>B134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April!D122:AG122</xm:f>
              <xm:sqref>B122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April!D116:AG116</xm:f>
              <xm:sqref>B116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April!D110:AG110</xm:f>
              <xm:sqref>B110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April!D98:AG98</xm:f>
              <xm:sqref>B98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April!D92:AG92</xm:f>
              <xm:sqref>B92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April!D82:AG82</xm:f>
              <xm:sqref>B82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April!D77:AG77</xm:f>
              <xm:sqref>B77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April!D72:AG72</xm:f>
              <xm:sqref>B72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April!D66:AG66</xm:f>
              <xm:sqref>B66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April!D104:AG104</xm:f>
              <xm:sqref>B104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April!D128:AG128</xm:f>
              <xm:sqref>B128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6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R1" sqref="R1:R1048576"/>
    </sheetView>
  </sheetViews>
  <sheetFormatPr defaultColWidth="8.88671875" defaultRowHeight="14.4" x14ac:dyDescent="0.3"/>
  <cols>
    <col min="2" max="2" width="30.44140625" bestFit="1" customWidth="1"/>
    <col min="3" max="3" width="16.33203125" bestFit="1" customWidth="1"/>
    <col min="4" max="5" width="8.88671875" bestFit="1" customWidth="1"/>
    <col min="6" max="6" width="11.44140625" bestFit="1" customWidth="1"/>
    <col min="28" max="28" width="10.44140625" bestFit="1" customWidth="1"/>
    <col min="30" max="30" width="10" bestFit="1" customWidth="1"/>
    <col min="32" max="33" width="9.88671875" style="137" bestFit="1" customWidth="1"/>
    <col min="34" max="34" width="11.44140625" bestFit="1" customWidth="1"/>
    <col min="35" max="35" width="13.33203125" bestFit="1" customWidth="1"/>
    <col min="36" max="36" width="19.33203125" bestFit="1" customWidth="1"/>
  </cols>
  <sheetData>
    <row r="1" spans="1:36" x14ac:dyDescent="0.3">
      <c r="A1" s="1">
        <v>31</v>
      </c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28"/>
      <c r="AG1" s="128"/>
      <c r="AH1" s="4"/>
      <c r="AI1" s="5">
        <f>+AI14+AI20+AI27+AI33+AI39+AI45+AI53+AI62+AI67+AI73+AI79+AI85+AI91+AI97+AI103+AI109+AI121+AI115</f>
        <v>4166975.44</v>
      </c>
      <c r="AJ1" s="6">
        <f>+AI1/$A$1</f>
        <v>134418.56258064517</v>
      </c>
    </row>
    <row r="2" spans="1:36" x14ac:dyDescent="0.3">
      <c r="A2" s="2"/>
      <c r="B2" s="2"/>
      <c r="C2" s="3"/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2</v>
      </c>
      <c r="Y2" s="4" t="s">
        <v>3</v>
      </c>
      <c r="Z2" s="4" t="s">
        <v>4</v>
      </c>
      <c r="AA2" s="4" t="s">
        <v>5</v>
      </c>
      <c r="AB2" s="4" t="s">
        <v>6</v>
      </c>
      <c r="AC2" s="4" t="s">
        <v>7</v>
      </c>
      <c r="AD2" s="4" t="s">
        <v>8</v>
      </c>
      <c r="AE2" s="4" t="s">
        <v>2</v>
      </c>
      <c r="AF2" s="128" t="s">
        <v>3</v>
      </c>
      <c r="AG2" s="128" t="s">
        <v>4</v>
      </c>
      <c r="AH2" s="4" t="s">
        <v>5</v>
      </c>
      <c r="AI2" s="4" t="s">
        <v>9</v>
      </c>
      <c r="AJ2" s="6">
        <f>+AJ1*31</f>
        <v>4166975.4400000004</v>
      </c>
    </row>
    <row r="3" spans="1:36" ht="15" thickBot="1" x14ac:dyDescent="0.35">
      <c r="A3" s="2"/>
      <c r="B3" s="2" t="s">
        <v>10</v>
      </c>
      <c r="C3" s="3" t="s">
        <v>11</v>
      </c>
      <c r="D3" s="7">
        <v>1</v>
      </c>
      <c r="E3" s="8">
        <f>+D3+1</f>
        <v>2</v>
      </c>
      <c r="F3" s="8">
        <f t="shared" ref="F3:AH3" si="0">+E3+1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8">
        <f t="shared" si="0"/>
        <v>8</v>
      </c>
      <c r="L3" s="8">
        <f t="shared" si="0"/>
        <v>9</v>
      </c>
      <c r="M3" s="8">
        <f t="shared" si="0"/>
        <v>10</v>
      </c>
      <c r="N3" s="8">
        <f t="shared" si="0"/>
        <v>11</v>
      </c>
      <c r="O3" s="8">
        <f t="shared" si="0"/>
        <v>12</v>
      </c>
      <c r="P3" s="8">
        <f t="shared" si="0"/>
        <v>13</v>
      </c>
      <c r="Q3" s="8">
        <f t="shared" si="0"/>
        <v>14</v>
      </c>
      <c r="R3" s="8">
        <f t="shared" si="0"/>
        <v>15</v>
      </c>
      <c r="S3" s="8">
        <f t="shared" si="0"/>
        <v>16</v>
      </c>
      <c r="T3" s="8">
        <f t="shared" si="0"/>
        <v>17</v>
      </c>
      <c r="U3" s="8">
        <f t="shared" si="0"/>
        <v>18</v>
      </c>
      <c r="V3" s="8">
        <f t="shared" si="0"/>
        <v>19</v>
      </c>
      <c r="W3" s="8">
        <f t="shared" si="0"/>
        <v>20</v>
      </c>
      <c r="X3" s="8">
        <f t="shared" si="0"/>
        <v>21</v>
      </c>
      <c r="Y3" s="8">
        <f t="shared" si="0"/>
        <v>22</v>
      </c>
      <c r="Z3" s="8">
        <f t="shared" si="0"/>
        <v>23</v>
      </c>
      <c r="AA3" s="8">
        <f t="shared" si="0"/>
        <v>24</v>
      </c>
      <c r="AB3" s="8">
        <f t="shared" si="0"/>
        <v>25</v>
      </c>
      <c r="AC3" s="8">
        <f t="shared" si="0"/>
        <v>26</v>
      </c>
      <c r="AD3" s="8">
        <f t="shared" si="0"/>
        <v>27</v>
      </c>
      <c r="AE3" s="8">
        <f t="shared" si="0"/>
        <v>28</v>
      </c>
      <c r="AF3" s="129">
        <f t="shared" si="0"/>
        <v>29</v>
      </c>
      <c r="AG3" s="129">
        <f t="shared" si="0"/>
        <v>30</v>
      </c>
      <c r="AH3" s="8">
        <f t="shared" si="0"/>
        <v>31</v>
      </c>
      <c r="AI3" s="4" t="s">
        <v>12</v>
      </c>
      <c r="AJ3" s="6"/>
    </row>
    <row r="4" spans="1:36" ht="15" thickTop="1" x14ac:dyDescent="0.3">
      <c r="A4" s="2">
        <f>+A10+A16+A23+A29+A35+A41+A49+A58+A63+A69+A75+A81+A87+A93+A99+A105+A117+A111</f>
        <v>2079</v>
      </c>
      <c r="B4" s="28" t="s">
        <v>14</v>
      </c>
      <c r="C4" s="29" t="s">
        <v>15</v>
      </c>
      <c r="D4" s="30">
        <f>+D10+D16+D23+D29+D35+D41+D49+D58+D63+D69+D75+D81+D87+D93+D99+D105+D117</f>
        <v>1298</v>
      </c>
      <c r="E4" s="30">
        <f t="shared" ref="E4:J4" si="1">+E10+E16+E23+E29+E35+E41+E49+E58+E63+E69+E75+E81+E87+E93+E99+E105+E117</f>
        <v>1355</v>
      </c>
      <c r="F4" s="30">
        <f t="shared" si="1"/>
        <v>1383</v>
      </c>
      <c r="G4" s="30">
        <f t="shared" si="1"/>
        <v>1419</v>
      </c>
      <c r="H4" s="30">
        <f t="shared" si="1"/>
        <v>1517</v>
      </c>
      <c r="I4" s="30">
        <f t="shared" si="1"/>
        <v>1598</v>
      </c>
      <c r="J4" s="30">
        <f t="shared" si="1"/>
        <v>1285</v>
      </c>
      <c r="K4" s="30">
        <f t="shared" ref="K4:AH4" si="2">+K10+K16+K23+K29+K35+K41+K49+K58+K63+K69+K75+K81+K87+K93+K99+K105+K117</f>
        <v>1325</v>
      </c>
      <c r="L4" s="30">
        <f t="shared" si="2"/>
        <v>1403</v>
      </c>
      <c r="M4" s="30">
        <f t="shared" si="2"/>
        <v>1430</v>
      </c>
      <c r="N4" s="30">
        <f t="shared" si="2"/>
        <v>1459</v>
      </c>
      <c r="O4" s="30">
        <f t="shared" si="2"/>
        <v>1677</v>
      </c>
      <c r="P4" s="30">
        <f t="shared" si="2"/>
        <v>1763</v>
      </c>
      <c r="Q4" s="30">
        <f t="shared" si="2"/>
        <v>1324</v>
      </c>
      <c r="R4" s="30">
        <f t="shared" si="2"/>
        <v>1424</v>
      </c>
      <c r="S4" s="30">
        <f t="shared" si="2"/>
        <v>1465</v>
      </c>
      <c r="T4" s="30">
        <f t="shared" si="2"/>
        <v>1545</v>
      </c>
      <c r="U4" s="30">
        <f t="shared" si="2"/>
        <v>1549</v>
      </c>
      <c r="V4" s="30">
        <f t="shared" si="2"/>
        <v>1772</v>
      </c>
      <c r="W4" s="30">
        <f t="shared" si="2"/>
        <v>1768</v>
      </c>
      <c r="X4" s="30">
        <f t="shared" si="2"/>
        <v>1209</v>
      </c>
      <c r="Y4" s="30">
        <f t="shared" si="2"/>
        <v>1327</v>
      </c>
      <c r="Z4" s="30">
        <f t="shared" si="2"/>
        <v>1456</v>
      </c>
      <c r="AA4" s="30">
        <f t="shared" si="2"/>
        <v>1496</v>
      </c>
      <c r="AB4" s="30">
        <f t="shared" si="2"/>
        <v>1486</v>
      </c>
      <c r="AC4" s="30">
        <f t="shared" si="2"/>
        <v>1649</v>
      </c>
      <c r="AD4" s="30">
        <f t="shared" si="2"/>
        <v>1734</v>
      </c>
      <c r="AE4" s="30">
        <f t="shared" si="2"/>
        <v>1140</v>
      </c>
      <c r="AF4" s="30">
        <f t="shared" si="2"/>
        <v>1247</v>
      </c>
      <c r="AG4" s="30">
        <f t="shared" si="2"/>
        <v>1292</v>
      </c>
      <c r="AH4" s="30">
        <f t="shared" si="2"/>
        <v>1358</v>
      </c>
      <c r="AI4" s="89">
        <f>SUM(D4:AG4)</f>
        <v>43795</v>
      </c>
      <c r="AJ4" s="6"/>
    </row>
    <row r="5" spans="1:36" x14ac:dyDescent="0.3">
      <c r="A5" s="2"/>
      <c r="B5" s="33"/>
      <c r="C5" s="34" t="s">
        <v>16</v>
      </c>
      <c r="D5" s="35">
        <f>+D4/$A$4</f>
        <v>0.6243386243386243</v>
      </c>
      <c r="E5" s="35">
        <f t="shared" ref="E5:U5" si="3">+E4/$A$4</f>
        <v>0.65175565175565175</v>
      </c>
      <c r="F5" s="35">
        <f t="shared" si="3"/>
        <v>0.66522366522366527</v>
      </c>
      <c r="G5" s="35">
        <f t="shared" si="3"/>
        <v>0.68253968253968256</v>
      </c>
      <c r="H5" s="35">
        <f t="shared" si="3"/>
        <v>0.7296777296777297</v>
      </c>
      <c r="I5" s="35">
        <f t="shared" si="3"/>
        <v>0.76863876863876868</v>
      </c>
      <c r="J5" s="35">
        <f t="shared" si="3"/>
        <v>0.61808561808561813</v>
      </c>
      <c r="K5" s="35">
        <f t="shared" si="3"/>
        <v>0.6373256373256373</v>
      </c>
      <c r="L5" s="35">
        <f t="shared" ref="L5:Q5" si="4">+L4/$A$4</f>
        <v>0.6748436748436748</v>
      </c>
      <c r="M5" s="35">
        <f t="shared" si="4"/>
        <v>0.68783068783068779</v>
      </c>
      <c r="N5" s="35">
        <f t="shared" si="4"/>
        <v>0.70177970177970173</v>
      </c>
      <c r="O5" s="35">
        <f t="shared" si="4"/>
        <v>0.8066378066378066</v>
      </c>
      <c r="P5" s="35">
        <f t="shared" si="4"/>
        <v>0.84800384800384798</v>
      </c>
      <c r="Q5" s="35">
        <f t="shared" si="4"/>
        <v>0.63684463684463688</v>
      </c>
      <c r="R5" s="35">
        <f t="shared" si="3"/>
        <v>0.68494468494468497</v>
      </c>
      <c r="S5" s="35">
        <f t="shared" si="3"/>
        <v>0.70466570466570466</v>
      </c>
      <c r="T5" s="35">
        <f>+T4/$A$4</f>
        <v>0.74314574314574311</v>
      </c>
      <c r="U5" s="35">
        <f t="shared" si="3"/>
        <v>0.7450697450697451</v>
      </c>
      <c r="V5" s="35">
        <f t="shared" ref="V5:AH5" si="5">+V4/$A$4</f>
        <v>0.85233285233285239</v>
      </c>
      <c r="W5" s="35">
        <f t="shared" si="5"/>
        <v>0.85040885040885039</v>
      </c>
      <c r="X5" s="35">
        <f t="shared" si="5"/>
        <v>0.58152958152958156</v>
      </c>
      <c r="Y5" s="35">
        <f t="shared" si="5"/>
        <v>0.63828763828763824</v>
      </c>
      <c r="Z5" s="35">
        <f t="shared" si="5"/>
        <v>0.70033670033670037</v>
      </c>
      <c r="AA5" s="35">
        <f t="shared" si="5"/>
        <v>0.71957671957671954</v>
      </c>
      <c r="AB5" s="35">
        <f t="shared" si="5"/>
        <v>0.71476671476671472</v>
      </c>
      <c r="AC5" s="35">
        <f t="shared" si="5"/>
        <v>0.79316979316979319</v>
      </c>
      <c r="AD5" s="35">
        <f t="shared" si="5"/>
        <v>0.83405483405483405</v>
      </c>
      <c r="AE5" s="35">
        <f t="shared" si="5"/>
        <v>0.54834054834054835</v>
      </c>
      <c r="AF5" s="35">
        <f t="shared" si="5"/>
        <v>0.59980759980759979</v>
      </c>
      <c r="AG5" s="35">
        <f t="shared" si="5"/>
        <v>0.62145262145262148</v>
      </c>
      <c r="AH5" s="35">
        <f t="shared" si="5"/>
        <v>0.65319865319865322</v>
      </c>
      <c r="AI5" s="36">
        <f>AI4/(A4*A$1)</f>
        <v>0.67952955049729247</v>
      </c>
      <c r="AJ5" s="6"/>
    </row>
    <row r="6" spans="1:36" x14ac:dyDescent="0.3">
      <c r="A6" s="2"/>
      <c r="B6" s="33"/>
      <c r="C6" s="34" t="s">
        <v>17</v>
      </c>
      <c r="D6" s="37">
        <f t="shared" ref="D6:M6" si="6">+IFERROR(D8/D4,0)</f>
        <v>87.21142526964563</v>
      </c>
      <c r="E6" s="37">
        <f t="shared" si="6"/>
        <v>86.434516605166039</v>
      </c>
      <c r="F6" s="37">
        <f t="shared" si="6"/>
        <v>87.681981200289229</v>
      </c>
      <c r="G6" s="37">
        <f t="shared" si="6"/>
        <v>85.99874559548978</v>
      </c>
      <c r="H6" s="37">
        <f t="shared" si="6"/>
        <v>89.389999999999986</v>
      </c>
      <c r="I6" s="37">
        <f t="shared" si="6"/>
        <v>91.54833541927411</v>
      </c>
      <c r="J6" s="37">
        <f t="shared" si="6"/>
        <v>86.707533073929966</v>
      </c>
      <c r="K6" s="37">
        <f t="shared" si="6"/>
        <v>87.335864150943394</v>
      </c>
      <c r="L6" s="37">
        <f t="shared" si="6"/>
        <v>89.693649322879523</v>
      </c>
      <c r="M6" s="37">
        <f t="shared" si="6"/>
        <v>88.424965034965027</v>
      </c>
      <c r="N6" s="37">
        <f t="shared" ref="N6:S6" si="7">+IFERROR(N8/N4,0)</f>
        <v>89.382453735435234</v>
      </c>
      <c r="O6" s="37">
        <f t="shared" si="7"/>
        <v>93.143798449612405</v>
      </c>
      <c r="P6" s="37">
        <f t="shared" si="7"/>
        <v>93.538496880317638</v>
      </c>
      <c r="Q6" s="37">
        <f t="shared" si="7"/>
        <v>89.898141993957708</v>
      </c>
      <c r="R6" s="37">
        <f t="shared" si="7"/>
        <v>90.097759831460664</v>
      </c>
      <c r="S6" s="37">
        <f t="shared" si="7"/>
        <v>91.415201365187713</v>
      </c>
      <c r="T6" s="37">
        <f t="shared" ref="T6:AH6" si="8">+IFERROR(T8/T4,0)</f>
        <v>91.31989644012944</v>
      </c>
      <c r="U6" s="37">
        <f t="shared" si="8"/>
        <v>91.899096191091033</v>
      </c>
      <c r="V6" s="37">
        <f t="shared" si="8"/>
        <v>97.85798532731377</v>
      </c>
      <c r="W6" s="37">
        <f t="shared" si="8"/>
        <v>100.02395361990951</v>
      </c>
      <c r="X6" s="37">
        <f t="shared" si="8"/>
        <v>91.603531844499585</v>
      </c>
      <c r="Y6" s="37">
        <f t="shared" si="8"/>
        <v>94.170037678975149</v>
      </c>
      <c r="Z6" s="37">
        <f t="shared" si="8"/>
        <v>94.165927197802191</v>
      </c>
      <c r="AA6" s="37">
        <f t="shared" si="8"/>
        <v>95.945180481283415</v>
      </c>
      <c r="AB6" s="37">
        <f t="shared" si="8"/>
        <v>94.137281292059214</v>
      </c>
      <c r="AC6" s="37">
        <f t="shared" si="8"/>
        <v>98.513644633110971</v>
      </c>
      <c r="AD6" s="37">
        <f t="shared" si="8"/>
        <v>105.36678200692042</v>
      </c>
      <c r="AE6" s="37">
        <f t="shared" si="8"/>
        <v>92.56499122807017</v>
      </c>
      <c r="AF6" s="37">
        <f t="shared" si="8"/>
        <v>92.752157177225342</v>
      </c>
      <c r="AG6" s="37">
        <f t="shared" si="8"/>
        <v>97.217492260061917</v>
      </c>
      <c r="AH6" s="37">
        <f t="shared" si="8"/>
        <v>96.585552282768774</v>
      </c>
      <c r="AI6" s="38">
        <f>AI8/AI4</f>
        <v>95.461706587509994</v>
      </c>
      <c r="AJ6" s="6"/>
    </row>
    <row r="7" spans="1:36" x14ac:dyDescent="0.3">
      <c r="A7" s="2"/>
      <c r="B7" s="33"/>
      <c r="C7" s="34" t="s">
        <v>18</v>
      </c>
      <c r="D7" s="37">
        <f t="shared" ref="D7:AH7" si="9">+IFERROR(D6*D5,0)</f>
        <v>54.449461279461289</v>
      </c>
      <c r="E7" s="37">
        <f t="shared" si="9"/>
        <v>56.334184704184693</v>
      </c>
      <c r="F7" s="37">
        <f t="shared" si="9"/>
        <v>58.328128908128917</v>
      </c>
      <c r="G7" s="37">
        <f t="shared" si="9"/>
        <v>58.697556517556521</v>
      </c>
      <c r="H7" s="37">
        <f t="shared" si="9"/>
        <v>65.225892255892248</v>
      </c>
      <c r="I7" s="37">
        <f t="shared" si="9"/>
        <v>70.367599807599831</v>
      </c>
      <c r="J7" s="37">
        <f t="shared" si="9"/>
        <v>53.592679172679176</v>
      </c>
      <c r="K7" s="37">
        <f t="shared" si="9"/>
        <v>55.661385281385279</v>
      </c>
      <c r="L7" s="37">
        <f t="shared" si="9"/>
        <v>60.529191919191902</v>
      </c>
      <c r="M7" s="37">
        <f t="shared" si="9"/>
        <v>60.82140452140451</v>
      </c>
      <c r="N7" s="37">
        <f t="shared" si="9"/>
        <v>62.726791726791724</v>
      </c>
      <c r="O7" s="37">
        <f t="shared" si="9"/>
        <v>75.133309283309288</v>
      </c>
      <c r="P7" s="37">
        <f t="shared" si="9"/>
        <v>79.321005291005292</v>
      </c>
      <c r="Q7" s="37">
        <f t="shared" si="9"/>
        <v>57.251149591149598</v>
      </c>
      <c r="R7" s="37">
        <f t="shared" si="9"/>
        <v>61.711981721981715</v>
      </c>
      <c r="S7" s="37">
        <f t="shared" si="9"/>
        <v>64.417157287157281</v>
      </c>
      <c r="T7" s="37">
        <f t="shared" si="9"/>
        <v>67.863992303992291</v>
      </c>
      <c r="U7" s="37">
        <f t="shared" si="9"/>
        <v>68.471236171236185</v>
      </c>
      <c r="V7" s="37">
        <f t="shared" si="9"/>
        <v>83.407575757575756</v>
      </c>
      <c r="W7" s="37">
        <f t="shared" si="9"/>
        <v>85.061255411255416</v>
      </c>
      <c r="X7" s="37">
        <f t="shared" si="9"/>
        <v>53.270163540163544</v>
      </c>
      <c r="Y7" s="37">
        <f t="shared" si="9"/>
        <v>60.107570947570956</v>
      </c>
      <c r="Z7" s="37">
        <f t="shared" si="9"/>
        <v>65.94785473785474</v>
      </c>
      <c r="AA7" s="37">
        <f t="shared" si="9"/>
        <v>69.039918229918214</v>
      </c>
      <c r="AB7" s="37">
        <f t="shared" si="9"/>
        <v>67.28619528619528</v>
      </c>
      <c r="AC7" s="37">
        <f t="shared" si="9"/>
        <v>78.138047138047142</v>
      </c>
      <c r="AD7" s="37">
        <f t="shared" si="9"/>
        <v>87.881673881673876</v>
      </c>
      <c r="AE7" s="37">
        <f t="shared" si="9"/>
        <v>50.757138047138042</v>
      </c>
      <c r="AF7" s="37">
        <f t="shared" si="9"/>
        <v>55.633448773448769</v>
      </c>
      <c r="AG7" s="37">
        <f t="shared" si="9"/>
        <v>60.416065416065415</v>
      </c>
      <c r="AH7" s="37">
        <f t="shared" si="9"/>
        <v>63.089552669552667</v>
      </c>
      <c r="AI7" s="38">
        <f>AI6*AI5</f>
        <v>64.869050567115096</v>
      </c>
      <c r="AJ7" s="6"/>
    </row>
    <row r="8" spans="1:36" x14ac:dyDescent="0.3">
      <c r="A8" s="2"/>
      <c r="B8" s="33"/>
      <c r="C8" s="34" t="s">
        <v>19</v>
      </c>
      <c r="D8" s="20">
        <f t="shared" ref="D8:W8" si="10">+IFERROR(D14+D20+D27+D33+D39+D45+D53+D62+D67+D73+D79+D85+D91+D97+D103+D109+D115+D121,0)</f>
        <v>113200.43000000002</v>
      </c>
      <c r="E8" s="20">
        <f t="shared" si="10"/>
        <v>117118.76999999999</v>
      </c>
      <c r="F8" s="20">
        <f t="shared" si="10"/>
        <v>121264.18000000001</v>
      </c>
      <c r="G8" s="20">
        <f t="shared" si="10"/>
        <v>122032.22</v>
      </c>
      <c r="H8" s="20">
        <f t="shared" si="10"/>
        <v>135604.62999999998</v>
      </c>
      <c r="I8" s="20">
        <f t="shared" si="10"/>
        <v>146294.24000000002</v>
      </c>
      <c r="J8" s="20">
        <f t="shared" si="10"/>
        <v>111419.18000000001</v>
      </c>
      <c r="K8" s="20">
        <f t="shared" si="10"/>
        <v>115720.02</v>
      </c>
      <c r="L8" s="20">
        <f t="shared" si="10"/>
        <v>125840.18999999997</v>
      </c>
      <c r="M8" s="20">
        <f t="shared" si="10"/>
        <v>126447.7</v>
      </c>
      <c r="N8" s="20">
        <f t="shared" si="10"/>
        <v>130409</v>
      </c>
      <c r="O8" s="20">
        <f t="shared" si="10"/>
        <v>156202.15</v>
      </c>
      <c r="P8" s="20">
        <f t="shared" si="10"/>
        <v>164908.37</v>
      </c>
      <c r="Q8" s="20">
        <f t="shared" si="10"/>
        <v>119025.14</v>
      </c>
      <c r="R8" s="20">
        <f t="shared" si="10"/>
        <v>128299.20999999999</v>
      </c>
      <c r="S8" s="20">
        <f t="shared" si="10"/>
        <v>133923.26999999999</v>
      </c>
      <c r="T8" s="20">
        <f t="shared" si="10"/>
        <v>141089.24</v>
      </c>
      <c r="U8" s="20">
        <f t="shared" si="10"/>
        <v>142351.70000000001</v>
      </c>
      <c r="V8" s="20">
        <f t="shared" si="10"/>
        <v>173404.35</v>
      </c>
      <c r="W8" s="20">
        <f t="shared" si="10"/>
        <v>176842.35</v>
      </c>
      <c r="X8" s="20">
        <f t="shared" ref="X8:AD8" si="11">+IFERROR(X14+X20+X27+X33+X39+X45+X53+X62+X67+X73+X79+X85+X91+X97+X103+X109+X115+X121,0)</f>
        <v>110748.67</v>
      </c>
      <c r="Y8" s="20">
        <f t="shared" si="11"/>
        <v>124963.64000000001</v>
      </c>
      <c r="Z8" s="20">
        <f t="shared" si="11"/>
        <v>137105.59</v>
      </c>
      <c r="AA8" s="20">
        <f t="shared" si="11"/>
        <v>143533.99</v>
      </c>
      <c r="AB8" s="20">
        <f t="shared" si="11"/>
        <v>139888</v>
      </c>
      <c r="AC8" s="20">
        <f t="shared" si="11"/>
        <v>162449</v>
      </c>
      <c r="AD8" s="20">
        <f t="shared" si="11"/>
        <v>182706</v>
      </c>
      <c r="AE8" s="20">
        <f>+IFERROR(AE14+AE20+AE27+AE33+AE39+AE45+AE53+AE62+AE67+AE73+AE79+AE85+AE91+AE97+AE103+AE109+AE115+AE121,0)</f>
        <v>105524.09</v>
      </c>
      <c r="AF8" s="20">
        <f>+IFERROR(AF14+AF20+AF27+AF33+AF39+AF45+AF53+AF62+AF67+AF73+AF79+AF85+AF91+AF97+AF103+AF109+AF115+AF121,0)</f>
        <v>115661.94</v>
      </c>
      <c r="AG8" s="20">
        <f>+IFERROR(AG14+AG20+AG27+AG33+AG39+AG45+AG53+AG62+AG67+AG73+AG79+AG85+AG91+AG97+AG103+AG109+AG115+AG121,0)</f>
        <v>125605</v>
      </c>
      <c r="AH8" s="20">
        <f>+IFERROR(AH14+AH20+AH27+AH33+AH39+AH45+AH53+AH62+AH67+AH73+AH79+AH85+AH91+AH97+AH103+AH109+AH115+AH121,0)</f>
        <v>131163.18</v>
      </c>
      <c r="AI8" s="39">
        <f>SUM(D8:AH8)</f>
        <v>4180745.4400000004</v>
      </c>
      <c r="AJ8" s="6"/>
    </row>
    <row r="9" spans="1:36" ht="15" thickBot="1" x14ac:dyDescent="0.35">
      <c r="A9" s="23"/>
      <c r="B9" s="48"/>
      <c r="C9" s="41" t="s">
        <v>20</v>
      </c>
      <c r="D9" s="49">
        <f>IFERROR(AVERAGE(D15,D21,D28,D34,D40,D46,D56,D68,D74,D80,D86,D92,D98,D104,D110,D116,D122),0)</f>
        <v>0.20998751365772295</v>
      </c>
      <c r="E9" s="49">
        <f t="shared" ref="E9:K9" si="12">IFERROR(AVERAGE(E15,E21,E28,E34,E40,E46,E56,E68,E74,E80,E86,E92,E98,E104,E110,E116,E122),0)</f>
        <v>0.17375562124605143</v>
      </c>
      <c r="F9" s="49">
        <f t="shared" si="12"/>
        <v>0.17823149986762593</v>
      </c>
      <c r="G9" s="49">
        <f t="shared" si="12"/>
        <v>0.16442416184133571</v>
      </c>
      <c r="H9" s="49">
        <f t="shared" si="12"/>
        <v>0.14699665135236059</v>
      </c>
      <c r="I9" s="49">
        <f t="shared" si="12"/>
        <v>0.10176433596421175</v>
      </c>
      <c r="J9" s="49">
        <f t="shared" si="12"/>
        <v>0.14394016904339152</v>
      </c>
      <c r="K9" s="49">
        <f t="shared" si="12"/>
        <v>0.23230221066228854</v>
      </c>
      <c r="L9" s="49">
        <f t="shared" ref="L9:X9" si="13">IFERROR(AVERAGE(L15,L21,L28,L34,L40,L46,L56,L68,L74,L80,L86,L92,L98,L104,L110,L116,L122),0)</f>
        <v>0.18709282292860327</v>
      </c>
      <c r="M9" s="49">
        <f t="shared" si="13"/>
        <v>0.17308440739801462</v>
      </c>
      <c r="N9" s="49">
        <f t="shared" si="13"/>
        <v>0.17904396375877504</v>
      </c>
      <c r="O9" s="49">
        <f t="shared" si="13"/>
        <v>0.12158448128908868</v>
      </c>
      <c r="P9" s="49">
        <f t="shared" si="13"/>
        <v>6.4910304830465143E-2</v>
      </c>
      <c r="Q9" s="49">
        <f t="shared" si="13"/>
        <v>0.11097889216117199</v>
      </c>
      <c r="R9" s="49">
        <f t="shared" si="13"/>
        <v>0.15043968881158845</v>
      </c>
      <c r="S9" s="49">
        <f t="shared" si="13"/>
        <v>0.15890597719082394</v>
      </c>
      <c r="T9" s="49">
        <f t="shared" si="13"/>
        <v>0.13518048686712009</v>
      </c>
      <c r="U9" s="49">
        <f t="shared" si="13"/>
        <v>0.14739266936866488</v>
      </c>
      <c r="V9" s="49">
        <f t="shared" si="13"/>
        <v>0.11023412101102782</v>
      </c>
      <c r="W9" s="49">
        <f t="shared" si="13"/>
        <v>7.0955230132579455E-2</v>
      </c>
      <c r="X9" s="49">
        <f t="shared" si="13"/>
        <v>0.13413190555303595</v>
      </c>
      <c r="Y9" s="49">
        <f t="shared" ref="Y9:AG9" si="14">IFERROR(AVERAGE(Y15,Y21,Y28,Y34,Y40,Y46,Y56,Y68,Y74,Y80,Y86,Y92,Y98,Y104,Y110,Y116,Y122),0)</f>
        <v>0.17533318426531758</v>
      </c>
      <c r="Z9" s="49">
        <f t="shared" si="14"/>
        <v>0.1751370605792123</v>
      </c>
      <c r="AA9" s="49">
        <f t="shared" si="14"/>
        <v>0.17693131479677837</v>
      </c>
      <c r="AB9" s="49">
        <f t="shared" si="14"/>
        <v>0.16289132447346352</v>
      </c>
      <c r="AC9" s="49">
        <f t="shared" si="14"/>
        <v>0.13590814711076324</v>
      </c>
      <c r="AD9" s="49">
        <f t="shared" si="14"/>
        <v>7.7544521069846495E-2</v>
      </c>
      <c r="AE9" s="49">
        <f t="shared" si="14"/>
        <v>0.17166675742782497</v>
      </c>
      <c r="AF9" s="49">
        <f t="shared" si="14"/>
        <v>0.21877288542119455</v>
      </c>
      <c r="AG9" s="49">
        <f t="shared" si="14"/>
        <v>0.1729102945158966</v>
      </c>
      <c r="AH9" s="49"/>
      <c r="AI9" s="51">
        <f>AVERAGE(D9:AE9)</f>
        <v>0.14895533659496979</v>
      </c>
      <c r="AJ9" s="6"/>
    </row>
    <row r="10" spans="1:36" ht="15" thickTop="1" x14ac:dyDescent="0.3">
      <c r="A10" s="2">
        <v>103</v>
      </c>
      <c r="B10" s="9" t="s">
        <v>21</v>
      </c>
      <c r="C10" s="10" t="s">
        <v>15</v>
      </c>
      <c r="D10" s="11">
        <v>102</v>
      </c>
      <c r="E10" s="12">
        <v>98</v>
      </c>
      <c r="F10" s="12">
        <v>101</v>
      </c>
      <c r="G10" s="12">
        <v>102</v>
      </c>
      <c r="H10" s="12">
        <v>103</v>
      </c>
      <c r="I10" s="12">
        <v>90</v>
      </c>
      <c r="J10" s="12">
        <v>92</v>
      </c>
      <c r="K10" s="12">
        <v>96</v>
      </c>
      <c r="L10" s="12">
        <v>97</v>
      </c>
      <c r="M10" s="12">
        <v>101</v>
      </c>
      <c r="N10" s="12">
        <v>97</v>
      </c>
      <c r="O10" s="12">
        <v>99</v>
      </c>
      <c r="P10" s="12">
        <v>94</v>
      </c>
      <c r="Q10" s="12">
        <v>81</v>
      </c>
      <c r="R10" s="12">
        <v>99</v>
      </c>
      <c r="S10" s="12">
        <v>97</v>
      </c>
      <c r="T10" s="12">
        <v>102</v>
      </c>
      <c r="U10" s="12">
        <v>101</v>
      </c>
      <c r="V10" s="54">
        <v>102</v>
      </c>
      <c r="W10" s="54">
        <v>102</v>
      </c>
      <c r="X10" s="54">
        <v>94</v>
      </c>
      <c r="Y10" s="54">
        <v>101</v>
      </c>
      <c r="Z10" s="88">
        <v>98</v>
      </c>
      <c r="AA10" s="12">
        <v>100</v>
      </c>
      <c r="AB10" s="12">
        <v>100</v>
      </c>
      <c r="AC10" s="12">
        <v>95</v>
      </c>
      <c r="AD10" s="12">
        <v>100</v>
      </c>
      <c r="AE10" s="12">
        <v>85</v>
      </c>
      <c r="AF10" s="131">
        <v>101</v>
      </c>
      <c r="AG10" s="131">
        <v>102</v>
      </c>
      <c r="AH10" s="12">
        <v>97</v>
      </c>
      <c r="AI10" s="13">
        <f>SUM(D10:AH10)</f>
        <v>3029</v>
      </c>
      <c r="AJ10" s="6"/>
    </row>
    <row r="11" spans="1:36" x14ac:dyDescent="0.3">
      <c r="A11" s="2"/>
      <c r="B11" s="14"/>
      <c r="C11" s="15" t="s">
        <v>16</v>
      </c>
      <c r="D11" s="16">
        <f>+D10/$A10</f>
        <v>0.99029126213592233</v>
      </c>
      <c r="E11" s="16">
        <f t="shared" ref="E11:P11" si="15">+E10/$A10</f>
        <v>0.95145631067961167</v>
      </c>
      <c r="F11" s="16">
        <f t="shared" si="15"/>
        <v>0.98058252427184467</v>
      </c>
      <c r="G11" s="16">
        <f t="shared" si="15"/>
        <v>0.99029126213592233</v>
      </c>
      <c r="H11" s="16">
        <f t="shared" si="15"/>
        <v>1</v>
      </c>
      <c r="I11" s="16">
        <f t="shared" si="15"/>
        <v>0.87378640776699024</v>
      </c>
      <c r="J11" s="16">
        <f t="shared" si="15"/>
        <v>0.89320388349514568</v>
      </c>
      <c r="K11" s="16">
        <f t="shared" si="15"/>
        <v>0.93203883495145634</v>
      </c>
      <c r="L11" s="16">
        <f t="shared" si="15"/>
        <v>0.94174757281553401</v>
      </c>
      <c r="M11" s="16">
        <f t="shared" si="15"/>
        <v>0.98058252427184467</v>
      </c>
      <c r="N11" s="16">
        <f t="shared" si="15"/>
        <v>0.94174757281553401</v>
      </c>
      <c r="O11" s="16">
        <f t="shared" si="15"/>
        <v>0.96116504854368934</v>
      </c>
      <c r="P11" s="16">
        <f t="shared" si="15"/>
        <v>0.91262135922330101</v>
      </c>
      <c r="Q11" s="16">
        <f t="shared" ref="Q11:AD11" si="16">+Q10/$A10</f>
        <v>0.78640776699029125</v>
      </c>
      <c r="R11" s="16">
        <f t="shared" si="16"/>
        <v>0.96116504854368934</v>
      </c>
      <c r="S11" s="16">
        <f t="shared" si="16"/>
        <v>0.94174757281553401</v>
      </c>
      <c r="T11" s="16">
        <f t="shared" si="16"/>
        <v>0.99029126213592233</v>
      </c>
      <c r="U11" s="16">
        <f t="shared" si="16"/>
        <v>0.98058252427184467</v>
      </c>
      <c r="V11" s="16">
        <f t="shared" si="16"/>
        <v>0.99029126213592233</v>
      </c>
      <c r="W11" s="16">
        <f t="shared" si="16"/>
        <v>0.99029126213592233</v>
      </c>
      <c r="X11" s="16">
        <f t="shared" si="16"/>
        <v>0.91262135922330101</v>
      </c>
      <c r="Y11" s="16">
        <f t="shared" si="16"/>
        <v>0.98058252427184467</v>
      </c>
      <c r="Z11" s="16">
        <f t="shared" si="16"/>
        <v>0.95145631067961167</v>
      </c>
      <c r="AA11" s="16">
        <f t="shared" si="16"/>
        <v>0.970873786407767</v>
      </c>
      <c r="AB11" s="16">
        <f t="shared" si="16"/>
        <v>0.970873786407767</v>
      </c>
      <c r="AC11" s="16">
        <f t="shared" si="16"/>
        <v>0.92233009708737868</v>
      </c>
      <c r="AD11" s="16">
        <f t="shared" si="16"/>
        <v>0.970873786407767</v>
      </c>
      <c r="AE11" s="16">
        <f>+AE10/$A10</f>
        <v>0.82524271844660191</v>
      </c>
      <c r="AF11" s="16">
        <f>+AF10/$A10</f>
        <v>0.98058252427184467</v>
      </c>
      <c r="AG11" s="16">
        <f>+AG10/$A10</f>
        <v>0.99029126213592233</v>
      </c>
      <c r="AH11" s="16">
        <f>+AH10/$A10</f>
        <v>0.94174757281553401</v>
      </c>
      <c r="AI11" s="17">
        <f>+AI10/(A10*A$1)</f>
        <v>0.9486376448481052</v>
      </c>
      <c r="AJ11" s="6"/>
    </row>
    <row r="12" spans="1:36" x14ac:dyDescent="0.3">
      <c r="A12" s="2"/>
      <c r="B12" s="14"/>
      <c r="C12" s="15" t="s">
        <v>17</v>
      </c>
      <c r="D12" s="18">
        <f t="shared" ref="D12:P12" si="17">+IFERROR(D14/D10,0)</f>
        <v>105.45294117647059</v>
      </c>
      <c r="E12" s="18">
        <f t="shared" si="17"/>
        <v>102.80816326530613</v>
      </c>
      <c r="F12" s="18">
        <f t="shared" si="17"/>
        <v>103.20990099009902</v>
      </c>
      <c r="G12" s="18">
        <f t="shared" si="17"/>
        <v>101.48235294117647</v>
      </c>
      <c r="H12" s="18">
        <f t="shared" si="17"/>
        <v>93.720485436893199</v>
      </c>
      <c r="I12" s="18">
        <f t="shared" si="17"/>
        <v>97.224444444444458</v>
      </c>
      <c r="J12" s="18">
        <f t="shared" si="17"/>
        <v>101.03695652173913</v>
      </c>
      <c r="K12" s="18">
        <f t="shared" si="17"/>
        <v>100.30145833333334</v>
      </c>
      <c r="L12" s="18">
        <f t="shared" si="17"/>
        <v>101.42701030927834</v>
      </c>
      <c r="M12" s="18">
        <f t="shared" si="17"/>
        <v>101.23633663366337</v>
      </c>
      <c r="N12" s="18">
        <f t="shared" si="17"/>
        <v>101.12371134020619</v>
      </c>
      <c r="O12" s="18">
        <f t="shared" si="17"/>
        <v>103.23232323232324</v>
      </c>
      <c r="P12" s="18">
        <f t="shared" si="17"/>
        <v>99.050957446808525</v>
      </c>
      <c r="Q12" s="18">
        <f t="shared" ref="Q12:AD12" si="18">+IFERROR(Q14/Q10,0)</f>
        <v>100.88888888888889</v>
      </c>
      <c r="R12" s="18">
        <f t="shared" si="18"/>
        <v>105.78242424242423</v>
      </c>
      <c r="S12" s="18">
        <f t="shared" si="18"/>
        <v>103.20546391752578</v>
      </c>
      <c r="T12" s="18">
        <f t="shared" si="18"/>
        <v>103.83950980392156</v>
      </c>
      <c r="U12" s="18">
        <f t="shared" si="18"/>
        <v>103.97762376237624</v>
      </c>
      <c r="V12" s="18">
        <f t="shared" si="18"/>
        <v>107.34313725490196</v>
      </c>
      <c r="W12" s="18">
        <f t="shared" si="18"/>
        <v>103.72549019607843</v>
      </c>
      <c r="X12" s="18">
        <f t="shared" si="18"/>
        <v>103.71276595744681</v>
      </c>
      <c r="Y12" s="18">
        <f t="shared" si="18"/>
        <v>106.81663366336633</v>
      </c>
      <c r="Z12" s="18">
        <f t="shared" si="18"/>
        <v>104.94367346938775</v>
      </c>
      <c r="AA12" s="18">
        <f t="shared" si="18"/>
        <v>106.54</v>
      </c>
      <c r="AB12" s="18">
        <f t="shared" si="18"/>
        <v>106.81</v>
      </c>
      <c r="AC12" s="18">
        <f t="shared" si="18"/>
        <v>103.65263157894736</v>
      </c>
      <c r="AD12" s="18">
        <f t="shared" si="18"/>
        <v>107.33</v>
      </c>
      <c r="AE12" s="18">
        <f>+IFERROR(AE14/AE10,0)</f>
        <v>103.32941176470588</v>
      </c>
      <c r="AF12" s="18">
        <f>+IFERROR(AF14/AF10,0)</f>
        <v>108.49227722772277</v>
      </c>
      <c r="AG12" s="18">
        <f>+IFERROR(AG14/AG10,0)</f>
        <v>108.5</v>
      </c>
      <c r="AH12" s="18">
        <f>+IFERROR(AH14/AH10,0)</f>
        <v>105.36082474226804</v>
      </c>
      <c r="AI12" s="19">
        <f>+AI14/AI10</f>
        <v>103.45991086167051</v>
      </c>
      <c r="AJ12" s="6"/>
    </row>
    <row r="13" spans="1:36" x14ac:dyDescent="0.3">
      <c r="A13" s="2"/>
      <c r="B13" s="14"/>
      <c r="C13" s="15" t="s">
        <v>18</v>
      </c>
      <c r="D13" s="18">
        <f>+D11*D12</f>
        <v>104.42912621359223</v>
      </c>
      <c r="E13" s="18">
        <f t="shared" ref="E13:P13" si="19">+E11*E12</f>
        <v>97.817475728155358</v>
      </c>
      <c r="F13" s="18">
        <f t="shared" si="19"/>
        <v>101.20582524271845</v>
      </c>
      <c r="G13" s="18">
        <f t="shared" si="19"/>
        <v>100.49708737864079</v>
      </c>
      <c r="H13" s="18">
        <f t="shared" si="19"/>
        <v>93.720485436893199</v>
      </c>
      <c r="I13" s="18">
        <f t="shared" si="19"/>
        <v>84.953398058252432</v>
      </c>
      <c r="J13" s="18">
        <f t="shared" si="19"/>
        <v>90.246601941747571</v>
      </c>
      <c r="K13" s="18">
        <f t="shared" si="19"/>
        <v>93.484854368932048</v>
      </c>
      <c r="L13" s="18">
        <f t="shared" si="19"/>
        <v>95.51864077669903</v>
      </c>
      <c r="M13" s="18">
        <f t="shared" si="19"/>
        <v>99.270582524271845</v>
      </c>
      <c r="N13" s="18">
        <f t="shared" si="19"/>
        <v>95.233009708737868</v>
      </c>
      <c r="O13" s="18">
        <f t="shared" si="19"/>
        <v>99.223300970873794</v>
      </c>
      <c r="P13" s="18">
        <f t="shared" si="19"/>
        <v>90.396019417475742</v>
      </c>
      <c r="Q13" s="18">
        <f t="shared" ref="Q13:AD13" si="20">+Q11*Q12</f>
        <v>79.339805825242721</v>
      </c>
      <c r="R13" s="18">
        <f t="shared" si="20"/>
        <v>101.67436893203882</v>
      </c>
      <c r="S13" s="18">
        <f t="shared" si="20"/>
        <v>97.193495145631076</v>
      </c>
      <c r="T13" s="18">
        <f t="shared" si="20"/>
        <v>102.83135922330096</v>
      </c>
      <c r="U13" s="18">
        <f t="shared" si="20"/>
        <v>101.95864077669903</v>
      </c>
      <c r="V13" s="18">
        <f t="shared" si="20"/>
        <v>106.30097087378641</v>
      </c>
      <c r="W13" s="18">
        <f t="shared" si="20"/>
        <v>102.71844660194174</v>
      </c>
      <c r="X13" s="18">
        <f t="shared" si="20"/>
        <v>94.650485436893206</v>
      </c>
      <c r="Y13" s="18">
        <f t="shared" si="20"/>
        <v>104.74252427184466</v>
      </c>
      <c r="Z13" s="18">
        <f t="shared" si="20"/>
        <v>99.849320388349511</v>
      </c>
      <c r="AA13" s="18">
        <f t="shared" si="20"/>
        <v>103.4368932038835</v>
      </c>
      <c r="AB13" s="18">
        <f t="shared" si="20"/>
        <v>103.6990291262136</v>
      </c>
      <c r="AC13" s="18">
        <f t="shared" si="20"/>
        <v>95.601941747572809</v>
      </c>
      <c r="AD13" s="18">
        <f t="shared" si="20"/>
        <v>104.20388349514563</v>
      </c>
      <c r="AE13" s="18">
        <f>+AE11*AE12</f>
        <v>85.271844660194176</v>
      </c>
      <c r="AF13" s="18">
        <f>+AF11*AF12</f>
        <v>106.38563106796116</v>
      </c>
      <c r="AG13" s="18">
        <f>+AG11*AG12</f>
        <v>107.44660194174757</v>
      </c>
      <c r="AH13" s="18">
        <f>+AH11*AH12</f>
        <v>99.22330097087378</v>
      </c>
      <c r="AI13" s="19">
        <f>+AI12*AI11</f>
        <v>98.145966176010006</v>
      </c>
      <c r="AJ13" s="6"/>
    </row>
    <row r="14" spans="1:36" x14ac:dyDescent="0.3">
      <c r="A14" s="2"/>
      <c r="B14" s="14"/>
      <c r="C14" s="15" t="s">
        <v>19</v>
      </c>
      <c r="D14" s="20">
        <v>10756.2</v>
      </c>
      <c r="E14" s="21">
        <v>10075.200000000001</v>
      </c>
      <c r="F14" s="21">
        <v>10424.200000000001</v>
      </c>
      <c r="G14" s="21">
        <v>10351.200000000001</v>
      </c>
      <c r="H14" s="21">
        <v>9653.2099999999991</v>
      </c>
      <c r="I14" s="21">
        <v>8750.2000000000007</v>
      </c>
      <c r="J14" s="21">
        <v>9295.4</v>
      </c>
      <c r="K14" s="21">
        <v>9628.94</v>
      </c>
      <c r="L14" s="21">
        <v>9838.42</v>
      </c>
      <c r="M14" s="21">
        <v>10224.870000000001</v>
      </c>
      <c r="N14" s="21">
        <v>9809</v>
      </c>
      <c r="O14" s="21">
        <v>10220</v>
      </c>
      <c r="P14" s="21">
        <v>9310.7900000000009</v>
      </c>
      <c r="Q14" s="21">
        <v>8172</v>
      </c>
      <c r="R14" s="21">
        <v>10472.459999999999</v>
      </c>
      <c r="S14" s="21">
        <v>10010.93</v>
      </c>
      <c r="T14" s="21">
        <v>10591.63</v>
      </c>
      <c r="U14" s="21">
        <v>10501.74</v>
      </c>
      <c r="V14" s="100">
        <v>10949</v>
      </c>
      <c r="W14" s="100">
        <v>10580</v>
      </c>
      <c r="X14" s="100">
        <v>9749</v>
      </c>
      <c r="Y14" s="100">
        <v>10788.48</v>
      </c>
      <c r="Z14" s="20">
        <v>10284.48</v>
      </c>
      <c r="AA14" s="21">
        <v>10654</v>
      </c>
      <c r="AB14" s="21">
        <v>10681</v>
      </c>
      <c r="AC14" s="21">
        <v>9847</v>
      </c>
      <c r="AD14" s="21">
        <v>10733</v>
      </c>
      <c r="AE14" s="21">
        <v>8783</v>
      </c>
      <c r="AF14" s="21">
        <v>10957.72</v>
      </c>
      <c r="AG14" s="21">
        <v>11067</v>
      </c>
      <c r="AH14" s="21">
        <v>10220</v>
      </c>
      <c r="AI14" s="22">
        <f>SUM(D14:AH14)</f>
        <v>313380.06999999995</v>
      </c>
      <c r="AJ14" s="6"/>
    </row>
    <row r="15" spans="1:36" ht="15" thickBot="1" x14ac:dyDescent="0.35">
      <c r="A15" s="23"/>
      <c r="B15" s="24"/>
      <c r="C15" s="15" t="s">
        <v>20</v>
      </c>
      <c r="D15" s="25">
        <f>1175.59/D14</f>
        <v>0.1092941745226009</v>
      </c>
      <c r="E15" s="26">
        <f>1264.77/E14</f>
        <v>0.12553299190090519</v>
      </c>
      <c r="F15" s="26">
        <f>1067.17/F14</f>
        <v>0.10237428291859327</v>
      </c>
      <c r="G15" s="26">
        <f>1171.86/G14</f>
        <v>0.1132100626014375</v>
      </c>
      <c r="H15" s="26">
        <f>1171.86/H14</f>
        <v>0.12139588799995027</v>
      </c>
      <c r="I15" s="26">
        <f>990.67/I14</f>
        <v>0.11321684075792551</v>
      </c>
      <c r="J15" s="26">
        <f>580.9/J14</f>
        <v>6.249327624416378E-2</v>
      </c>
      <c r="K15" s="26">
        <f>1303.49/K14</f>
        <v>0.13537211780320574</v>
      </c>
      <c r="L15" s="26">
        <f>1457.53/L14</f>
        <v>0.14814675527167981</v>
      </c>
      <c r="M15" s="26">
        <f>1363.4/M14</f>
        <v>0.13334154859670588</v>
      </c>
      <c r="N15" s="26">
        <f>1170.85/N14</f>
        <v>0.1193648689978591</v>
      </c>
      <c r="O15" s="26">
        <f>1330.48/O14</f>
        <v>0.1301839530332681</v>
      </c>
      <c r="P15" s="26">
        <f>354.06/P14</f>
        <v>3.8026848419951471E-2</v>
      </c>
      <c r="Q15" s="26">
        <f>644.16/Q14</f>
        <v>7.88252569750367E-2</v>
      </c>
      <c r="R15" s="26">
        <f>1412.14/R14</f>
        <v>0.13484319825523328</v>
      </c>
      <c r="S15" s="26">
        <f>1312.72/S14</f>
        <v>0.13112867635674208</v>
      </c>
      <c r="T15" s="26">
        <f>1052.49/T14</f>
        <v>9.9369974215489029E-2</v>
      </c>
      <c r="U15" s="26"/>
      <c r="V15" s="78">
        <f>1192.25/V14</f>
        <v>0.1088912229427345</v>
      </c>
      <c r="W15" s="78">
        <f>701.86/W14</f>
        <v>6.6338374291115318E-2</v>
      </c>
      <c r="X15" s="78">
        <f>571.56/X14</f>
        <v>5.8627551543748074E-2</v>
      </c>
      <c r="Y15" s="78">
        <f>1255.66/Y14</f>
        <v>0.11638896304205969</v>
      </c>
      <c r="Z15" s="78">
        <f>1305.88/Z14</f>
        <v>0.12697579265067366</v>
      </c>
      <c r="AA15" s="26">
        <f>1156.66/AA14</f>
        <v>0.10856579688379953</v>
      </c>
      <c r="AB15" s="26">
        <f>1445.43/AB14</f>
        <v>0.13532721655275723</v>
      </c>
      <c r="AC15" s="26">
        <f>1451.81/AC14</f>
        <v>0.14743678277648015</v>
      </c>
      <c r="AD15" s="26">
        <f>809.1/AD14</f>
        <v>7.5384328705860426E-2</v>
      </c>
      <c r="AE15" s="26">
        <f>1026.83/AE14</f>
        <v>0.11691107821928726</v>
      </c>
      <c r="AF15" s="26">
        <f>1300.93/AF14</f>
        <v>0.1187226904867071</v>
      </c>
      <c r="AG15" s="26">
        <f>1351.31/AG14</f>
        <v>0.12210264751061714</v>
      </c>
      <c r="AH15" s="26"/>
      <c r="AI15" s="27">
        <f>AVERAGE(D15:AG15)</f>
        <v>0.11026872967160645</v>
      </c>
      <c r="AJ15" s="6"/>
    </row>
    <row r="16" spans="1:36" ht="15" thickTop="1" x14ac:dyDescent="0.3">
      <c r="A16" s="2">
        <v>118</v>
      </c>
      <c r="B16" s="28" t="s">
        <v>25</v>
      </c>
      <c r="C16" s="29" t="s">
        <v>15</v>
      </c>
      <c r="D16" s="30">
        <v>117</v>
      </c>
      <c r="E16" s="31">
        <v>115</v>
      </c>
      <c r="F16" s="31">
        <v>109</v>
      </c>
      <c r="G16" s="31">
        <v>111</v>
      </c>
      <c r="H16" s="31">
        <v>116</v>
      </c>
      <c r="I16" s="31">
        <v>117</v>
      </c>
      <c r="J16" s="31">
        <v>106</v>
      </c>
      <c r="K16" s="31">
        <v>112</v>
      </c>
      <c r="L16" s="31">
        <v>109</v>
      </c>
      <c r="M16" s="31">
        <v>110</v>
      </c>
      <c r="N16" s="31">
        <v>117</v>
      </c>
      <c r="O16" s="31">
        <v>114</v>
      </c>
      <c r="P16" s="31">
        <v>115</v>
      </c>
      <c r="Q16" s="31">
        <v>106</v>
      </c>
      <c r="R16" s="31">
        <v>111</v>
      </c>
      <c r="S16" s="31">
        <v>114</v>
      </c>
      <c r="T16" s="31">
        <v>116</v>
      </c>
      <c r="U16" s="31">
        <v>115</v>
      </c>
      <c r="V16" s="31">
        <v>112</v>
      </c>
      <c r="W16" s="31">
        <v>117</v>
      </c>
      <c r="X16" s="31">
        <v>95</v>
      </c>
      <c r="Y16" s="31">
        <v>92</v>
      </c>
      <c r="Z16" s="31">
        <v>89</v>
      </c>
      <c r="AA16" s="31">
        <v>93</v>
      </c>
      <c r="AB16" s="31">
        <v>91</v>
      </c>
      <c r="AC16" s="31">
        <v>113</v>
      </c>
      <c r="AD16" s="31">
        <v>116</v>
      </c>
      <c r="AE16" s="31">
        <v>83</v>
      </c>
      <c r="AF16" s="133">
        <v>91</v>
      </c>
      <c r="AG16" s="133">
        <v>98</v>
      </c>
      <c r="AH16" s="31">
        <v>94</v>
      </c>
      <c r="AI16" s="89">
        <f>SUM(D16:AH16)</f>
        <v>3314</v>
      </c>
      <c r="AJ16" s="6"/>
    </row>
    <row r="17" spans="1:36" x14ac:dyDescent="0.3">
      <c r="A17" s="2"/>
      <c r="B17" s="33"/>
      <c r="C17" s="34" t="s">
        <v>16</v>
      </c>
      <c r="D17" s="35">
        <f>+D16/$A16</f>
        <v>0.99152542372881358</v>
      </c>
      <c r="E17" s="35">
        <f t="shared" ref="E17:W17" si="21">+E16/$A16</f>
        <v>0.97457627118644063</v>
      </c>
      <c r="F17" s="35">
        <f t="shared" si="21"/>
        <v>0.92372881355932202</v>
      </c>
      <c r="G17" s="35">
        <f t="shared" si="21"/>
        <v>0.94067796610169496</v>
      </c>
      <c r="H17" s="35">
        <f t="shared" si="21"/>
        <v>0.98305084745762716</v>
      </c>
      <c r="I17" s="35">
        <f t="shared" si="21"/>
        <v>0.99152542372881358</v>
      </c>
      <c r="J17" s="35">
        <f t="shared" si="21"/>
        <v>0.89830508474576276</v>
      </c>
      <c r="K17" s="35">
        <f t="shared" si="21"/>
        <v>0.94915254237288138</v>
      </c>
      <c r="L17" s="35">
        <f t="shared" si="21"/>
        <v>0.92372881355932202</v>
      </c>
      <c r="M17" s="35">
        <f t="shared" si="21"/>
        <v>0.93220338983050843</v>
      </c>
      <c r="N17" s="35">
        <f t="shared" si="21"/>
        <v>0.99152542372881358</v>
      </c>
      <c r="O17" s="35">
        <f t="shared" si="21"/>
        <v>0.96610169491525422</v>
      </c>
      <c r="P17" s="35">
        <f t="shared" si="21"/>
        <v>0.97457627118644063</v>
      </c>
      <c r="Q17" s="35">
        <f t="shared" si="21"/>
        <v>0.89830508474576276</v>
      </c>
      <c r="R17" s="35">
        <f t="shared" si="21"/>
        <v>0.94067796610169496</v>
      </c>
      <c r="S17" s="35">
        <f t="shared" si="21"/>
        <v>0.96610169491525422</v>
      </c>
      <c r="T17" s="35">
        <f t="shared" si="21"/>
        <v>0.98305084745762716</v>
      </c>
      <c r="U17" s="35">
        <f t="shared" si="21"/>
        <v>0.97457627118644063</v>
      </c>
      <c r="V17" s="35">
        <f t="shared" si="21"/>
        <v>0.94915254237288138</v>
      </c>
      <c r="W17" s="35">
        <f t="shared" si="21"/>
        <v>0.99152542372881358</v>
      </c>
      <c r="X17" s="35">
        <f t="shared" ref="X17:AH17" si="22">+X16/$A16</f>
        <v>0.80508474576271183</v>
      </c>
      <c r="Y17" s="35">
        <f t="shared" si="22"/>
        <v>0.77966101694915257</v>
      </c>
      <c r="Z17" s="35">
        <f t="shared" si="22"/>
        <v>0.75423728813559321</v>
      </c>
      <c r="AA17" s="35">
        <f t="shared" si="22"/>
        <v>0.78813559322033899</v>
      </c>
      <c r="AB17" s="35">
        <f t="shared" si="22"/>
        <v>0.77118644067796616</v>
      </c>
      <c r="AC17" s="35">
        <f t="shared" si="22"/>
        <v>0.9576271186440678</v>
      </c>
      <c r="AD17" s="35">
        <f t="shared" si="22"/>
        <v>0.98305084745762716</v>
      </c>
      <c r="AE17" s="35">
        <f t="shared" si="22"/>
        <v>0.70338983050847459</v>
      </c>
      <c r="AF17" s="35">
        <f t="shared" si="22"/>
        <v>0.77118644067796616</v>
      </c>
      <c r="AG17" s="35">
        <f t="shared" si="22"/>
        <v>0.83050847457627119</v>
      </c>
      <c r="AH17" s="35">
        <f t="shared" si="22"/>
        <v>0.79661016949152541</v>
      </c>
      <c r="AI17" s="36">
        <f>+AI16/(A16*A$1)</f>
        <v>0.90595954073264073</v>
      </c>
      <c r="AJ17" s="6"/>
    </row>
    <row r="18" spans="1:36" x14ac:dyDescent="0.3">
      <c r="A18" s="2"/>
      <c r="B18" s="33"/>
      <c r="C18" s="34" t="s">
        <v>17</v>
      </c>
      <c r="D18" s="37">
        <f t="shared" ref="D18:U18" si="23">+IFERROR(D20/D16,0)</f>
        <v>79.393247863247865</v>
      </c>
      <c r="E18" s="37">
        <f t="shared" si="23"/>
        <v>79.115304347826083</v>
      </c>
      <c r="F18" s="37">
        <f t="shared" si="23"/>
        <v>79.719357798165134</v>
      </c>
      <c r="G18" s="37">
        <f t="shared" si="23"/>
        <v>78.963783783783782</v>
      </c>
      <c r="H18" s="37">
        <f t="shared" si="23"/>
        <v>80.254051724137923</v>
      </c>
      <c r="I18" s="37">
        <f t="shared" si="23"/>
        <v>80.035384615384615</v>
      </c>
      <c r="J18" s="37">
        <f t="shared" si="23"/>
        <v>76.535471698113213</v>
      </c>
      <c r="K18" s="37">
        <f t="shared" si="23"/>
        <v>77.421160714285719</v>
      </c>
      <c r="L18" s="37">
        <f t="shared" si="23"/>
        <v>78.578532110091743</v>
      </c>
      <c r="M18" s="37">
        <f t="shared" si="23"/>
        <v>78.183727272727268</v>
      </c>
      <c r="N18" s="37">
        <f t="shared" si="23"/>
        <v>81.256410256410263</v>
      </c>
      <c r="O18" s="37">
        <f t="shared" si="23"/>
        <v>84.807017543859644</v>
      </c>
      <c r="P18" s="37">
        <f t="shared" si="23"/>
        <v>87.121739130434776</v>
      </c>
      <c r="Q18" s="37">
        <f t="shared" si="23"/>
        <v>78.79245283018868</v>
      </c>
      <c r="R18" s="37">
        <f t="shared" si="23"/>
        <v>81.824684684684698</v>
      </c>
      <c r="S18" s="37">
        <f t="shared" si="23"/>
        <v>81.292017543859657</v>
      </c>
      <c r="T18" s="37">
        <f t="shared" si="23"/>
        <v>81.91379310344827</v>
      </c>
      <c r="U18" s="37">
        <f t="shared" si="23"/>
        <v>81.240434782608688</v>
      </c>
      <c r="V18" s="37">
        <f>+IFERROR(V20/V16,0)</f>
        <v>83.892857142857139</v>
      </c>
      <c r="W18" s="37">
        <f>+IFERROR(W20/W16,0)</f>
        <v>84.059829059829056</v>
      </c>
      <c r="X18" s="37">
        <f t="shared" ref="X18:AH18" si="24">+IFERROR(X20/X16,0)</f>
        <v>80.978947368421046</v>
      </c>
      <c r="Y18" s="37">
        <f t="shared" si="24"/>
        <v>80.63</v>
      </c>
      <c r="Z18" s="37">
        <f t="shared" si="24"/>
        <v>81.307191011235957</v>
      </c>
      <c r="AA18" s="37">
        <f t="shared" si="24"/>
        <v>80.290322580645167</v>
      </c>
      <c r="AB18" s="37">
        <f t="shared" si="24"/>
        <v>78.494505494505489</v>
      </c>
      <c r="AC18" s="37">
        <f t="shared" si="24"/>
        <v>86.442477876106196</v>
      </c>
      <c r="AD18" s="37">
        <f t="shared" si="24"/>
        <v>87.40517241379311</v>
      </c>
      <c r="AE18" s="37">
        <f t="shared" si="24"/>
        <v>79.662650602409641</v>
      </c>
      <c r="AF18" s="37">
        <f t="shared" si="24"/>
        <v>79.219780219780219</v>
      </c>
      <c r="AG18" s="37">
        <f t="shared" si="24"/>
        <v>78.887755102040813</v>
      </c>
      <c r="AH18" s="37">
        <f t="shared" si="24"/>
        <v>79.159574468085111</v>
      </c>
      <c r="AI18" s="38">
        <f>+AI20/AI16</f>
        <v>80.957528666264338</v>
      </c>
      <c r="AJ18" s="6"/>
    </row>
    <row r="19" spans="1:36" x14ac:dyDescent="0.3">
      <c r="A19" s="2"/>
      <c r="B19" s="33"/>
      <c r="C19" s="34" t="s">
        <v>18</v>
      </c>
      <c r="D19" s="37">
        <f>+D17*D18</f>
        <v>78.720423728813557</v>
      </c>
      <c r="E19" s="37">
        <f t="shared" ref="E19:U19" si="25">+E17*E18</f>
        <v>77.103898305084741</v>
      </c>
      <c r="F19" s="37">
        <f t="shared" si="25"/>
        <v>73.639067796610163</v>
      </c>
      <c r="G19" s="37">
        <f t="shared" si="25"/>
        <v>74.279491525423737</v>
      </c>
      <c r="H19" s="37">
        <f t="shared" si="25"/>
        <v>78.893813559322027</v>
      </c>
      <c r="I19" s="37">
        <f t="shared" si="25"/>
        <v>79.357118644067796</v>
      </c>
      <c r="J19" s="37">
        <f t="shared" si="25"/>
        <v>68.752203389830512</v>
      </c>
      <c r="K19" s="37">
        <f t="shared" si="25"/>
        <v>73.484491525423735</v>
      </c>
      <c r="L19" s="37">
        <f t="shared" si="25"/>
        <v>72.58525423728814</v>
      </c>
      <c r="M19" s="37">
        <f t="shared" si="25"/>
        <v>72.883135593220331</v>
      </c>
      <c r="N19" s="37">
        <f t="shared" si="25"/>
        <v>80.567796610169495</v>
      </c>
      <c r="O19" s="37">
        <f t="shared" si="25"/>
        <v>81.932203389830505</v>
      </c>
      <c r="P19" s="37">
        <f t="shared" si="25"/>
        <v>84.906779661016941</v>
      </c>
      <c r="Q19" s="37">
        <f t="shared" si="25"/>
        <v>70.779661016949163</v>
      </c>
      <c r="R19" s="37">
        <f t="shared" si="25"/>
        <v>76.970677966101718</v>
      </c>
      <c r="S19" s="37">
        <f t="shared" si="25"/>
        <v>78.536355932203392</v>
      </c>
      <c r="T19" s="37">
        <f t="shared" si="25"/>
        <v>80.525423728813564</v>
      </c>
      <c r="U19" s="37">
        <f t="shared" si="25"/>
        <v>79.174999999999983</v>
      </c>
      <c r="V19" s="37">
        <f>+V17*V18</f>
        <v>79.627118644067792</v>
      </c>
      <c r="W19" s="37">
        <f>+W17*W18</f>
        <v>83.347457627118644</v>
      </c>
      <c r="X19" s="37">
        <f t="shared" ref="X19:AH19" si="26">+X17*X18</f>
        <v>65.194915254237287</v>
      </c>
      <c r="Y19" s="37">
        <f t="shared" si="26"/>
        <v>62.864067796610172</v>
      </c>
      <c r="Z19" s="37">
        <f t="shared" si="26"/>
        <v>61.32491525423729</v>
      </c>
      <c r="AA19" s="37">
        <f t="shared" si="26"/>
        <v>63.279661016949156</v>
      </c>
      <c r="AB19" s="37">
        <f t="shared" si="26"/>
        <v>60.533898305084747</v>
      </c>
      <c r="AC19" s="37">
        <f t="shared" si="26"/>
        <v>82.779661016949149</v>
      </c>
      <c r="AD19" s="37">
        <f t="shared" si="26"/>
        <v>85.923728813559336</v>
      </c>
      <c r="AE19" s="37">
        <f t="shared" si="26"/>
        <v>56.033898305084747</v>
      </c>
      <c r="AF19" s="37">
        <f t="shared" si="26"/>
        <v>61.093220338983052</v>
      </c>
      <c r="AG19" s="37">
        <f t="shared" si="26"/>
        <v>65.516949152542367</v>
      </c>
      <c r="AH19" s="37">
        <f t="shared" si="26"/>
        <v>63.059322033898304</v>
      </c>
      <c r="AI19" s="38">
        <f>+AI18*AI17</f>
        <v>73.344245489338434</v>
      </c>
      <c r="AJ19" s="6"/>
    </row>
    <row r="20" spans="1:36" x14ac:dyDescent="0.3">
      <c r="A20" s="2"/>
      <c r="B20" s="14"/>
      <c r="C20" s="15" t="s">
        <v>19</v>
      </c>
      <c r="D20" s="20">
        <v>9289.01</v>
      </c>
      <c r="E20" s="20">
        <v>9098.26</v>
      </c>
      <c r="F20" s="20">
        <v>8689.41</v>
      </c>
      <c r="G20" s="20">
        <v>8764.98</v>
      </c>
      <c r="H20" s="20">
        <v>9309.4699999999993</v>
      </c>
      <c r="I20" s="20">
        <v>9364.14</v>
      </c>
      <c r="J20" s="20">
        <v>8112.76</v>
      </c>
      <c r="K20" s="20">
        <v>8671.17</v>
      </c>
      <c r="L20" s="20">
        <v>8565.06</v>
      </c>
      <c r="M20" s="20">
        <v>8600.2099999999991</v>
      </c>
      <c r="N20" s="20">
        <v>9507</v>
      </c>
      <c r="O20" s="20">
        <v>9668</v>
      </c>
      <c r="P20" s="20">
        <v>10019</v>
      </c>
      <c r="Q20" s="20">
        <v>8352</v>
      </c>
      <c r="R20" s="20">
        <v>9082.5400000000009</v>
      </c>
      <c r="S20" s="20">
        <v>9267.2900000000009</v>
      </c>
      <c r="T20" s="20">
        <v>9502</v>
      </c>
      <c r="U20" s="20">
        <v>9342.65</v>
      </c>
      <c r="V20" s="20">
        <v>9396</v>
      </c>
      <c r="W20" s="20">
        <v>9835</v>
      </c>
      <c r="X20" s="20">
        <v>7693</v>
      </c>
      <c r="Y20" s="20">
        <v>7417.96</v>
      </c>
      <c r="Z20" s="20">
        <v>7236.34</v>
      </c>
      <c r="AA20" s="20">
        <v>7467</v>
      </c>
      <c r="AB20" s="20">
        <v>7143</v>
      </c>
      <c r="AC20" s="20">
        <v>9768</v>
      </c>
      <c r="AD20" s="20">
        <v>10139</v>
      </c>
      <c r="AE20" s="20">
        <v>6612</v>
      </c>
      <c r="AF20" s="130">
        <v>7209</v>
      </c>
      <c r="AG20" s="130">
        <v>7731</v>
      </c>
      <c r="AH20" s="20">
        <v>7441</v>
      </c>
      <c r="AI20" s="22">
        <f>SUM(D20:AH20)</f>
        <v>268293.25</v>
      </c>
      <c r="AJ20" s="6"/>
    </row>
    <row r="21" spans="1:36" x14ac:dyDescent="0.3">
      <c r="A21" s="23"/>
      <c r="B21" s="40"/>
      <c r="C21" s="41" t="s">
        <v>20</v>
      </c>
      <c r="D21" s="42">
        <f>1264.25/D20</f>
        <v>0.13610169436786052</v>
      </c>
      <c r="E21" s="43">
        <f>1076.53/E20</f>
        <v>0.11832262432597002</v>
      </c>
      <c r="F21" s="43">
        <f>1194.61/F20</f>
        <v>0.13747883918470874</v>
      </c>
      <c r="G21" s="43">
        <f>1648.16/G20</f>
        <v>0.18803921971299423</v>
      </c>
      <c r="H21" s="43">
        <f>1648.16/H20</f>
        <v>0.17704122791093371</v>
      </c>
      <c r="I21" s="43">
        <f>1526.52/I20</f>
        <v>0.16301763963375174</v>
      </c>
      <c r="J21" s="43">
        <f>1242.11/J20</f>
        <v>0.15310572480881968</v>
      </c>
      <c r="K21" s="43">
        <f>1285.86/K20</f>
        <v>0.14829140704195626</v>
      </c>
      <c r="L21" s="43">
        <f>1083.05/L20</f>
        <v>0.12644978552397765</v>
      </c>
      <c r="M21" s="43">
        <f>1331.56/M20</f>
        <v>0.15482877743683005</v>
      </c>
      <c r="N21" s="43">
        <f>1423.97/N20</f>
        <v>0.1497812138424319</v>
      </c>
      <c r="O21" s="43">
        <f>1436.81/O20</f>
        <v>0.14861501861812162</v>
      </c>
      <c r="P21" s="43">
        <f>895.89/P20</f>
        <v>8.9419103702964367E-2</v>
      </c>
      <c r="Q21" s="43">
        <f>1095.05/Q20</f>
        <v>0.13111230842911878</v>
      </c>
      <c r="R21" s="43">
        <f>1154.64/R20</f>
        <v>0.12712743351529418</v>
      </c>
      <c r="S21" s="43">
        <f>1287.97/S20</f>
        <v>0.13898021967587071</v>
      </c>
      <c r="T21" s="43">
        <f>1450.18/T20</f>
        <v>0.15261839612713113</v>
      </c>
      <c r="U21" s="43"/>
      <c r="V21" s="43">
        <f>1565.39/V20</f>
        <v>0.16660174542358452</v>
      </c>
      <c r="W21" s="43">
        <f>1266.42/W20</f>
        <v>0.12876664972038637</v>
      </c>
      <c r="X21" s="43">
        <f>1112.05/X20</f>
        <v>0.14455349018588326</v>
      </c>
      <c r="Y21" s="43">
        <f>1230.1/Y20</f>
        <v>0.16582726248186833</v>
      </c>
      <c r="Z21" s="43">
        <f>1331.99/Z20</f>
        <v>0.18406957108151359</v>
      </c>
      <c r="AA21" s="43">
        <f>1221.47/AA20</f>
        <v>0.16358242935583234</v>
      </c>
      <c r="AB21" s="43">
        <f>1431.66/AB20</f>
        <v>0.20042839143217137</v>
      </c>
      <c r="AC21" s="43">
        <f>1289.07/AC20</f>
        <v>0.1319686732186732</v>
      </c>
      <c r="AD21" s="43">
        <f>1147.3/AD20</f>
        <v>0.11315711608639904</v>
      </c>
      <c r="AE21" s="43">
        <f>1230.49/AE20</f>
        <v>0.18609951603145797</v>
      </c>
      <c r="AF21" s="43">
        <f>1411.09/AF20</f>
        <v>0.19574004716326812</v>
      </c>
      <c r="AG21" s="43">
        <f>1322.54/AG20</f>
        <v>0.17106971931186132</v>
      </c>
      <c r="AH21" s="43"/>
      <c r="AI21" s="44">
        <f>SUM(D21:AG21)/A1</f>
        <v>0.14168371759198822</v>
      </c>
      <c r="AJ21" s="6"/>
    </row>
    <row r="22" spans="1:36" ht="15" thickBot="1" x14ac:dyDescent="0.35">
      <c r="A22" s="23"/>
      <c r="B22" s="344" t="s">
        <v>80</v>
      </c>
      <c r="C22" s="345"/>
      <c r="D22" s="42">
        <f>D21</f>
        <v>0.13610169436786052</v>
      </c>
      <c r="E22" s="43">
        <f t="shared" ref="E22:P22" si="27">E21</f>
        <v>0.11832262432597002</v>
      </c>
      <c r="F22" s="43">
        <f t="shared" si="27"/>
        <v>0.13747883918470874</v>
      </c>
      <c r="G22" s="43">
        <f t="shared" si="27"/>
        <v>0.18803921971299423</v>
      </c>
      <c r="H22" s="43">
        <f t="shared" si="27"/>
        <v>0.17704122791093371</v>
      </c>
      <c r="I22" s="43">
        <f t="shared" si="27"/>
        <v>0.16301763963375174</v>
      </c>
      <c r="J22" s="43">
        <f t="shared" si="27"/>
        <v>0.15310572480881968</v>
      </c>
      <c r="K22" s="43">
        <f t="shared" si="27"/>
        <v>0.14829140704195626</v>
      </c>
      <c r="L22" s="43">
        <f t="shared" si="27"/>
        <v>0.12644978552397765</v>
      </c>
      <c r="M22" s="43">
        <f t="shared" si="27"/>
        <v>0.15482877743683005</v>
      </c>
      <c r="N22" s="43">
        <f t="shared" si="27"/>
        <v>0.1497812138424319</v>
      </c>
      <c r="O22" s="43">
        <f t="shared" si="27"/>
        <v>0.14861501861812162</v>
      </c>
      <c r="P22" s="43">
        <f t="shared" si="27"/>
        <v>8.9419103702964367E-2</v>
      </c>
      <c r="Q22" s="43">
        <f>Q21</f>
        <v>0.13111230842911878</v>
      </c>
      <c r="R22" s="43">
        <f>R21</f>
        <v>0.12712743351529418</v>
      </c>
      <c r="S22" s="43">
        <f>S21</f>
        <v>0.13898021967587071</v>
      </c>
      <c r="T22" s="43">
        <f>T21</f>
        <v>0.15261839612713113</v>
      </c>
      <c r="U22" s="43"/>
      <c r="V22" s="43">
        <f t="shared" ref="V22:AA22" si="28">V21</f>
        <v>0.16660174542358452</v>
      </c>
      <c r="W22" s="43">
        <f t="shared" si="28"/>
        <v>0.12876664972038637</v>
      </c>
      <c r="X22" s="43">
        <f t="shared" si="28"/>
        <v>0.14455349018588326</v>
      </c>
      <c r="Y22" s="43">
        <f t="shared" si="28"/>
        <v>0.16582726248186833</v>
      </c>
      <c r="Z22" s="43">
        <f t="shared" si="28"/>
        <v>0.18406957108151359</v>
      </c>
      <c r="AA22" s="43">
        <f t="shared" si="28"/>
        <v>0.16358242935583234</v>
      </c>
      <c r="AB22" s="43">
        <f t="shared" ref="AB22:AG22" si="29">AB21</f>
        <v>0.20042839143217137</v>
      </c>
      <c r="AC22" s="43">
        <f t="shared" si="29"/>
        <v>0.1319686732186732</v>
      </c>
      <c r="AD22" s="43">
        <f t="shared" si="29"/>
        <v>0.11315711608639904</v>
      </c>
      <c r="AE22" s="43">
        <f t="shared" si="29"/>
        <v>0.18609951603145797</v>
      </c>
      <c r="AF22" s="43">
        <f t="shared" si="29"/>
        <v>0.19574004716326812</v>
      </c>
      <c r="AG22" s="43">
        <f t="shared" si="29"/>
        <v>0.17106971931186132</v>
      </c>
      <c r="AH22" s="43"/>
      <c r="AI22" s="44">
        <f>AVERAGE(D22:AH22)</f>
        <v>0.15145500846040122</v>
      </c>
      <c r="AJ22" s="6"/>
    </row>
    <row r="23" spans="1:36" ht="15" thickTop="1" x14ac:dyDescent="0.3">
      <c r="A23" s="2">
        <v>99</v>
      </c>
      <c r="B23" s="45" t="s">
        <v>26</v>
      </c>
      <c r="C23" s="46" t="s">
        <v>15</v>
      </c>
      <c r="D23" s="11">
        <v>91</v>
      </c>
      <c r="E23" s="12">
        <v>87</v>
      </c>
      <c r="F23" s="12">
        <v>85</v>
      </c>
      <c r="G23" s="12">
        <v>91</v>
      </c>
      <c r="H23" s="12">
        <v>95</v>
      </c>
      <c r="I23" s="12">
        <v>95</v>
      </c>
      <c r="J23" s="12">
        <v>93</v>
      </c>
      <c r="K23" s="12">
        <v>93</v>
      </c>
      <c r="L23" s="12">
        <v>95</v>
      </c>
      <c r="M23" s="12">
        <v>95</v>
      </c>
      <c r="N23" s="12">
        <v>92</v>
      </c>
      <c r="O23" s="12">
        <v>92</v>
      </c>
      <c r="P23" s="12">
        <v>87</v>
      </c>
      <c r="Q23" s="12">
        <v>85</v>
      </c>
      <c r="R23" s="12">
        <v>93</v>
      </c>
      <c r="S23" s="12">
        <v>92</v>
      </c>
      <c r="T23" s="12">
        <v>87</v>
      </c>
      <c r="U23" s="12">
        <v>90</v>
      </c>
      <c r="V23" s="12">
        <v>91</v>
      </c>
      <c r="W23" s="12">
        <v>92</v>
      </c>
      <c r="X23" s="12">
        <v>87</v>
      </c>
      <c r="Y23" s="12">
        <v>90</v>
      </c>
      <c r="Z23" s="12">
        <v>88</v>
      </c>
      <c r="AA23" s="12">
        <v>90</v>
      </c>
      <c r="AB23" s="12">
        <v>87</v>
      </c>
      <c r="AC23" s="12">
        <v>91</v>
      </c>
      <c r="AD23" s="12">
        <v>93</v>
      </c>
      <c r="AE23" s="12">
        <v>91</v>
      </c>
      <c r="AF23" s="131">
        <v>90</v>
      </c>
      <c r="AG23" s="131">
        <v>92</v>
      </c>
      <c r="AH23" s="12">
        <v>84</v>
      </c>
      <c r="AI23" s="13">
        <f>SUM(D23:AH23)</f>
        <v>2804</v>
      </c>
      <c r="AJ23" s="6"/>
    </row>
    <row r="24" spans="1:36" x14ac:dyDescent="0.3">
      <c r="A24" s="2"/>
      <c r="B24" s="14"/>
      <c r="C24" s="15" t="s">
        <v>16</v>
      </c>
      <c r="D24" s="16">
        <f t="shared" ref="D24:U24" si="30">+D23/$A23</f>
        <v>0.91919191919191923</v>
      </c>
      <c r="E24" s="16">
        <f t="shared" si="30"/>
        <v>0.87878787878787878</v>
      </c>
      <c r="F24" s="16">
        <f t="shared" si="30"/>
        <v>0.85858585858585856</v>
      </c>
      <c r="G24" s="16">
        <f t="shared" si="30"/>
        <v>0.91919191919191923</v>
      </c>
      <c r="H24" s="16">
        <f t="shared" si="30"/>
        <v>0.95959595959595956</v>
      </c>
      <c r="I24" s="16">
        <f t="shared" si="30"/>
        <v>0.95959595959595956</v>
      </c>
      <c r="J24" s="16">
        <f t="shared" si="30"/>
        <v>0.93939393939393945</v>
      </c>
      <c r="K24" s="16">
        <f t="shared" si="30"/>
        <v>0.93939393939393945</v>
      </c>
      <c r="L24" s="16">
        <f t="shared" si="30"/>
        <v>0.95959595959595956</v>
      </c>
      <c r="M24" s="16">
        <f t="shared" si="30"/>
        <v>0.95959595959595956</v>
      </c>
      <c r="N24" s="16">
        <f t="shared" si="30"/>
        <v>0.92929292929292928</v>
      </c>
      <c r="O24" s="16">
        <f t="shared" si="30"/>
        <v>0.92929292929292928</v>
      </c>
      <c r="P24" s="16">
        <f t="shared" si="30"/>
        <v>0.87878787878787878</v>
      </c>
      <c r="Q24" s="16">
        <f t="shared" si="30"/>
        <v>0.85858585858585856</v>
      </c>
      <c r="R24" s="16">
        <f t="shared" si="30"/>
        <v>0.93939393939393945</v>
      </c>
      <c r="S24" s="16">
        <f t="shared" si="30"/>
        <v>0.92929292929292928</v>
      </c>
      <c r="T24" s="16">
        <f t="shared" si="30"/>
        <v>0.87878787878787878</v>
      </c>
      <c r="U24" s="16">
        <f t="shared" si="30"/>
        <v>0.90909090909090906</v>
      </c>
      <c r="V24" s="16">
        <f t="shared" ref="V24:AH24" si="31">+V23/$A23</f>
        <v>0.91919191919191923</v>
      </c>
      <c r="W24" s="16">
        <f t="shared" si="31"/>
        <v>0.92929292929292928</v>
      </c>
      <c r="X24" s="16">
        <f t="shared" si="31"/>
        <v>0.87878787878787878</v>
      </c>
      <c r="Y24" s="16">
        <f t="shared" si="31"/>
        <v>0.90909090909090906</v>
      </c>
      <c r="Z24" s="16">
        <f t="shared" si="31"/>
        <v>0.88888888888888884</v>
      </c>
      <c r="AA24" s="16">
        <f t="shared" si="31"/>
        <v>0.90909090909090906</v>
      </c>
      <c r="AB24" s="16">
        <f t="shared" si="31"/>
        <v>0.87878787878787878</v>
      </c>
      <c r="AC24" s="16">
        <f t="shared" si="31"/>
        <v>0.91919191919191923</v>
      </c>
      <c r="AD24" s="16">
        <f t="shared" si="31"/>
        <v>0.93939393939393945</v>
      </c>
      <c r="AE24" s="16">
        <f t="shared" si="31"/>
        <v>0.91919191919191923</v>
      </c>
      <c r="AF24" s="16">
        <f t="shared" si="31"/>
        <v>0.90909090909090906</v>
      </c>
      <c r="AG24" s="16">
        <f t="shared" si="31"/>
        <v>0.92929292929292928</v>
      </c>
      <c r="AH24" s="16">
        <f t="shared" si="31"/>
        <v>0.84848484848484851</v>
      </c>
      <c r="AI24" s="17">
        <f>+AI23/(A23*A$1)</f>
        <v>0.91365265558813946</v>
      </c>
      <c r="AJ24" s="6"/>
    </row>
    <row r="25" spans="1:36" x14ac:dyDescent="0.3">
      <c r="A25" s="2"/>
      <c r="B25" s="14"/>
      <c r="C25" s="15" t="s">
        <v>17</v>
      </c>
      <c r="D25" s="18">
        <f t="shared" ref="D25:U25" si="32">+IFERROR(D27/D23,0)</f>
        <v>98.450549450549445</v>
      </c>
      <c r="E25" s="18">
        <f t="shared" si="32"/>
        <v>93.632183908045974</v>
      </c>
      <c r="F25" s="18">
        <f t="shared" si="32"/>
        <v>93.764705882352942</v>
      </c>
      <c r="G25" s="18">
        <f t="shared" si="32"/>
        <v>93.84615384615384</v>
      </c>
      <c r="H25" s="18">
        <f t="shared" si="32"/>
        <v>97.29231578947369</v>
      </c>
      <c r="I25" s="18">
        <f t="shared" si="32"/>
        <v>94.366</v>
      </c>
      <c r="J25" s="18">
        <f t="shared" si="32"/>
        <v>91.763440860215056</v>
      </c>
      <c r="K25" s="18">
        <f t="shared" si="32"/>
        <v>98.322580645161295</v>
      </c>
      <c r="L25" s="18">
        <f t="shared" si="32"/>
        <v>98.66947368421053</v>
      </c>
      <c r="M25" s="18">
        <f t="shared" si="32"/>
        <v>96.874315789473684</v>
      </c>
      <c r="N25" s="18">
        <f t="shared" si="32"/>
        <v>95.760869565217391</v>
      </c>
      <c r="O25" s="18">
        <f t="shared" si="32"/>
        <v>100.46739130434783</v>
      </c>
      <c r="P25" s="18">
        <f t="shared" si="32"/>
        <v>100.79310344827586</v>
      </c>
      <c r="Q25" s="18">
        <f t="shared" si="32"/>
        <v>100.63529411764706</v>
      </c>
      <c r="R25" s="18">
        <f t="shared" si="32"/>
        <v>98.460215053763434</v>
      </c>
      <c r="S25" s="18">
        <f t="shared" si="32"/>
        <v>97.822826086956525</v>
      </c>
      <c r="T25" s="18">
        <f t="shared" si="32"/>
        <v>98.616091954022991</v>
      </c>
      <c r="U25" s="18">
        <f t="shared" si="32"/>
        <v>98.248222222222225</v>
      </c>
      <c r="V25" s="18">
        <f t="shared" ref="V25:AH25" si="33">+IFERROR(V27/V23,0)</f>
        <v>107.85714285714286</v>
      </c>
      <c r="W25" s="18">
        <f t="shared" si="33"/>
        <v>95.478260869565219</v>
      </c>
      <c r="X25" s="18">
        <f t="shared" si="33"/>
        <v>94.620689655172413</v>
      </c>
      <c r="Y25" s="18">
        <f t="shared" si="33"/>
        <v>96.977777777777774</v>
      </c>
      <c r="Z25" s="18">
        <f t="shared" si="33"/>
        <v>96.978409090909096</v>
      </c>
      <c r="AA25" s="18">
        <f t="shared" si="33"/>
        <v>95.855555555555554</v>
      </c>
      <c r="AB25" s="18">
        <f t="shared" si="33"/>
        <v>95.793103448275858</v>
      </c>
      <c r="AC25" s="18">
        <f t="shared" si="33"/>
        <v>96.07692307692308</v>
      </c>
      <c r="AD25" s="18">
        <f t="shared" si="33"/>
        <v>100.45161290322581</v>
      </c>
      <c r="AE25" s="18">
        <f t="shared" si="33"/>
        <v>98.263736263736263</v>
      </c>
      <c r="AF25" s="18">
        <f t="shared" si="33"/>
        <v>99.277777777777771</v>
      </c>
      <c r="AG25" s="18">
        <f t="shared" si="33"/>
        <v>97.978260869565219</v>
      </c>
      <c r="AH25" s="18">
        <f t="shared" si="33"/>
        <v>101.67857142857143</v>
      </c>
      <c r="AI25" s="19">
        <f>+AI27/AI23</f>
        <v>97.575870185449361</v>
      </c>
      <c r="AJ25" s="6"/>
    </row>
    <row r="26" spans="1:36" x14ac:dyDescent="0.3">
      <c r="A26" s="2"/>
      <c r="B26" s="14"/>
      <c r="C26" s="15" t="s">
        <v>18</v>
      </c>
      <c r="D26" s="18">
        <f t="shared" ref="D26:U26" si="34">+D24*D25</f>
        <v>90.494949494949495</v>
      </c>
      <c r="E26" s="18">
        <f t="shared" si="34"/>
        <v>82.282828282828277</v>
      </c>
      <c r="F26" s="18">
        <f t="shared" si="34"/>
        <v>80.505050505050505</v>
      </c>
      <c r="G26" s="18">
        <f t="shared" si="34"/>
        <v>86.262626262626256</v>
      </c>
      <c r="H26" s="18">
        <f t="shared" si="34"/>
        <v>93.361313131313139</v>
      </c>
      <c r="I26" s="18">
        <f t="shared" si="34"/>
        <v>90.553232323232322</v>
      </c>
      <c r="J26" s="18">
        <f t="shared" si="34"/>
        <v>86.202020202020208</v>
      </c>
      <c r="K26" s="18">
        <f t="shared" si="34"/>
        <v>92.363636363636374</v>
      </c>
      <c r="L26" s="18">
        <f t="shared" si="34"/>
        <v>94.682828282828282</v>
      </c>
      <c r="M26" s="18">
        <f t="shared" si="34"/>
        <v>92.960202020202019</v>
      </c>
      <c r="N26" s="18">
        <f t="shared" si="34"/>
        <v>88.98989898989899</v>
      </c>
      <c r="O26" s="18">
        <f t="shared" si="34"/>
        <v>93.36363636363636</v>
      </c>
      <c r="P26" s="18">
        <f t="shared" si="34"/>
        <v>88.575757575757578</v>
      </c>
      <c r="Q26" s="18">
        <f t="shared" si="34"/>
        <v>86.404040404040401</v>
      </c>
      <c r="R26" s="18">
        <f t="shared" si="34"/>
        <v>92.49292929292929</v>
      </c>
      <c r="S26" s="18">
        <f t="shared" si="34"/>
        <v>90.906060606060606</v>
      </c>
      <c r="T26" s="18">
        <f t="shared" si="34"/>
        <v>86.662626262626262</v>
      </c>
      <c r="U26" s="18">
        <f t="shared" si="34"/>
        <v>89.316565656565658</v>
      </c>
      <c r="V26" s="18">
        <f t="shared" ref="V26:AH26" si="35">+V24*V25</f>
        <v>99.141414141414145</v>
      </c>
      <c r="W26" s="18">
        <f t="shared" si="35"/>
        <v>88.727272727272734</v>
      </c>
      <c r="X26" s="18">
        <f t="shared" si="35"/>
        <v>83.151515151515156</v>
      </c>
      <c r="Y26" s="18">
        <f t="shared" si="35"/>
        <v>88.161616161616152</v>
      </c>
      <c r="Z26" s="18">
        <f t="shared" si="35"/>
        <v>86.203030303030303</v>
      </c>
      <c r="AA26" s="18">
        <f t="shared" si="35"/>
        <v>87.141414141414131</v>
      </c>
      <c r="AB26" s="18">
        <f t="shared" si="35"/>
        <v>84.181818181818173</v>
      </c>
      <c r="AC26" s="18">
        <f t="shared" si="35"/>
        <v>88.313131313131322</v>
      </c>
      <c r="AD26" s="18">
        <f t="shared" si="35"/>
        <v>94.363636363636374</v>
      </c>
      <c r="AE26" s="18">
        <f t="shared" si="35"/>
        <v>90.323232323232332</v>
      </c>
      <c r="AF26" s="18">
        <f t="shared" si="35"/>
        <v>90.252525252525245</v>
      </c>
      <c r="AG26" s="18">
        <f t="shared" si="35"/>
        <v>91.050505050505052</v>
      </c>
      <c r="AH26" s="18">
        <f t="shared" si="35"/>
        <v>86.27272727272728</v>
      </c>
      <c r="AI26" s="19">
        <f>+AI25*AI24</f>
        <v>89.150452916259368</v>
      </c>
      <c r="AJ26" s="6"/>
    </row>
    <row r="27" spans="1:36" x14ac:dyDescent="0.3">
      <c r="A27" s="2"/>
      <c r="B27" s="14"/>
      <c r="C27" s="15" t="s">
        <v>19</v>
      </c>
      <c r="D27" s="20">
        <v>8959</v>
      </c>
      <c r="E27" s="20">
        <v>8146</v>
      </c>
      <c r="F27" s="20">
        <v>7970</v>
      </c>
      <c r="G27" s="20">
        <v>8540</v>
      </c>
      <c r="H27" s="20">
        <v>9242.77</v>
      </c>
      <c r="I27" s="20">
        <v>8964.77</v>
      </c>
      <c r="J27" s="20">
        <v>8534</v>
      </c>
      <c r="K27" s="20">
        <v>9144</v>
      </c>
      <c r="L27" s="20">
        <v>9373.6</v>
      </c>
      <c r="M27" s="20">
        <v>9203.06</v>
      </c>
      <c r="N27" s="20">
        <v>8810</v>
      </c>
      <c r="O27" s="20">
        <v>9243</v>
      </c>
      <c r="P27" s="20">
        <v>8769</v>
      </c>
      <c r="Q27" s="20">
        <v>8554</v>
      </c>
      <c r="R27" s="20">
        <v>9156.7999999999993</v>
      </c>
      <c r="S27" s="20">
        <v>8999.7000000000007</v>
      </c>
      <c r="T27" s="20">
        <v>8579.6</v>
      </c>
      <c r="U27" s="20">
        <v>8842.34</v>
      </c>
      <c r="V27" s="20">
        <v>9815</v>
      </c>
      <c r="W27" s="20">
        <v>8784</v>
      </c>
      <c r="X27" s="20">
        <v>8232</v>
      </c>
      <c r="Y27" s="20">
        <v>8728</v>
      </c>
      <c r="Z27" s="20">
        <v>8534.1</v>
      </c>
      <c r="AA27" s="20">
        <v>8627</v>
      </c>
      <c r="AB27" s="20">
        <v>8334</v>
      </c>
      <c r="AC27" s="20">
        <v>8743</v>
      </c>
      <c r="AD27" s="20">
        <v>9342</v>
      </c>
      <c r="AE27" s="20">
        <v>8942</v>
      </c>
      <c r="AF27" s="20">
        <v>8935</v>
      </c>
      <c r="AG27" s="20">
        <v>9014</v>
      </c>
      <c r="AH27" s="20">
        <v>8541</v>
      </c>
      <c r="AI27" s="22">
        <f>SUM(D27:AH27)</f>
        <v>273602.74</v>
      </c>
      <c r="AJ27" s="6"/>
    </row>
    <row r="28" spans="1:36" ht="15" thickBot="1" x14ac:dyDescent="0.35">
      <c r="A28" s="23"/>
      <c r="B28" s="24"/>
      <c r="C28" s="15" t="s">
        <v>20</v>
      </c>
      <c r="D28" s="25">
        <f>700.72/D27</f>
        <v>7.821408639357072E-2</v>
      </c>
      <c r="E28" s="26">
        <f>810.24/E27</f>
        <v>9.9464767984286773E-2</v>
      </c>
      <c r="F28" s="26">
        <f>1059.81/F27</f>
        <v>0.13297490589711417</v>
      </c>
      <c r="G28" s="26">
        <f>1073.38/G27</f>
        <v>0.12568852459016394</v>
      </c>
      <c r="H28" s="26">
        <f>1059.81/H27</f>
        <v>0.11466367766373067</v>
      </c>
      <c r="I28" s="26">
        <f>681.85/I27</f>
        <v>7.6058839211714302E-2</v>
      </c>
      <c r="J28" s="26">
        <f>543.69/J27</f>
        <v>6.3708694633231783E-2</v>
      </c>
      <c r="K28" s="26">
        <f>743.63/K27</f>
        <v>8.1324365704286958E-2</v>
      </c>
      <c r="L28" s="26">
        <f>1020.75/L27</f>
        <v>0.10889626184176837</v>
      </c>
      <c r="M28" s="26">
        <f>794.62/M27</f>
        <v>8.63430206909441E-2</v>
      </c>
      <c r="N28" s="26">
        <f>650.48/N27</f>
        <v>7.3834279228149835E-2</v>
      </c>
      <c r="O28" s="26">
        <f>903/O27</f>
        <v>9.7695553391755924E-2</v>
      </c>
      <c r="P28" s="26">
        <f>768.28/P27</f>
        <v>8.7613182803056217E-2</v>
      </c>
      <c r="Q28" s="26">
        <f>709.01/Q27</f>
        <v>8.2886368950198741E-2</v>
      </c>
      <c r="R28" s="26">
        <f>557.51/R27</f>
        <v>6.0884806919447844E-2</v>
      </c>
      <c r="S28" s="26">
        <f>1023.32/S27</f>
        <v>0.11370601242263631</v>
      </c>
      <c r="T28" s="26">
        <f>896.97/T27</f>
        <v>0.1045468320201408</v>
      </c>
      <c r="U28" s="26"/>
      <c r="V28" s="26">
        <f>806.35/V27</f>
        <v>8.2154865002547123E-2</v>
      </c>
      <c r="W28" s="26">
        <f>711.17/W27</f>
        <v>8.0961976320582871E-2</v>
      </c>
      <c r="X28" s="26">
        <f>737.28/X27</f>
        <v>8.9562682215743442E-2</v>
      </c>
      <c r="Y28" s="26">
        <f>872.12/Y27</f>
        <v>9.992208982584784E-2</v>
      </c>
      <c r="Z28" s="26">
        <f>933.07/Z27</f>
        <v>0.10933431761990134</v>
      </c>
      <c r="AA28" s="26">
        <f>884.8/AA27</f>
        <v>0.10256172481743363</v>
      </c>
      <c r="AB28" s="26">
        <f>914.32/AB27</f>
        <v>0.10970962323014159</v>
      </c>
      <c r="AC28" s="26">
        <f>1105.26/AC27</f>
        <v>0.12641656182088529</v>
      </c>
      <c r="AD28" s="26">
        <f>741.59/AD27</f>
        <v>7.9382359237850572E-2</v>
      </c>
      <c r="AE28" s="26">
        <f>648.1/AE27</f>
        <v>7.2478192798031763E-2</v>
      </c>
      <c r="AF28" s="26">
        <f>936.51/AF27</f>
        <v>0.10481365416899832</v>
      </c>
      <c r="AG28" s="26">
        <f>830.62/AG27</f>
        <v>9.2147770135345017E-2</v>
      </c>
      <c r="AH28" s="26"/>
      <c r="AI28" s="27">
        <f>AVERAGE(D28:AG28)</f>
        <v>9.441206888067262E-2</v>
      </c>
      <c r="AJ28" s="6"/>
    </row>
    <row r="29" spans="1:36" ht="15" thickTop="1" x14ac:dyDescent="0.3">
      <c r="A29" s="2">
        <v>151</v>
      </c>
      <c r="B29" s="28" t="s">
        <v>27</v>
      </c>
      <c r="C29" s="29" t="s">
        <v>15</v>
      </c>
      <c r="D29" s="30">
        <v>83</v>
      </c>
      <c r="E29" s="31">
        <v>91</v>
      </c>
      <c r="F29" s="31">
        <v>88</v>
      </c>
      <c r="G29" s="31">
        <v>89</v>
      </c>
      <c r="H29" s="31">
        <v>96</v>
      </c>
      <c r="I29" s="31">
        <v>104</v>
      </c>
      <c r="J29" s="31">
        <v>82</v>
      </c>
      <c r="K29" s="31">
        <v>87</v>
      </c>
      <c r="L29" s="31">
        <v>86</v>
      </c>
      <c r="M29" s="31">
        <v>93</v>
      </c>
      <c r="N29" s="31">
        <v>94</v>
      </c>
      <c r="O29" s="31">
        <v>107</v>
      </c>
      <c r="P29" s="31">
        <v>141</v>
      </c>
      <c r="Q29" s="31">
        <v>93</v>
      </c>
      <c r="R29" s="31">
        <v>90</v>
      </c>
      <c r="S29" s="31">
        <v>97</v>
      </c>
      <c r="T29" s="31">
        <v>107</v>
      </c>
      <c r="U29" s="31">
        <v>101</v>
      </c>
      <c r="V29" s="31">
        <v>141</v>
      </c>
      <c r="W29" s="31">
        <v>141</v>
      </c>
      <c r="X29" s="31">
        <v>84</v>
      </c>
      <c r="Y29" s="31">
        <v>86</v>
      </c>
      <c r="Z29" s="31">
        <v>95</v>
      </c>
      <c r="AA29" s="31">
        <v>104</v>
      </c>
      <c r="AB29" s="31">
        <v>118</v>
      </c>
      <c r="AC29" s="123">
        <v>141</v>
      </c>
      <c r="AD29" s="123">
        <v>144</v>
      </c>
      <c r="AE29" s="123">
        <v>77</v>
      </c>
      <c r="AF29" s="133">
        <v>82</v>
      </c>
      <c r="AG29" s="133">
        <v>95</v>
      </c>
      <c r="AH29" s="31">
        <v>99</v>
      </c>
      <c r="AI29" s="32">
        <f>SUM(D29:AH29)</f>
        <v>3136</v>
      </c>
      <c r="AJ29" s="6"/>
    </row>
    <row r="30" spans="1:36" x14ac:dyDescent="0.3">
      <c r="A30" s="2"/>
      <c r="B30" s="33"/>
      <c r="C30" s="34" t="s">
        <v>16</v>
      </c>
      <c r="D30" s="35">
        <f t="shared" ref="D30:W30" si="36">+D29/$A29</f>
        <v>0.54966887417218546</v>
      </c>
      <c r="E30" s="35">
        <f t="shared" si="36"/>
        <v>0.60264900662251653</v>
      </c>
      <c r="F30" s="35">
        <f t="shared" si="36"/>
        <v>0.58278145695364236</v>
      </c>
      <c r="G30" s="35">
        <f t="shared" si="36"/>
        <v>0.58940397350993379</v>
      </c>
      <c r="H30" s="35">
        <f t="shared" si="36"/>
        <v>0.63576158940397354</v>
      </c>
      <c r="I30" s="35">
        <f t="shared" si="36"/>
        <v>0.6887417218543046</v>
      </c>
      <c r="J30" s="35">
        <f t="shared" si="36"/>
        <v>0.54304635761589404</v>
      </c>
      <c r="K30" s="35">
        <f t="shared" si="36"/>
        <v>0.57615894039735094</v>
      </c>
      <c r="L30" s="35">
        <f t="shared" si="36"/>
        <v>0.56953642384105962</v>
      </c>
      <c r="M30" s="35">
        <f t="shared" si="36"/>
        <v>0.61589403973509937</v>
      </c>
      <c r="N30" s="35">
        <f t="shared" si="36"/>
        <v>0.62251655629139069</v>
      </c>
      <c r="O30" s="35">
        <f t="shared" si="36"/>
        <v>0.70860927152317876</v>
      </c>
      <c r="P30" s="35">
        <f t="shared" si="36"/>
        <v>0.93377483443708609</v>
      </c>
      <c r="Q30" s="35">
        <f t="shared" si="36"/>
        <v>0.61589403973509937</v>
      </c>
      <c r="R30" s="35">
        <f t="shared" si="36"/>
        <v>0.59602649006622521</v>
      </c>
      <c r="S30" s="35">
        <f t="shared" si="36"/>
        <v>0.64238410596026485</v>
      </c>
      <c r="T30" s="35">
        <f t="shared" si="36"/>
        <v>0.70860927152317876</v>
      </c>
      <c r="U30" s="35">
        <f t="shared" si="36"/>
        <v>0.66887417218543044</v>
      </c>
      <c r="V30" s="35">
        <f t="shared" si="36"/>
        <v>0.93377483443708609</v>
      </c>
      <c r="W30" s="35">
        <f t="shared" si="36"/>
        <v>0.93377483443708609</v>
      </c>
      <c r="X30" s="35">
        <f>+X29/$A29</f>
        <v>0.55629139072847678</v>
      </c>
      <c r="Y30" s="35">
        <f>+Y29/$A29</f>
        <v>0.56953642384105962</v>
      </c>
      <c r="Z30" s="35">
        <f t="shared" ref="Z30:AH30" si="37">+Z29/$A29</f>
        <v>0.62913907284768211</v>
      </c>
      <c r="AA30" s="35">
        <f t="shared" si="37"/>
        <v>0.6887417218543046</v>
      </c>
      <c r="AB30" s="35">
        <f t="shared" si="37"/>
        <v>0.7814569536423841</v>
      </c>
      <c r="AC30" s="35">
        <f t="shared" si="37"/>
        <v>0.93377483443708609</v>
      </c>
      <c r="AD30" s="35">
        <f t="shared" si="37"/>
        <v>0.95364238410596025</v>
      </c>
      <c r="AE30" s="35">
        <f t="shared" si="37"/>
        <v>0.50993377483443714</v>
      </c>
      <c r="AF30" s="35">
        <f t="shared" si="37"/>
        <v>0.54304635761589404</v>
      </c>
      <c r="AG30" s="35">
        <f t="shared" si="37"/>
        <v>0.62913907284768211</v>
      </c>
      <c r="AH30" s="35">
        <f t="shared" si="37"/>
        <v>0.6556291390728477</v>
      </c>
      <c r="AI30" s="36">
        <f>+AI29/(A29*A$1)</f>
        <v>0.66994232001709042</v>
      </c>
      <c r="AJ30" s="6"/>
    </row>
    <row r="31" spans="1:36" x14ac:dyDescent="0.3">
      <c r="A31" s="2"/>
      <c r="B31" s="33"/>
      <c r="C31" s="34" t="s">
        <v>17</v>
      </c>
      <c r="D31" s="37">
        <f t="shared" ref="D31:W31" si="38">+IFERROR(D33/D29,0)</f>
        <v>96.64807228915663</v>
      </c>
      <c r="E31" s="37">
        <f t="shared" si="38"/>
        <v>92.273076923076928</v>
      </c>
      <c r="F31" s="37">
        <f t="shared" si="38"/>
        <v>90.938181818181818</v>
      </c>
      <c r="G31" s="37">
        <f t="shared" si="38"/>
        <v>92.029438202247192</v>
      </c>
      <c r="H31" s="37">
        <f t="shared" si="38"/>
        <v>90.440416666666678</v>
      </c>
      <c r="I31" s="37">
        <f t="shared" si="38"/>
        <v>96.307692307692307</v>
      </c>
      <c r="J31" s="37">
        <f t="shared" si="38"/>
        <v>95.629146341463411</v>
      </c>
      <c r="K31" s="37">
        <f t="shared" si="38"/>
        <v>88.851494252873565</v>
      </c>
      <c r="L31" s="37">
        <f t="shared" si="38"/>
        <v>94.227790697674422</v>
      </c>
      <c r="M31" s="37">
        <f t="shared" si="38"/>
        <v>92.600752688172051</v>
      </c>
      <c r="N31" s="37">
        <f t="shared" si="38"/>
        <v>96.659574468085111</v>
      </c>
      <c r="O31" s="37">
        <f t="shared" si="38"/>
        <v>94.803738317757009</v>
      </c>
      <c r="P31" s="37">
        <f t="shared" si="38"/>
        <v>101.72340425531915</v>
      </c>
      <c r="Q31" s="37">
        <f t="shared" si="38"/>
        <v>98.290322580645167</v>
      </c>
      <c r="R31" s="37">
        <f t="shared" si="38"/>
        <v>92.829777777777778</v>
      </c>
      <c r="S31" s="37">
        <f t="shared" si="38"/>
        <v>98.756701030927829</v>
      </c>
      <c r="T31" s="37">
        <f t="shared" si="38"/>
        <v>99.761775700934578</v>
      </c>
      <c r="U31" s="37">
        <f t="shared" si="38"/>
        <v>101.60673267326733</v>
      </c>
      <c r="V31" s="37">
        <f t="shared" si="38"/>
        <v>96.709219858156033</v>
      </c>
      <c r="W31" s="37">
        <f t="shared" si="38"/>
        <v>98.468085106382972</v>
      </c>
      <c r="X31" s="37">
        <f>+IFERROR(X33/X29,0)</f>
        <v>97.495595238095234</v>
      </c>
      <c r="Y31" s="37">
        <f>+IFERROR(Y33/Y29,0)</f>
        <v>93.523255813953483</v>
      </c>
      <c r="Z31" s="37">
        <f t="shared" ref="Z31:AH31" si="39">+IFERROR(Z33/Z29,0)</f>
        <v>96.836210526315796</v>
      </c>
      <c r="AA31" s="37">
        <f t="shared" si="39"/>
        <v>98.913461538461533</v>
      </c>
      <c r="AB31" s="37">
        <f t="shared" si="39"/>
        <v>96.898305084745758</v>
      </c>
      <c r="AC31" s="37">
        <f t="shared" si="39"/>
        <v>101.45390070921985</v>
      </c>
      <c r="AD31" s="37">
        <f t="shared" si="39"/>
        <v>100.54861111111111</v>
      </c>
      <c r="AE31" s="37">
        <f t="shared" si="39"/>
        <v>96.961038961038966</v>
      </c>
      <c r="AF31" s="37">
        <f t="shared" si="39"/>
        <v>96.097560975609753</v>
      </c>
      <c r="AG31" s="37">
        <f t="shared" si="39"/>
        <v>90.873684210526321</v>
      </c>
      <c r="AH31" s="37">
        <f t="shared" si="39"/>
        <v>96.797979797979792</v>
      </c>
      <c r="AI31" s="38">
        <f>+AI33/AI29</f>
        <v>96.365169005102061</v>
      </c>
      <c r="AJ31" s="6"/>
    </row>
    <row r="32" spans="1:36" x14ac:dyDescent="0.3">
      <c r="A32" s="2"/>
      <c r="B32" s="33"/>
      <c r="C32" s="34" t="s">
        <v>18</v>
      </c>
      <c r="D32" s="37">
        <f t="shared" ref="D32:W32" si="40">+D30*D31</f>
        <v>53.124437086092719</v>
      </c>
      <c r="E32" s="37">
        <f t="shared" si="40"/>
        <v>55.608278145695365</v>
      </c>
      <c r="F32" s="37">
        <f t="shared" si="40"/>
        <v>52.997086092715229</v>
      </c>
      <c r="G32" s="37">
        <f t="shared" si="40"/>
        <v>54.242516556291392</v>
      </c>
      <c r="H32" s="37">
        <f t="shared" si="40"/>
        <v>57.498543046357625</v>
      </c>
      <c r="I32" s="37">
        <f t="shared" si="40"/>
        <v>66.33112582781456</v>
      </c>
      <c r="J32" s="37">
        <f t="shared" si="40"/>
        <v>51.931059602649007</v>
      </c>
      <c r="K32" s="37">
        <f t="shared" si="40"/>
        <v>51.192582781456949</v>
      </c>
      <c r="L32" s="37">
        <f t="shared" si="40"/>
        <v>53.666158940397352</v>
      </c>
      <c r="M32" s="37">
        <f t="shared" si="40"/>
        <v>57.032251655629146</v>
      </c>
      <c r="N32" s="37">
        <f t="shared" si="40"/>
        <v>60.172185430463578</v>
      </c>
      <c r="O32" s="37">
        <f t="shared" si="40"/>
        <v>67.178807947019862</v>
      </c>
      <c r="P32" s="37">
        <f t="shared" si="40"/>
        <v>94.986754966887418</v>
      </c>
      <c r="Q32" s="37">
        <f t="shared" si="40"/>
        <v>60.536423841059609</v>
      </c>
      <c r="R32" s="37">
        <f t="shared" si="40"/>
        <v>55.329006622516559</v>
      </c>
      <c r="S32" s="37">
        <f t="shared" si="40"/>
        <v>63.439735099337739</v>
      </c>
      <c r="T32" s="37">
        <f t="shared" si="40"/>
        <v>70.692119205298013</v>
      </c>
      <c r="U32" s="37">
        <f t="shared" si="40"/>
        <v>67.962119205298009</v>
      </c>
      <c r="V32" s="37">
        <f t="shared" si="40"/>
        <v>90.30463576158941</v>
      </c>
      <c r="W32" s="37">
        <f t="shared" si="40"/>
        <v>91.947019867549656</v>
      </c>
      <c r="X32" s="37">
        <f>+X30*X31</f>
        <v>54.235960264900655</v>
      </c>
      <c r="Y32" s="37">
        <f>+Y30*Y31</f>
        <v>53.264900662251655</v>
      </c>
      <c r="Z32" s="37">
        <f t="shared" ref="Z32:AH32" si="41">+Z30*Z31</f>
        <v>60.923443708609277</v>
      </c>
      <c r="AA32" s="37">
        <f t="shared" si="41"/>
        <v>68.125827814569533</v>
      </c>
      <c r="AB32" s="37">
        <f t="shared" si="41"/>
        <v>75.721854304635755</v>
      </c>
      <c r="AC32" s="37">
        <f t="shared" si="41"/>
        <v>94.735099337748338</v>
      </c>
      <c r="AD32" s="37">
        <f t="shared" si="41"/>
        <v>95.88741721854305</v>
      </c>
      <c r="AE32" s="37">
        <f t="shared" si="41"/>
        <v>49.443708609271532</v>
      </c>
      <c r="AF32" s="37">
        <f t="shared" si="41"/>
        <v>52.185430463576154</v>
      </c>
      <c r="AG32" s="37">
        <f t="shared" si="41"/>
        <v>57.172185430463578</v>
      </c>
      <c r="AH32" s="37">
        <f t="shared" si="41"/>
        <v>63.463576158940398</v>
      </c>
      <c r="AI32" s="38">
        <f>+AI31*AI30</f>
        <v>64.559104892117091</v>
      </c>
      <c r="AJ32" s="6"/>
    </row>
    <row r="33" spans="1:36" x14ac:dyDescent="0.3">
      <c r="A33" s="2"/>
      <c r="B33" s="14"/>
      <c r="C33" s="15" t="s">
        <v>19</v>
      </c>
      <c r="D33" s="20">
        <v>8021.79</v>
      </c>
      <c r="E33" s="20">
        <v>8396.85</v>
      </c>
      <c r="F33" s="20">
        <v>8002.56</v>
      </c>
      <c r="G33" s="20">
        <v>8190.62</v>
      </c>
      <c r="H33" s="20">
        <v>8682.2800000000007</v>
      </c>
      <c r="I33" s="20">
        <v>10016</v>
      </c>
      <c r="J33" s="20">
        <v>7841.59</v>
      </c>
      <c r="K33" s="20">
        <v>7730.08</v>
      </c>
      <c r="L33" s="20">
        <v>8103.59</v>
      </c>
      <c r="M33" s="20">
        <v>8611.8700000000008</v>
      </c>
      <c r="N33" s="20">
        <v>9086</v>
      </c>
      <c r="O33" s="20">
        <v>10144</v>
      </c>
      <c r="P33" s="20">
        <v>14343</v>
      </c>
      <c r="Q33" s="20">
        <v>9141</v>
      </c>
      <c r="R33" s="20">
        <v>8354.68</v>
      </c>
      <c r="S33" s="20">
        <v>9579.4</v>
      </c>
      <c r="T33" s="20">
        <v>10674.51</v>
      </c>
      <c r="U33" s="20">
        <v>10262.280000000001</v>
      </c>
      <c r="V33" s="20">
        <v>13636</v>
      </c>
      <c r="W33" s="20">
        <v>13884</v>
      </c>
      <c r="X33" s="20">
        <v>8189.63</v>
      </c>
      <c r="Y33" s="20">
        <v>8043</v>
      </c>
      <c r="Z33" s="20">
        <v>9199.44</v>
      </c>
      <c r="AA33" s="20">
        <v>10287</v>
      </c>
      <c r="AB33" s="20">
        <v>11434</v>
      </c>
      <c r="AC33" s="20">
        <v>14305</v>
      </c>
      <c r="AD33" s="20">
        <v>14479</v>
      </c>
      <c r="AE33" s="20">
        <v>7466</v>
      </c>
      <c r="AF33" s="130">
        <v>7880</v>
      </c>
      <c r="AG33" s="130">
        <v>8633</v>
      </c>
      <c r="AH33" s="20">
        <v>9583</v>
      </c>
      <c r="AI33" s="22">
        <f>SUM(D33:AH33)</f>
        <v>302201.17000000004</v>
      </c>
      <c r="AJ33" s="6"/>
    </row>
    <row r="34" spans="1:36" ht="15" thickBot="1" x14ac:dyDescent="0.35">
      <c r="A34" s="23"/>
      <c r="B34" s="48"/>
      <c r="C34" s="41" t="s">
        <v>20</v>
      </c>
      <c r="D34" s="49">
        <f>1254.85/D33</f>
        <v>0.15643017331543208</v>
      </c>
      <c r="E34" s="50">
        <f>1443.57/E33</f>
        <v>0.1719180406938316</v>
      </c>
      <c r="F34" s="50">
        <f>912.9/F33</f>
        <v>0.11407599568138195</v>
      </c>
      <c r="G34" s="50">
        <f>1263.99/G33</f>
        <v>0.15432165086403715</v>
      </c>
      <c r="H34" s="50">
        <f>1263.99/H33</f>
        <v>0.14558272711776168</v>
      </c>
      <c r="I34" s="50">
        <f>1416.86/I33</f>
        <v>0.14145966453674119</v>
      </c>
      <c r="J34" s="50">
        <f>1456.45/J33</f>
        <v>0.18573401567794287</v>
      </c>
      <c r="K34" s="50">
        <f>1384.97/K33</f>
        <v>0.17916632169395402</v>
      </c>
      <c r="L34" s="50">
        <f>1484.99/L33</f>
        <v>0.18325088016545754</v>
      </c>
      <c r="M34" s="50">
        <f>1634.4/M33</f>
        <v>0.18978456479254796</v>
      </c>
      <c r="N34" s="50">
        <f>1579.69/N33</f>
        <v>0.17385978428351309</v>
      </c>
      <c r="O34" s="50">
        <f>1585.1/O33</f>
        <v>0.15625985804416404</v>
      </c>
      <c r="P34" s="50">
        <f>1029.61/P33</f>
        <v>7.1784842780450386E-2</v>
      </c>
      <c r="Q34" s="50">
        <f>1245.7/Q33</f>
        <v>0.13627611858658792</v>
      </c>
      <c r="R34" s="50">
        <f>1330.6/R33</f>
        <v>0.1592640292626408</v>
      </c>
      <c r="S34" s="50">
        <f>1610.83/S33</f>
        <v>0.1681556256132952</v>
      </c>
      <c r="T34" s="50">
        <f>1486.45/T33</f>
        <v>0.13925229354790056</v>
      </c>
      <c r="U34" s="50"/>
      <c r="V34" s="50">
        <f>1913.88/V33</f>
        <v>0.14035494279847463</v>
      </c>
      <c r="W34" s="50">
        <f>1341.21/W33</f>
        <v>9.6601123595505614E-2</v>
      </c>
      <c r="X34" s="50">
        <f>936.1/X33</f>
        <v>0.1143030881737026</v>
      </c>
      <c r="Y34" s="50">
        <f>1828.69/Y33</f>
        <v>0.22736416759915454</v>
      </c>
      <c r="Z34" s="50">
        <f>1631.91/Z33</f>
        <v>0.17739231953249329</v>
      </c>
      <c r="AA34" s="50">
        <f>1662.25/AA33</f>
        <v>0.16158744045883153</v>
      </c>
      <c r="AB34" s="50">
        <f>1747.4/AB33</f>
        <v>0.15282490816861991</v>
      </c>
      <c r="AC34" s="50">
        <f>1432.97/AC33</f>
        <v>0.10017266689968543</v>
      </c>
      <c r="AD34" s="50">
        <f>1168.12/AD33</f>
        <v>8.0676842323364861E-2</v>
      </c>
      <c r="AE34" s="50">
        <f>942.9/AE33</f>
        <v>0.12629252611840341</v>
      </c>
      <c r="AF34" s="50">
        <f>1316.56/AF33</f>
        <v>0.16707614213197969</v>
      </c>
      <c r="AG34" s="50">
        <f>1626.23/AG33</f>
        <v>0.18837368238155913</v>
      </c>
      <c r="AH34" s="50"/>
      <c r="AI34" s="51">
        <f>AVERAGE(D34:AG34)</f>
        <v>0.15033091161515219</v>
      </c>
      <c r="AJ34" s="6"/>
    </row>
    <row r="35" spans="1:36" ht="15" thickTop="1" x14ac:dyDescent="0.3">
      <c r="A35" s="2">
        <v>96</v>
      </c>
      <c r="B35" s="45" t="s">
        <v>28</v>
      </c>
      <c r="C35" s="46" t="s">
        <v>15</v>
      </c>
      <c r="D35" s="11">
        <v>32</v>
      </c>
      <c r="E35" s="12">
        <v>33</v>
      </c>
      <c r="F35" s="12">
        <v>48</v>
      </c>
      <c r="G35" s="12">
        <v>52</v>
      </c>
      <c r="H35" s="12">
        <v>54</v>
      </c>
      <c r="I35" s="12">
        <v>59</v>
      </c>
      <c r="J35" s="12">
        <v>44</v>
      </c>
      <c r="K35" s="12">
        <v>34</v>
      </c>
      <c r="L35" s="12">
        <v>31</v>
      </c>
      <c r="M35" s="12">
        <v>30</v>
      </c>
      <c r="N35" s="12">
        <v>30</v>
      </c>
      <c r="O35" s="12">
        <v>66</v>
      </c>
      <c r="P35" s="12">
        <v>79</v>
      </c>
      <c r="Q35" s="12">
        <v>42</v>
      </c>
      <c r="R35" s="12">
        <v>50</v>
      </c>
      <c r="S35" s="12">
        <v>39</v>
      </c>
      <c r="T35" s="12">
        <v>47</v>
      </c>
      <c r="U35" s="12">
        <v>47</v>
      </c>
      <c r="V35" s="12">
        <v>64</v>
      </c>
      <c r="W35" s="12">
        <v>55</v>
      </c>
      <c r="X35" s="12">
        <v>29</v>
      </c>
      <c r="Y35" s="12">
        <v>19</v>
      </c>
      <c r="Z35" s="12">
        <v>34</v>
      </c>
      <c r="AA35" s="12">
        <v>29</v>
      </c>
      <c r="AB35" s="12">
        <v>32</v>
      </c>
      <c r="AC35" s="12">
        <v>43</v>
      </c>
      <c r="AD35" s="12">
        <v>48</v>
      </c>
      <c r="AE35" s="12">
        <v>25</v>
      </c>
      <c r="AF35" s="131">
        <v>24</v>
      </c>
      <c r="AG35" s="131">
        <v>27</v>
      </c>
      <c r="AH35" s="12">
        <v>27</v>
      </c>
      <c r="AI35" s="13">
        <f>SUM(D35:AH35)</f>
        <v>1273</v>
      </c>
      <c r="AJ35" s="6"/>
    </row>
    <row r="36" spans="1:36" x14ac:dyDescent="0.3">
      <c r="A36" s="2"/>
      <c r="B36" s="14"/>
      <c r="C36" s="15" t="s">
        <v>16</v>
      </c>
      <c r="D36" s="16">
        <f t="shared" ref="D36:Y36" si="42">+D35/$A35</f>
        <v>0.33333333333333331</v>
      </c>
      <c r="E36" s="16">
        <f t="shared" si="42"/>
        <v>0.34375</v>
      </c>
      <c r="F36" s="16">
        <f t="shared" si="42"/>
        <v>0.5</v>
      </c>
      <c r="G36" s="16">
        <f t="shared" si="42"/>
        <v>0.54166666666666663</v>
      </c>
      <c r="H36" s="16">
        <f t="shared" si="42"/>
        <v>0.5625</v>
      </c>
      <c r="I36" s="16">
        <f t="shared" si="42"/>
        <v>0.61458333333333337</v>
      </c>
      <c r="J36" s="16">
        <f t="shared" si="42"/>
        <v>0.45833333333333331</v>
      </c>
      <c r="K36" s="16">
        <f t="shared" si="42"/>
        <v>0.35416666666666669</v>
      </c>
      <c r="L36" s="16">
        <f t="shared" si="42"/>
        <v>0.32291666666666669</v>
      </c>
      <c r="M36" s="16">
        <f t="shared" si="42"/>
        <v>0.3125</v>
      </c>
      <c r="N36" s="16">
        <f t="shared" si="42"/>
        <v>0.3125</v>
      </c>
      <c r="O36" s="16">
        <f t="shared" si="42"/>
        <v>0.6875</v>
      </c>
      <c r="P36" s="16">
        <f t="shared" si="42"/>
        <v>0.82291666666666663</v>
      </c>
      <c r="Q36" s="16">
        <f t="shared" si="42"/>
        <v>0.4375</v>
      </c>
      <c r="R36" s="16">
        <f t="shared" si="42"/>
        <v>0.52083333333333337</v>
      </c>
      <c r="S36" s="16">
        <f t="shared" si="42"/>
        <v>0.40625</v>
      </c>
      <c r="T36" s="16">
        <f t="shared" si="42"/>
        <v>0.48958333333333331</v>
      </c>
      <c r="U36" s="16">
        <f t="shared" si="42"/>
        <v>0.48958333333333331</v>
      </c>
      <c r="V36" s="16">
        <f t="shared" si="42"/>
        <v>0.66666666666666663</v>
      </c>
      <c r="W36" s="16">
        <f t="shared" si="42"/>
        <v>0.57291666666666663</v>
      </c>
      <c r="X36" s="16">
        <f t="shared" si="42"/>
        <v>0.30208333333333331</v>
      </c>
      <c r="Y36" s="16">
        <f t="shared" si="42"/>
        <v>0.19791666666666666</v>
      </c>
      <c r="Z36" s="16">
        <f t="shared" ref="Z36:AH36" si="43">+Z35/$A35</f>
        <v>0.35416666666666669</v>
      </c>
      <c r="AA36" s="16">
        <f t="shared" si="43"/>
        <v>0.30208333333333331</v>
      </c>
      <c r="AB36" s="16">
        <f t="shared" si="43"/>
        <v>0.33333333333333331</v>
      </c>
      <c r="AC36" s="16">
        <f t="shared" si="43"/>
        <v>0.44791666666666669</v>
      </c>
      <c r="AD36" s="16">
        <f t="shared" si="43"/>
        <v>0.5</v>
      </c>
      <c r="AE36" s="16">
        <f t="shared" si="43"/>
        <v>0.26041666666666669</v>
      </c>
      <c r="AF36" s="16">
        <f t="shared" si="43"/>
        <v>0.25</v>
      </c>
      <c r="AG36" s="16">
        <f t="shared" si="43"/>
        <v>0.28125</v>
      </c>
      <c r="AH36" s="16">
        <f t="shared" si="43"/>
        <v>0.28125</v>
      </c>
      <c r="AI36" s="17">
        <f>+AI35/(A35*A$1)</f>
        <v>0.427755376344086</v>
      </c>
      <c r="AJ36" s="6"/>
    </row>
    <row r="37" spans="1:36" x14ac:dyDescent="0.3">
      <c r="A37" s="2"/>
      <c r="B37" s="14"/>
      <c r="C37" s="15" t="s">
        <v>17</v>
      </c>
      <c r="D37" s="18">
        <f t="shared" ref="D37:Y37" si="44">+IFERROR(D39/D35,0)</f>
        <v>77.947187499999998</v>
      </c>
      <c r="E37" s="18">
        <f t="shared" si="44"/>
        <v>85.62090909090908</v>
      </c>
      <c r="F37" s="18">
        <f t="shared" si="44"/>
        <v>79.790416666666673</v>
      </c>
      <c r="G37" s="18">
        <f t="shared" si="44"/>
        <v>68.837500000000006</v>
      </c>
      <c r="H37" s="18">
        <f t="shared" si="44"/>
        <v>74.872407407407408</v>
      </c>
      <c r="I37" s="18">
        <f t="shared" si="44"/>
        <v>75.743050847457624</v>
      </c>
      <c r="J37" s="18">
        <f t="shared" si="44"/>
        <v>74.63636363636364</v>
      </c>
      <c r="K37" s="18">
        <f t="shared" si="44"/>
        <v>40.058823529411768</v>
      </c>
      <c r="L37" s="18">
        <f t="shared" si="44"/>
        <v>76.772258064516137</v>
      </c>
      <c r="M37" s="18">
        <f t="shared" si="44"/>
        <v>77.616</v>
      </c>
      <c r="N37" s="18">
        <f t="shared" si="44"/>
        <v>71.066666666666663</v>
      </c>
      <c r="O37" s="18">
        <f t="shared" si="44"/>
        <v>82.560151515151517</v>
      </c>
      <c r="P37" s="18">
        <f t="shared" si="44"/>
        <v>77.848101265822791</v>
      </c>
      <c r="Q37" s="18">
        <f t="shared" si="44"/>
        <v>75.047619047619051</v>
      </c>
      <c r="R37" s="18">
        <f t="shared" si="44"/>
        <v>76.694800000000001</v>
      </c>
      <c r="S37" s="18">
        <f t="shared" si="44"/>
        <v>74.576666666666668</v>
      </c>
      <c r="T37" s="18">
        <f t="shared" si="44"/>
        <v>77.510638297872347</v>
      </c>
      <c r="U37" s="18">
        <f t="shared" si="44"/>
        <v>89.237234042553183</v>
      </c>
      <c r="V37" s="18">
        <f t="shared" si="44"/>
        <v>83.896093750000006</v>
      </c>
      <c r="W37" s="18">
        <f t="shared" si="44"/>
        <v>92.168181818181822</v>
      </c>
      <c r="X37" s="18">
        <f t="shared" si="44"/>
        <v>72</v>
      </c>
      <c r="Y37" s="18">
        <f t="shared" si="44"/>
        <v>83.89473684210526</v>
      </c>
      <c r="Z37" s="18">
        <f t="shared" ref="Z37:AH37" si="45">+IFERROR(Z39/Z35,0)</f>
        <v>71.494117647058829</v>
      </c>
      <c r="AA37" s="18">
        <f t="shared" si="45"/>
        <v>69.241379310344826</v>
      </c>
      <c r="AB37" s="18">
        <f t="shared" si="45"/>
        <v>67.84375</v>
      </c>
      <c r="AC37" s="18">
        <f t="shared" si="45"/>
        <v>88.20930232558139</v>
      </c>
      <c r="AD37" s="18">
        <f t="shared" si="45"/>
        <v>89.645833333333329</v>
      </c>
      <c r="AE37" s="18">
        <f t="shared" si="45"/>
        <v>81.28</v>
      </c>
      <c r="AF37" s="18">
        <f t="shared" si="45"/>
        <v>82.16</v>
      </c>
      <c r="AG37" s="18">
        <f t="shared" si="45"/>
        <v>87.037037037037038</v>
      </c>
      <c r="AH37" s="18">
        <f t="shared" si="45"/>
        <v>85.555555555555557</v>
      </c>
      <c r="AI37" s="19">
        <f>+AI39/AI35</f>
        <v>78.200510604870388</v>
      </c>
      <c r="AJ37" s="6"/>
    </row>
    <row r="38" spans="1:36" x14ac:dyDescent="0.3">
      <c r="A38" s="2"/>
      <c r="B38" s="14"/>
      <c r="C38" s="15" t="s">
        <v>18</v>
      </c>
      <c r="D38" s="18">
        <f t="shared" ref="D38:Y38" si="46">+D36*D37</f>
        <v>25.982395833333332</v>
      </c>
      <c r="E38" s="18">
        <f t="shared" si="46"/>
        <v>29.432187499999998</v>
      </c>
      <c r="F38" s="18">
        <f t="shared" si="46"/>
        <v>39.895208333333336</v>
      </c>
      <c r="G38" s="18">
        <f t="shared" si="46"/>
        <v>37.286979166666669</v>
      </c>
      <c r="H38" s="18">
        <f t="shared" si="46"/>
        <v>42.115729166666668</v>
      </c>
      <c r="I38" s="18">
        <f t="shared" si="46"/>
        <v>46.550416666666671</v>
      </c>
      <c r="J38" s="18">
        <f t="shared" si="46"/>
        <v>34.208333333333336</v>
      </c>
      <c r="K38" s="18">
        <f t="shared" si="46"/>
        <v>14.187500000000002</v>
      </c>
      <c r="L38" s="18">
        <f t="shared" si="46"/>
        <v>24.791041666666672</v>
      </c>
      <c r="M38" s="18">
        <f t="shared" si="46"/>
        <v>24.254999999999999</v>
      </c>
      <c r="N38" s="18">
        <f t="shared" si="46"/>
        <v>22.208333333333332</v>
      </c>
      <c r="O38" s="18">
        <f t="shared" si="46"/>
        <v>56.760104166666665</v>
      </c>
      <c r="P38" s="18">
        <f t="shared" si="46"/>
        <v>64.0625</v>
      </c>
      <c r="Q38" s="18">
        <f t="shared" si="46"/>
        <v>32.833333333333336</v>
      </c>
      <c r="R38" s="18">
        <f t="shared" si="46"/>
        <v>39.945208333333333</v>
      </c>
      <c r="S38" s="18">
        <f t="shared" si="46"/>
        <v>30.296770833333333</v>
      </c>
      <c r="T38" s="18">
        <f t="shared" si="46"/>
        <v>37.947916666666671</v>
      </c>
      <c r="U38" s="18">
        <f t="shared" si="46"/>
        <v>43.689062499999991</v>
      </c>
      <c r="V38" s="18">
        <f t="shared" si="46"/>
        <v>55.930729166666666</v>
      </c>
      <c r="W38" s="18">
        <f t="shared" si="46"/>
        <v>52.8046875</v>
      </c>
      <c r="X38" s="18">
        <f t="shared" si="46"/>
        <v>21.75</v>
      </c>
      <c r="Y38" s="18">
        <f t="shared" si="46"/>
        <v>16.604166666666664</v>
      </c>
      <c r="Z38" s="18">
        <f t="shared" ref="Z38:AH38" si="47">+Z36*Z37</f>
        <v>25.320833333333336</v>
      </c>
      <c r="AA38" s="18">
        <f t="shared" si="47"/>
        <v>20.916666666666664</v>
      </c>
      <c r="AB38" s="18">
        <f t="shared" si="47"/>
        <v>22.614583333333332</v>
      </c>
      <c r="AC38" s="18">
        <f t="shared" si="47"/>
        <v>39.510416666666664</v>
      </c>
      <c r="AD38" s="18">
        <f t="shared" si="47"/>
        <v>44.822916666666664</v>
      </c>
      <c r="AE38" s="18">
        <f t="shared" si="47"/>
        <v>21.166666666666668</v>
      </c>
      <c r="AF38" s="18">
        <f t="shared" si="47"/>
        <v>20.54</v>
      </c>
      <c r="AG38" s="18">
        <f t="shared" si="47"/>
        <v>24.479166666666668</v>
      </c>
      <c r="AH38" s="18">
        <f t="shared" si="47"/>
        <v>24.0625</v>
      </c>
      <c r="AI38" s="19">
        <f>+AI37*AI36</f>
        <v>33.450688844086024</v>
      </c>
      <c r="AJ38" s="6"/>
    </row>
    <row r="39" spans="1:36" x14ac:dyDescent="0.3">
      <c r="A39" s="2"/>
      <c r="B39" s="14"/>
      <c r="C39" s="15" t="s">
        <v>19</v>
      </c>
      <c r="D39" s="20">
        <v>2494.31</v>
      </c>
      <c r="E39" s="20">
        <v>2825.49</v>
      </c>
      <c r="F39" s="20">
        <v>3829.94</v>
      </c>
      <c r="G39" s="20">
        <v>3579.55</v>
      </c>
      <c r="H39" s="20">
        <v>4043.11</v>
      </c>
      <c r="I39" s="20">
        <v>4468.84</v>
      </c>
      <c r="J39" s="20">
        <v>3284</v>
      </c>
      <c r="K39" s="20">
        <v>1362</v>
      </c>
      <c r="L39" s="20">
        <v>2379.94</v>
      </c>
      <c r="M39" s="20">
        <v>2328.48</v>
      </c>
      <c r="N39" s="20">
        <v>2132</v>
      </c>
      <c r="O39" s="20">
        <v>5448.97</v>
      </c>
      <c r="P39" s="20">
        <v>6150</v>
      </c>
      <c r="Q39" s="20">
        <v>3152</v>
      </c>
      <c r="R39" s="20">
        <v>3834.74</v>
      </c>
      <c r="S39" s="20">
        <v>2908.49</v>
      </c>
      <c r="T39" s="20">
        <v>3643</v>
      </c>
      <c r="U39" s="20">
        <v>4194.1499999999996</v>
      </c>
      <c r="V39" s="20">
        <v>5369.35</v>
      </c>
      <c r="W39" s="20">
        <v>5069.25</v>
      </c>
      <c r="X39" s="20">
        <v>2088</v>
      </c>
      <c r="Y39" s="20">
        <v>1594</v>
      </c>
      <c r="Z39" s="20">
        <v>2430.8000000000002</v>
      </c>
      <c r="AA39" s="20">
        <v>2008</v>
      </c>
      <c r="AB39" s="20">
        <v>2171</v>
      </c>
      <c r="AC39" s="20">
        <v>3793</v>
      </c>
      <c r="AD39" s="20">
        <v>4303</v>
      </c>
      <c r="AE39" s="20">
        <v>2032</v>
      </c>
      <c r="AF39" s="130">
        <v>1971.84</v>
      </c>
      <c r="AG39" s="130">
        <v>2350</v>
      </c>
      <c r="AH39" s="20">
        <v>2310</v>
      </c>
      <c r="AI39" s="22">
        <f>SUM(D39:AH39)</f>
        <v>99549.25</v>
      </c>
      <c r="AJ39" s="6"/>
    </row>
    <row r="40" spans="1:36" ht="15" thickBot="1" x14ac:dyDescent="0.35">
      <c r="A40" s="23"/>
      <c r="B40" s="24"/>
      <c r="C40" s="15" t="s">
        <v>20</v>
      </c>
      <c r="D40" s="25">
        <f>920.56/D39</f>
        <v>0.36906398964042159</v>
      </c>
      <c r="E40" s="26">
        <f>907.1/E39</f>
        <v>0.3210416600306496</v>
      </c>
      <c r="F40" s="26">
        <f>709.03/F39</f>
        <v>0.18512822655185199</v>
      </c>
      <c r="G40" s="26">
        <f>1190.25/G39</f>
        <v>0.33251386347445905</v>
      </c>
      <c r="H40" s="26">
        <f>1304.26/H39</f>
        <v>0.32258830454773674</v>
      </c>
      <c r="I40" s="26">
        <f>339.77/I39</f>
        <v>7.6030916300426951E-2</v>
      </c>
      <c r="J40" s="26">
        <f>460.55/J39</f>
        <v>0.14024056029232643</v>
      </c>
      <c r="K40" s="26">
        <f>1354.16/K39</f>
        <v>0.99424375917767993</v>
      </c>
      <c r="L40" s="26">
        <f>1475.59/L39</f>
        <v>0.62001142885955107</v>
      </c>
      <c r="M40" s="26">
        <f>1133.41/M39</f>
        <v>0.48675960283103142</v>
      </c>
      <c r="N40" s="26">
        <f>884.71/N39</f>
        <v>0.41496716697936215</v>
      </c>
      <c r="O40" s="26">
        <f>991.17/O39</f>
        <v>0.18190043255881386</v>
      </c>
      <c r="P40" s="26">
        <f>198.4/P39</f>
        <v>3.2260162601626015E-2</v>
      </c>
      <c r="Q40" s="26">
        <f>241.64/Q39</f>
        <v>7.6662436548223342E-2</v>
      </c>
      <c r="R40" s="26">
        <f>794.4/R39</f>
        <v>0.20715876434908234</v>
      </c>
      <c r="S40" s="26">
        <f>661.12/S39</f>
        <v>0.22730695309249818</v>
      </c>
      <c r="T40" s="26">
        <f>637.74/T39</f>
        <v>0.17505901729343948</v>
      </c>
      <c r="U40" s="26"/>
      <c r="V40" s="26"/>
      <c r="W40" s="26"/>
      <c r="X40" s="26">
        <f>637.98/X39</f>
        <v>0.30554597701149427</v>
      </c>
      <c r="Y40" s="26">
        <f>749.46/Y39</f>
        <v>0.47017565872020078</v>
      </c>
      <c r="Z40" s="26">
        <f>950.83/Z39</f>
        <v>0.39115928912292247</v>
      </c>
      <c r="AA40" s="26">
        <f>960.91/AA39</f>
        <v>0.47854083665338643</v>
      </c>
      <c r="AB40" s="26">
        <f>885.95/AB39</f>
        <v>0.40808383233532936</v>
      </c>
      <c r="AC40" s="26">
        <f>1027.2/AC39</f>
        <v>0.2708146585815977</v>
      </c>
      <c r="AD40" s="26">
        <f>521.34/AD39</f>
        <v>0.12115733209388799</v>
      </c>
      <c r="AE40" s="26">
        <f>456.37/AE39</f>
        <v>0.22459153543307087</v>
      </c>
      <c r="AF40" s="26">
        <f>786.18/AF39</f>
        <v>0.39870374878286269</v>
      </c>
      <c r="AG40" s="26">
        <f>932.51/AG39</f>
        <v>0.3968127659574468</v>
      </c>
      <c r="AH40" s="26"/>
      <c r="AI40" s="27">
        <f>AVERAGE(D40:AG40)</f>
        <v>0.31957492147486588</v>
      </c>
      <c r="AJ40" s="6"/>
    </row>
    <row r="41" spans="1:36" ht="15" thickTop="1" x14ac:dyDescent="0.3">
      <c r="A41" s="2">
        <v>94</v>
      </c>
      <c r="B41" s="28" t="s">
        <v>29</v>
      </c>
      <c r="C41" s="29" t="s">
        <v>15</v>
      </c>
      <c r="D41" s="30">
        <v>15</v>
      </c>
      <c r="E41" s="31">
        <v>18</v>
      </c>
      <c r="F41" s="31">
        <v>26</v>
      </c>
      <c r="G41" s="31">
        <v>27</v>
      </c>
      <c r="H41" s="31">
        <v>32</v>
      </c>
      <c r="I41" s="31">
        <v>58</v>
      </c>
      <c r="J41" s="31">
        <v>38</v>
      </c>
      <c r="K41" s="31">
        <v>44</v>
      </c>
      <c r="L41" s="31">
        <v>52</v>
      </c>
      <c r="M41" s="31">
        <v>48</v>
      </c>
      <c r="N41" s="31">
        <v>43</v>
      </c>
      <c r="O41" s="31">
        <v>67</v>
      </c>
      <c r="P41" s="31">
        <v>82</v>
      </c>
      <c r="Q41" s="31">
        <v>55</v>
      </c>
      <c r="R41" s="31">
        <v>56</v>
      </c>
      <c r="S41" s="31">
        <v>73</v>
      </c>
      <c r="T41" s="31">
        <v>74</v>
      </c>
      <c r="U41" s="31">
        <v>69</v>
      </c>
      <c r="V41" s="31">
        <v>83</v>
      </c>
      <c r="W41" s="31">
        <v>75</v>
      </c>
      <c r="X41" s="31">
        <v>35</v>
      </c>
      <c r="Y41" s="31">
        <v>38</v>
      </c>
      <c r="Z41" s="31">
        <v>36</v>
      </c>
      <c r="AA41" s="31">
        <v>33</v>
      </c>
      <c r="AB41" s="31">
        <v>35</v>
      </c>
      <c r="AC41" s="31">
        <v>44</v>
      </c>
      <c r="AD41" s="31">
        <v>50</v>
      </c>
      <c r="AE41" s="31">
        <v>27</v>
      </c>
      <c r="AF41" s="133">
        <v>35</v>
      </c>
      <c r="AG41" s="133">
        <v>41</v>
      </c>
      <c r="AH41" s="31">
        <v>40</v>
      </c>
      <c r="AI41" s="32">
        <f>SUM(D41:AH41)</f>
        <v>1449</v>
      </c>
      <c r="AJ41" s="6"/>
    </row>
    <row r="42" spans="1:36" x14ac:dyDescent="0.3">
      <c r="A42" s="2"/>
      <c r="B42" s="33"/>
      <c r="C42" s="34" t="s">
        <v>16</v>
      </c>
      <c r="D42" s="35">
        <f t="shared" ref="D42:X42" si="48">+D41/$A41</f>
        <v>0.15957446808510639</v>
      </c>
      <c r="E42" s="35">
        <f t="shared" si="48"/>
        <v>0.19148936170212766</v>
      </c>
      <c r="F42" s="35">
        <f t="shared" si="48"/>
        <v>0.27659574468085107</v>
      </c>
      <c r="G42" s="35">
        <f t="shared" si="48"/>
        <v>0.28723404255319152</v>
      </c>
      <c r="H42" s="35">
        <f t="shared" si="48"/>
        <v>0.34042553191489361</v>
      </c>
      <c r="I42" s="35">
        <f t="shared" si="48"/>
        <v>0.61702127659574468</v>
      </c>
      <c r="J42" s="35">
        <f t="shared" si="48"/>
        <v>0.40425531914893614</v>
      </c>
      <c r="K42" s="35">
        <f t="shared" si="48"/>
        <v>0.46808510638297873</v>
      </c>
      <c r="L42" s="35">
        <f t="shared" si="48"/>
        <v>0.55319148936170215</v>
      </c>
      <c r="M42" s="35">
        <f t="shared" si="48"/>
        <v>0.51063829787234039</v>
      </c>
      <c r="N42" s="35">
        <f t="shared" si="48"/>
        <v>0.45744680851063829</v>
      </c>
      <c r="O42" s="35">
        <f t="shared" si="48"/>
        <v>0.71276595744680848</v>
      </c>
      <c r="P42" s="35">
        <f t="shared" si="48"/>
        <v>0.87234042553191493</v>
      </c>
      <c r="Q42" s="35">
        <f t="shared" si="48"/>
        <v>0.58510638297872342</v>
      </c>
      <c r="R42" s="35">
        <f t="shared" si="48"/>
        <v>0.5957446808510638</v>
      </c>
      <c r="S42" s="35">
        <f t="shared" si="48"/>
        <v>0.77659574468085102</v>
      </c>
      <c r="T42" s="35">
        <f t="shared" si="48"/>
        <v>0.78723404255319152</v>
      </c>
      <c r="U42" s="35">
        <f t="shared" si="48"/>
        <v>0.73404255319148937</v>
      </c>
      <c r="V42" s="35">
        <f t="shared" si="48"/>
        <v>0.88297872340425532</v>
      </c>
      <c r="W42" s="35">
        <f t="shared" si="48"/>
        <v>0.7978723404255319</v>
      </c>
      <c r="X42" s="35">
        <f t="shared" si="48"/>
        <v>0.37234042553191488</v>
      </c>
      <c r="Y42" s="35">
        <f t="shared" ref="Y42:AH42" si="49">+Y41/$A41</f>
        <v>0.40425531914893614</v>
      </c>
      <c r="Z42" s="35">
        <f t="shared" si="49"/>
        <v>0.38297872340425532</v>
      </c>
      <c r="AA42" s="35">
        <f t="shared" si="49"/>
        <v>0.35106382978723405</v>
      </c>
      <c r="AB42" s="35">
        <f t="shared" si="49"/>
        <v>0.37234042553191488</v>
      </c>
      <c r="AC42" s="35">
        <f t="shared" si="49"/>
        <v>0.46808510638297873</v>
      </c>
      <c r="AD42" s="35">
        <f t="shared" si="49"/>
        <v>0.53191489361702127</v>
      </c>
      <c r="AE42" s="35">
        <f t="shared" si="49"/>
        <v>0.28723404255319152</v>
      </c>
      <c r="AF42" s="35">
        <f t="shared" si="49"/>
        <v>0.37234042553191488</v>
      </c>
      <c r="AG42" s="35">
        <f t="shared" si="49"/>
        <v>0.43617021276595747</v>
      </c>
      <c r="AH42" s="35">
        <f t="shared" si="49"/>
        <v>0.42553191489361702</v>
      </c>
      <c r="AI42" s="36">
        <f>+AI41/(A41*A$1)</f>
        <v>0.49725463280713794</v>
      </c>
      <c r="AJ42" s="6"/>
    </row>
    <row r="43" spans="1:36" x14ac:dyDescent="0.3">
      <c r="A43" s="2"/>
      <c r="B43" s="33"/>
      <c r="C43" s="34" t="s">
        <v>17</v>
      </c>
      <c r="D43" s="37">
        <f t="shared" ref="D43:X43" si="50">+IFERROR(D45/D41,0)</f>
        <v>81.031999999999996</v>
      </c>
      <c r="E43" s="37">
        <f t="shared" si="50"/>
        <v>103.24</v>
      </c>
      <c r="F43" s="37">
        <f t="shared" si="50"/>
        <v>105.66384615384617</v>
      </c>
      <c r="G43" s="37">
        <f t="shared" si="50"/>
        <v>101.96407407407408</v>
      </c>
      <c r="H43" s="37">
        <f t="shared" si="50"/>
        <v>97.037187500000002</v>
      </c>
      <c r="I43" s="37">
        <f t="shared" si="50"/>
        <v>101.41913793103448</v>
      </c>
      <c r="J43" s="37">
        <f t="shared" si="50"/>
        <v>97.812894736842097</v>
      </c>
      <c r="K43" s="37">
        <f t="shared" si="50"/>
        <v>102.34090909090909</v>
      </c>
      <c r="L43" s="37">
        <f t="shared" si="50"/>
        <v>103.045</v>
      </c>
      <c r="M43" s="37">
        <f t="shared" si="50"/>
        <v>101.45625</v>
      </c>
      <c r="N43" s="37">
        <f t="shared" si="50"/>
        <v>95.860465116279073</v>
      </c>
      <c r="O43" s="37">
        <f t="shared" si="50"/>
        <v>94.358208955223887</v>
      </c>
      <c r="P43" s="37">
        <f t="shared" si="50"/>
        <v>97.161585365853654</v>
      </c>
      <c r="Q43" s="37">
        <f t="shared" si="50"/>
        <v>101.52727272727273</v>
      </c>
      <c r="R43" s="37">
        <f t="shared" si="50"/>
        <v>104.02267857142859</v>
      </c>
      <c r="S43" s="37">
        <f t="shared" si="50"/>
        <v>107.56205479452055</v>
      </c>
      <c r="T43" s="37">
        <f t="shared" si="50"/>
        <v>113.50175675675675</v>
      </c>
      <c r="U43" s="37">
        <f t="shared" si="50"/>
        <v>106.08057971014493</v>
      </c>
      <c r="V43" s="37">
        <f t="shared" si="50"/>
        <v>105.67469879518072</v>
      </c>
      <c r="W43" s="37">
        <f t="shared" si="50"/>
        <v>103.70666666666666</v>
      </c>
      <c r="X43" s="37">
        <f t="shared" si="50"/>
        <v>97.142857142857139</v>
      </c>
      <c r="Y43" s="37">
        <f t="shared" ref="Y43:AH43" si="51">+IFERROR(Y45/Y41,0)</f>
        <v>105.96789473684211</v>
      </c>
      <c r="Z43" s="37">
        <f t="shared" si="51"/>
        <v>106.5325</v>
      </c>
      <c r="AA43" s="37">
        <f t="shared" si="51"/>
        <v>104.3030303030303</v>
      </c>
      <c r="AB43" s="37">
        <f t="shared" si="51"/>
        <v>105.82857142857142</v>
      </c>
      <c r="AC43" s="37">
        <f t="shared" si="51"/>
        <v>92.11363636363636</v>
      </c>
      <c r="AD43" s="37">
        <f t="shared" si="51"/>
        <v>107.32</v>
      </c>
      <c r="AE43" s="37">
        <f t="shared" si="51"/>
        <v>94.259259259259252</v>
      </c>
      <c r="AF43" s="37">
        <f t="shared" si="51"/>
        <v>96.740285714285704</v>
      </c>
      <c r="AG43" s="37">
        <f t="shared" si="51"/>
        <v>102.39024390243902</v>
      </c>
      <c r="AH43" s="37">
        <f t="shared" si="51"/>
        <v>106.35</v>
      </c>
      <c r="AI43" s="38">
        <f>+AI45/AI41</f>
        <v>102.2497032436163</v>
      </c>
      <c r="AJ43" s="6"/>
    </row>
    <row r="44" spans="1:36" x14ac:dyDescent="0.3">
      <c r="A44" s="2"/>
      <c r="B44" s="33"/>
      <c r="C44" s="34" t="s">
        <v>18</v>
      </c>
      <c r="D44" s="37">
        <f t="shared" ref="D44:X44" si="52">+D42*D43</f>
        <v>12.93063829787234</v>
      </c>
      <c r="E44" s="37">
        <f t="shared" si="52"/>
        <v>19.769361702127657</v>
      </c>
      <c r="F44" s="37">
        <f t="shared" si="52"/>
        <v>29.226170212765961</v>
      </c>
      <c r="G44" s="37">
        <f t="shared" si="52"/>
        <v>29.287553191489366</v>
      </c>
      <c r="H44" s="37">
        <f t="shared" si="52"/>
        <v>33.033936170212769</v>
      </c>
      <c r="I44" s="37">
        <f t="shared" si="52"/>
        <v>62.577765957446807</v>
      </c>
      <c r="J44" s="37">
        <f t="shared" si="52"/>
        <v>39.541382978723398</v>
      </c>
      <c r="K44" s="37">
        <f t="shared" si="52"/>
        <v>47.904255319148938</v>
      </c>
      <c r="L44" s="37">
        <f t="shared" si="52"/>
        <v>57.003617021276597</v>
      </c>
      <c r="M44" s="37">
        <f t="shared" si="52"/>
        <v>51.807446808510633</v>
      </c>
      <c r="N44" s="37">
        <f t="shared" si="52"/>
        <v>43.851063829787236</v>
      </c>
      <c r="O44" s="37">
        <f t="shared" si="52"/>
        <v>67.255319148936167</v>
      </c>
      <c r="P44" s="37">
        <f t="shared" si="52"/>
        <v>84.75797872340425</v>
      </c>
      <c r="Q44" s="37">
        <f t="shared" si="52"/>
        <v>59.404255319148938</v>
      </c>
      <c r="R44" s="37">
        <f t="shared" si="52"/>
        <v>61.970957446808519</v>
      </c>
      <c r="S44" s="37">
        <f t="shared" si="52"/>
        <v>83.532234042553185</v>
      </c>
      <c r="T44" s="37">
        <f t="shared" si="52"/>
        <v>89.352446808510635</v>
      </c>
      <c r="U44" s="37">
        <f t="shared" si="52"/>
        <v>77.867659574468092</v>
      </c>
      <c r="V44" s="37">
        <f t="shared" si="52"/>
        <v>93.308510638297861</v>
      </c>
      <c r="W44" s="37">
        <f t="shared" si="52"/>
        <v>82.744680851063819</v>
      </c>
      <c r="X44" s="37">
        <f t="shared" si="52"/>
        <v>36.170212765957444</v>
      </c>
      <c r="Y44" s="37">
        <f t="shared" ref="Y44:AH44" si="53">+Y42*Y43</f>
        <v>42.838085106382977</v>
      </c>
      <c r="Z44" s="37">
        <f t="shared" si="53"/>
        <v>40.799680851063826</v>
      </c>
      <c r="AA44" s="37">
        <f t="shared" si="53"/>
        <v>36.617021276595743</v>
      </c>
      <c r="AB44" s="37">
        <f t="shared" si="53"/>
        <v>39.40425531914893</v>
      </c>
      <c r="AC44" s="37">
        <f t="shared" si="53"/>
        <v>43.117021276595743</v>
      </c>
      <c r="AD44" s="37">
        <f t="shared" si="53"/>
        <v>57.085106382978722</v>
      </c>
      <c r="AE44" s="37">
        <f t="shared" si="53"/>
        <v>27.074468085106382</v>
      </c>
      <c r="AF44" s="37">
        <f t="shared" si="53"/>
        <v>36.020319148936167</v>
      </c>
      <c r="AG44" s="37">
        <f t="shared" si="53"/>
        <v>44.659574468085111</v>
      </c>
      <c r="AH44" s="37">
        <f t="shared" si="53"/>
        <v>45.255319148936167</v>
      </c>
      <c r="AI44" s="38">
        <f>+AI43*AI42</f>
        <v>50.844138641043244</v>
      </c>
      <c r="AJ44" s="6"/>
    </row>
    <row r="45" spans="1:36" x14ac:dyDescent="0.3">
      <c r="A45" s="2"/>
      <c r="B45" s="33"/>
      <c r="C45" s="34" t="s">
        <v>19</v>
      </c>
      <c r="D45" s="21">
        <v>1215.48</v>
      </c>
      <c r="E45" s="21">
        <v>1858.32</v>
      </c>
      <c r="F45" s="21">
        <v>2747.26</v>
      </c>
      <c r="G45" s="21">
        <v>2753.03</v>
      </c>
      <c r="H45" s="21">
        <v>3105.19</v>
      </c>
      <c r="I45" s="21">
        <v>5882.31</v>
      </c>
      <c r="J45" s="21">
        <v>3716.89</v>
      </c>
      <c r="K45" s="21">
        <v>4503</v>
      </c>
      <c r="L45" s="21">
        <v>5358.34</v>
      </c>
      <c r="M45" s="21">
        <v>4869.8999999999996</v>
      </c>
      <c r="N45" s="21">
        <v>4122</v>
      </c>
      <c r="O45" s="21">
        <v>6322</v>
      </c>
      <c r="P45" s="21">
        <v>7967.25</v>
      </c>
      <c r="Q45" s="21">
        <v>5584</v>
      </c>
      <c r="R45" s="21">
        <v>5825.27</v>
      </c>
      <c r="S45" s="21">
        <v>7852.03</v>
      </c>
      <c r="T45" s="21">
        <v>8399.1299999999992</v>
      </c>
      <c r="U45" s="21">
        <v>7319.56</v>
      </c>
      <c r="V45" s="21">
        <v>8771</v>
      </c>
      <c r="W45" s="21">
        <v>7778</v>
      </c>
      <c r="X45" s="21">
        <v>3400</v>
      </c>
      <c r="Y45" s="21">
        <v>4026.78</v>
      </c>
      <c r="Z45" s="21">
        <v>3835.17</v>
      </c>
      <c r="AA45" s="21">
        <v>3442</v>
      </c>
      <c r="AB45" s="21">
        <v>3704</v>
      </c>
      <c r="AC45" s="21">
        <v>4053</v>
      </c>
      <c r="AD45" s="21">
        <v>5366</v>
      </c>
      <c r="AE45" s="21">
        <v>2545</v>
      </c>
      <c r="AF45" s="21">
        <v>3385.91</v>
      </c>
      <c r="AG45" s="21">
        <v>4198</v>
      </c>
      <c r="AH45" s="21">
        <v>4254</v>
      </c>
      <c r="AI45" s="39">
        <f>SUM(D45:AH45)</f>
        <v>148159.82</v>
      </c>
      <c r="AJ45" s="6"/>
    </row>
    <row r="46" spans="1:36" ht="15" thickBot="1" x14ac:dyDescent="0.35">
      <c r="A46" s="23"/>
      <c r="B46" s="40"/>
      <c r="C46" s="41" t="s">
        <v>20</v>
      </c>
      <c r="D46" s="49">
        <f>562.19/D45</f>
        <v>0.46252509296738742</v>
      </c>
      <c r="E46" s="50">
        <f>600.42/E45</f>
        <v>0.32309828231951437</v>
      </c>
      <c r="F46" s="50">
        <f>684.35/F45</f>
        <v>0.24910274236876012</v>
      </c>
      <c r="G46" s="50">
        <f>685.79/G45</f>
        <v>0.24910371481603902</v>
      </c>
      <c r="H46" s="50">
        <f>829.06/H45</f>
        <v>0.26699171387258103</v>
      </c>
      <c r="I46" s="50">
        <f>590.63/I45</f>
        <v>0.10040783297718073</v>
      </c>
      <c r="J46" s="50">
        <f>570.3/J45</f>
        <v>0.15343472634379818</v>
      </c>
      <c r="K46" s="50">
        <f>796.17/K45</f>
        <v>0.17680879413724182</v>
      </c>
      <c r="L46" s="50">
        <f>712.32/L45</f>
        <v>0.13293669308031966</v>
      </c>
      <c r="M46" s="50">
        <f>811.07/M45</f>
        <v>0.16654756771186269</v>
      </c>
      <c r="N46" s="52">
        <f>639.52/N45</f>
        <v>0.15514798641436195</v>
      </c>
      <c r="O46" s="50">
        <f>904.92/O45</f>
        <v>0.14313824739006642</v>
      </c>
      <c r="P46" s="50">
        <f>607.51/P45</f>
        <v>7.6250902130597126E-2</v>
      </c>
      <c r="Q46" s="50">
        <f>491.83/Q45</f>
        <v>8.8078438395415473E-2</v>
      </c>
      <c r="R46" s="50">
        <f>939.43/R45</f>
        <v>0.16126806139457911</v>
      </c>
      <c r="S46" s="50">
        <f>917.59/S45</f>
        <v>0.11686022595430737</v>
      </c>
      <c r="T46" s="50">
        <f>889.93/T45</f>
        <v>0.105955021531992</v>
      </c>
      <c r="U46" s="101"/>
      <c r="V46" s="50">
        <f>892.04/V45</f>
        <v>0.10170334055409873</v>
      </c>
      <c r="W46" s="50">
        <f>235.23/W45</f>
        <v>3.0242993057341218E-2</v>
      </c>
      <c r="X46" s="50">
        <f>375.42/X45</f>
        <v>0.11041764705882354</v>
      </c>
      <c r="Y46" s="50">
        <f>697.98/Y45</f>
        <v>0.17333452535276325</v>
      </c>
      <c r="Z46" s="50">
        <f>510.52/Z45</f>
        <v>0.13311535081886852</v>
      </c>
      <c r="AA46" s="50">
        <f>503.34/AA45</f>
        <v>0.14623474723997676</v>
      </c>
      <c r="AB46" s="50">
        <f>746.55/AB45</f>
        <v>0.20155237580993518</v>
      </c>
      <c r="AC46" s="50">
        <f>826.82/AC45</f>
        <v>0.20400197384653346</v>
      </c>
      <c r="AD46" s="50">
        <f>405.1/AD45</f>
        <v>7.5493850167722698E-2</v>
      </c>
      <c r="AE46" s="50">
        <f>567.85/AE45</f>
        <v>0.22312377210216111</v>
      </c>
      <c r="AF46" s="50">
        <f>1131.03/AF45</f>
        <v>0.33404018417500764</v>
      </c>
      <c r="AG46" s="50">
        <f>1083.71/AG45</f>
        <v>0.25814911862791806</v>
      </c>
      <c r="AH46" s="50"/>
      <c r="AI46" s="51">
        <f>AVERAGE(D46:AG46)</f>
        <v>0.1765195145730053</v>
      </c>
      <c r="AJ46" s="6"/>
    </row>
    <row r="47" spans="1:36" ht="15" thickTop="1" x14ac:dyDescent="0.3">
      <c r="A47" s="23"/>
      <c r="B47" s="340" t="s">
        <v>77</v>
      </c>
      <c r="C47" s="341"/>
      <c r="D47" s="42">
        <f>(562.19+920.56)/(D39+D45)</f>
        <v>0.39968569649494984</v>
      </c>
      <c r="E47" s="43">
        <f>(600.42+907.1)/(E39+E45)</f>
        <v>0.32185763299536063</v>
      </c>
      <c r="F47" s="43">
        <f>(684.35+709.03)/(F39+F45)</f>
        <v>0.21185002736726874</v>
      </c>
      <c r="G47" s="43">
        <f>(685.79+1190.25)/(G39+G45)</f>
        <v>0.29625208051062918</v>
      </c>
      <c r="H47" s="43">
        <f>(1304.26+829.06)/(H39+H45)</f>
        <v>0.29843739070828024</v>
      </c>
      <c r="I47" s="43">
        <f>(339.77+590.63)/(I39+I45)</f>
        <v>8.9883732725349344E-2</v>
      </c>
      <c r="J47" s="43">
        <f>(460.55+570.3)/(J39+J45)</f>
        <v>0.14724556449251452</v>
      </c>
      <c r="K47" s="43">
        <f>(796.17+1354.16)/(K39+K45)</f>
        <v>0.3666376811594203</v>
      </c>
      <c r="L47" s="43">
        <f>(712.32+1475.59)/(L39+L45)</f>
        <v>0.28273854138128884</v>
      </c>
      <c r="M47" s="43">
        <f>(811.07+1133.41)/(M39+M45)</f>
        <v>0.27012744534186861</v>
      </c>
      <c r="N47" s="43">
        <f>(639.52+884.71)/(N39+N45)</f>
        <v>0.24372081867604733</v>
      </c>
      <c r="O47" s="43">
        <f>(904.92+991.17)/(O39+O45)</f>
        <v>0.16108188195195466</v>
      </c>
      <c r="P47" s="43">
        <f>(607.51+198.4)/(P39+P45)</f>
        <v>5.708689723565142E-2</v>
      </c>
      <c r="Q47" s="43">
        <f>(491.83+241.64)/(Q39+Q45)</f>
        <v>8.3959478021978021E-2</v>
      </c>
      <c r="R47" s="43">
        <f>(939.43+794.4)/(R39+R45)</f>
        <v>0.17948532144376661</v>
      </c>
      <c r="S47" s="43">
        <f>(917.59+661.12)/(S39+S45)</f>
        <v>0.14671316999550207</v>
      </c>
      <c r="T47" s="43">
        <f>(889.93+637.74)/(T39+T45)</f>
        <v>0.12686044744575919</v>
      </c>
      <c r="U47" s="43"/>
      <c r="V47" s="43">
        <f>(892.04+884.46)/(V39+V45)</f>
        <v>0.12563338248346045</v>
      </c>
      <c r="W47" s="43"/>
      <c r="X47" s="43">
        <f>(375.42+637.98)/(X39+X45)</f>
        <v>0.18465743440233237</v>
      </c>
      <c r="Y47" s="43">
        <f>(697.98+749.46)/(Y39+Y45)</f>
        <v>0.25751586078800448</v>
      </c>
      <c r="Z47" s="43">
        <f>(510.52+950.83)/(Z39+Z45)</f>
        <v>0.23322007606164724</v>
      </c>
      <c r="AA47" s="43">
        <f>(503.34+960.91)/(AA39+AA45)</f>
        <v>0.26866972477064222</v>
      </c>
      <c r="AB47" s="43">
        <f>(746.55+885.95)/(AB39+AB45)</f>
        <v>0.27787234042553194</v>
      </c>
      <c r="AC47" s="43">
        <f>(826.82+1027.2)/(AC39+AC45)</f>
        <v>0.23630130002549068</v>
      </c>
      <c r="AD47" s="43">
        <f>(405.1+521.34)/(AD39+AD45)</f>
        <v>9.581549281207985E-2</v>
      </c>
      <c r="AE47" s="43">
        <f>(567.85+456.37)/(AE39+AE45)</f>
        <v>0.22377539873279442</v>
      </c>
      <c r="AF47" s="43">
        <f>(786.18+1131.03)/(AF39+AF45)</f>
        <v>0.35783864495357193</v>
      </c>
      <c r="AG47" s="43">
        <f>(932.51+1083.71)/(AG39+AG45)</f>
        <v>0.30791386682956629</v>
      </c>
      <c r="AH47" s="43"/>
      <c r="AI47" s="44">
        <f>AVERAGE(D47:AG47)</f>
        <v>0.22331561893688257</v>
      </c>
      <c r="AJ47" s="6"/>
    </row>
    <row r="48" spans="1:36" ht="15" thickBot="1" x14ac:dyDescent="0.35">
      <c r="A48" s="23"/>
      <c r="B48" s="342" t="s">
        <v>78</v>
      </c>
      <c r="C48" s="343"/>
      <c r="D48" s="42">
        <f t="shared" ref="D48:P48" si="54">D47</f>
        <v>0.39968569649494984</v>
      </c>
      <c r="E48" s="43">
        <f t="shared" si="54"/>
        <v>0.32185763299536063</v>
      </c>
      <c r="F48" s="43">
        <f t="shared" si="54"/>
        <v>0.21185002736726874</v>
      </c>
      <c r="G48" s="43">
        <f t="shared" si="54"/>
        <v>0.29625208051062918</v>
      </c>
      <c r="H48" s="43">
        <f t="shared" si="54"/>
        <v>0.29843739070828024</v>
      </c>
      <c r="I48" s="43">
        <f t="shared" si="54"/>
        <v>8.9883732725349344E-2</v>
      </c>
      <c r="J48" s="43">
        <f t="shared" si="54"/>
        <v>0.14724556449251452</v>
      </c>
      <c r="K48" s="43">
        <f t="shared" si="54"/>
        <v>0.3666376811594203</v>
      </c>
      <c r="L48" s="43">
        <f t="shared" si="54"/>
        <v>0.28273854138128884</v>
      </c>
      <c r="M48" s="43">
        <f t="shared" si="54"/>
        <v>0.27012744534186861</v>
      </c>
      <c r="N48" s="43">
        <f t="shared" si="54"/>
        <v>0.24372081867604733</v>
      </c>
      <c r="O48" s="43">
        <f t="shared" si="54"/>
        <v>0.16108188195195466</v>
      </c>
      <c r="P48" s="43">
        <f t="shared" si="54"/>
        <v>5.708689723565142E-2</v>
      </c>
      <c r="Q48" s="43">
        <f>Q47</f>
        <v>8.3959478021978021E-2</v>
      </c>
      <c r="R48" s="43">
        <f>R47</f>
        <v>0.17948532144376661</v>
      </c>
      <c r="S48" s="43">
        <f>S47</f>
        <v>0.14671316999550207</v>
      </c>
      <c r="T48" s="43">
        <f>T47</f>
        <v>0.12686044744575919</v>
      </c>
      <c r="U48" s="43"/>
      <c r="V48" s="43">
        <f>V47</f>
        <v>0.12563338248346045</v>
      </c>
      <c r="W48" s="43"/>
      <c r="X48" s="43">
        <f t="shared" ref="X48:AE48" si="55">X47</f>
        <v>0.18465743440233237</v>
      </c>
      <c r="Y48" s="43">
        <f t="shared" si="55"/>
        <v>0.25751586078800448</v>
      </c>
      <c r="Z48" s="43">
        <f t="shared" si="55"/>
        <v>0.23322007606164724</v>
      </c>
      <c r="AA48" s="43">
        <f t="shared" si="55"/>
        <v>0.26866972477064222</v>
      </c>
      <c r="AB48" s="43">
        <f t="shared" si="55"/>
        <v>0.27787234042553194</v>
      </c>
      <c r="AC48" s="43">
        <f t="shared" si="55"/>
        <v>0.23630130002549068</v>
      </c>
      <c r="AD48" s="43">
        <f t="shared" si="55"/>
        <v>9.581549281207985E-2</v>
      </c>
      <c r="AE48" s="43">
        <f t="shared" si="55"/>
        <v>0.22377539873279442</v>
      </c>
      <c r="AF48" s="43">
        <f>AF47</f>
        <v>0.35783864495357193</v>
      </c>
      <c r="AG48" s="43">
        <f>AG47</f>
        <v>0.30791386682956629</v>
      </c>
      <c r="AH48" s="43"/>
      <c r="AI48" s="44">
        <f>AVERAGE(D48:AH48)</f>
        <v>0.22331561893688257</v>
      </c>
      <c r="AJ48" s="6"/>
    </row>
    <row r="49" spans="1:36" ht="15" thickTop="1" x14ac:dyDescent="0.3">
      <c r="A49" s="2">
        <v>224</v>
      </c>
      <c r="B49" s="9" t="s">
        <v>69</v>
      </c>
      <c r="C49" s="10" t="s">
        <v>15</v>
      </c>
      <c r="D49" s="11">
        <f>80+75</f>
        <v>155</v>
      </c>
      <c r="E49" s="12">
        <f>84+82</f>
        <v>166</v>
      </c>
      <c r="F49" s="12">
        <f>94+80</f>
        <v>174</v>
      </c>
      <c r="G49" s="12">
        <f>83+83</f>
        <v>166</v>
      </c>
      <c r="H49" s="12">
        <f>90+73</f>
        <v>163</v>
      </c>
      <c r="I49" s="12">
        <f>100+72</f>
        <v>172</v>
      </c>
      <c r="J49" s="12">
        <f>78+74</f>
        <v>152</v>
      </c>
      <c r="K49" s="12">
        <f>62+81</f>
        <v>143</v>
      </c>
      <c r="L49" s="12">
        <f>81+79</f>
        <v>160</v>
      </c>
      <c r="M49" s="12">
        <f>89+74</f>
        <v>163</v>
      </c>
      <c r="N49" s="12">
        <f>77+87</f>
        <v>164</v>
      </c>
      <c r="O49" s="12">
        <f>75+123</f>
        <v>198</v>
      </c>
      <c r="P49" s="12">
        <f>84+127</f>
        <v>211</v>
      </c>
      <c r="Q49" s="12">
        <f>74+71</f>
        <v>145</v>
      </c>
      <c r="R49" s="12">
        <f>72+74</f>
        <v>146</v>
      </c>
      <c r="S49" s="12">
        <f>68+79</f>
        <v>147</v>
      </c>
      <c r="T49" s="12">
        <v>160</v>
      </c>
      <c r="U49" s="12">
        <f>67+83</f>
        <v>150</v>
      </c>
      <c r="V49" s="12">
        <f>104+85</f>
        <v>189</v>
      </c>
      <c r="W49" s="12">
        <f>110+88</f>
        <v>198</v>
      </c>
      <c r="X49" s="12">
        <f>82+50</f>
        <v>132</v>
      </c>
      <c r="Y49" s="54">
        <f>89+79</f>
        <v>168</v>
      </c>
      <c r="Z49" s="54">
        <f>88+96</f>
        <v>184</v>
      </c>
      <c r="AA49" s="12">
        <f>88+83</f>
        <v>171</v>
      </c>
      <c r="AB49" s="12">
        <f>85+77</f>
        <v>162</v>
      </c>
      <c r="AC49" s="12">
        <f>63+78</f>
        <v>141</v>
      </c>
      <c r="AD49" s="12">
        <f>107+76</f>
        <v>183</v>
      </c>
      <c r="AE49" s="12">
        <f>74+53</f>
        <v>127</v>
      </c>
      <c r="AF49" s="131">
        <f>87+44</f>
        <v>131</v>
      </c>
      <c r="AG49" s="131">
        <v>126</v>
      </c>
      <c r="AH49" s="12">
        <f>64+84</f>
        <v>148</v>
      </c>
      <c r="AI49" s="13">
        <f>SUM(D49:AG49)</f>
        <v>4847</v>
      </c>
      <c r="AJ49" s="6"/>
    </row>
    <row r="50" spans="1:36" x14ac:dyDescent="0.3">
      <c r="A50" s="2"/>
      <c r="B50" s="14"/>
      <c r="C50" s="15" t="s">
        <v>16</v>
      </c>
      <c r="D50" s="16">
        <f>D49/$A$49</f>
        <v>0.6919642857142857</v>
      </c>
      <c r="E50" s="16">
        <f t="shared" ref="E50:W50" si="56">E49/$A$49</f>
        <v>0.7410714285714286</v>
      </c>
      <c r="F50" s="16">
        <f t="shared" si="56"/>
        <v>0.7767857142857143</v>
      </c>
      <c r="G50" s="16">
        <f t="shared" si="56"/>
        <v>0.7410714285714286</v>
      </c>
      <c r="H50" s="16">
        <f t="shared" si="56"/>
        <v>0.7276785714285714</v>
      </c>
      <c r="I50" s="16">
        <f t="shared" si="56"/>
        <v>0.7678571428571429</v>
      </c>
      <c r="J50" s="16">
        <f t="shared" si="56"/>
        <v>0.6785714285714286</v>
      </c>
      <c r="K50" s="16">
        <f t="shared" si="56"/>
        <v>0.6383928571428571</v>
      </c>
      <c r="L50" s="16">
        <f t="shared" si="56"/>
        <v>0.7142857142857143</v>
      </c>
      <c r="M50" s="16">
        <f t="shared" si="56"/>
        <v>0.7276785714285714</v>
      </c>
      <c r="N50" s="16">
        <f t="shared" si="56"/>
        <v>0.7321428571428571</v>
      </c>
      <c r="O50" s="16">
        <f t="shared" si="56"/>
        <v>0.8839285714285714</v>
      </c>
      <c r="P50" s="16">
        <f t="shared" si="56"/>
        <v>0.9419642857142857</v>
      </c>
      <c r="Q50" s="16">
        <f t="shared" si="56"/>
        <v>0.6473214285714286</v>
      </c>
      <c r="R50" s="16">
        <f t="shared" si="56"/>
        <v>0.6517857142857143</v>
      </c>
      <c r="S50" s="16">
        <f t="shared" si="56"/>
        <v>0.65625</v>
      </c>
      <c r="T50" s="16">
        <f t="shared" si="56"/>
        <v>0.7142857142857143</v>
      </c>
      <c r="U50" s="16">
        <f t="shared" si="56"/>
        <v>0.6696428571428571</v>
      </c>
      <c r="V50" s="16">
        <f t="shared" si="56"/>
        <v>0.84375</v>
      </c>
      <c r="W50" s="16">
        <f t="shared" si="56"/>
        <v>0.8839285714285714</v>
      </c>
      <c r="X50" s="16">
        <f t="shared" ref="X50:AH50" si="57">X49/$A$49</f>
        <v>0.5892857142857143</v>
      </c>
      <c r="Y50" s="16">
        <f t="shared" si="57"/>
        <v>0.75</v>
      </c>
      <c r="Z50" s="16">
        <f t="shared" si="57"/>
        <v>0.8214285714285714</v>
      </c>
      <c r="AA50" s="16">
        <f t="shared" si="57"/>
        <v>0.7633928571428571</v>
      </c>
      <c r="AB50" s="16">
        <f t="shared" si="57"/>
        <v>0.7232142857142857</v>
      </c>
      <c r="AC50" s="16">
        <f t="shared" si="57"/>
        <v>0.6294642857142857</v>
      </c>
      <c r="AD50" s="16">
        <f t="shared" si="57"/>
        <v>0.8169642857142857</v>
      </c>
      <c r="AE50" s="16">
        <f t="shared" si="57"/>
        <v>0.5669642857142857</v>
      </c>
      <c r="AF50" s="16">
        <f t="shared" si="57"/>
        <v>0.5848214285714286</v>
      </c>
      <c r="AG50" s="16">
        <f t="shared" si="57"/>
        <v>0.5625</v>
      </c>
      <c r="AH50" s="16">
        <f t="shared" si="57"/>
        <v>0.6607142857142857</v>
      </c>
      <c r="AI50" s="17">
        <f>+AI49/(A49*A$1)</f>
        <v>0.69801267281105994</v>
      </c>
      <c r="AJ50" s="6"/>
    </row>
    <row r="51" spans="1:36" x14ac:dyDescent="0.3">
      <c r="A51" s="2"/>
      <c r="B51" s="14"/>
      <c r="C51" s="15" t="s">
        <v>17</v>
      </c>
      <c r="D51" s="18">
        <f>+IFERROR(D53/D49,0)</f>
        <v>82.695354838709676</v>
      </c>
      <c r="E51" s="18">
        <f t="shared" ref="E51:W51" si="58">+IFERROR(E53/E49,0)</f>
        <v>82.801987951807234</v>
      </c>
      <c r="F51" s="18">
        <f t="shared" si="58"/>
        <v>82.602471264367821</v>
      </c>
      <c r="G51" s="18">
        <f t="shared" si="58"/>
        <v>81.271024096385545</v>
      </c>
      <c r="H51" s="18">
        <f t="shared" si="58"/>
        <v>74.183803680981583</v>
      </c>
      <c r="I51" s="18">
        <f t="shared" si="58"/>
        <v>76.996279069767439</v>
      </c>
      <c r="J51" s="18">
        <f t="shared" si="58"/>
        <v>82.236842105263165</v>
      </c>
      <c r="K51" s="18">
        <f t="shared" si="58"/>
        <v>86.241608391608381</v>
      </c>
      <c r="L51" s="18">
        <f t="shared" si="58"/>
        <v>84.210625000000007</v>
      </c>
      <c r="M51" s="18">
        <f t="shared" si="58"/>
        <v>82.175030674846624</v>
      </c>
      <c r="N51" s="18">
        <f t="shared" si="58"/>
        <v>76.225609756097555</v>
      </c>
      <c r="O51" s="18">
        <f t="shared" si="58"/>
        <v>75.808080808080803</v>
      </c>
      <c r="P51" s="18">
        <f t="shared" si="58"/>
        <v>73.469194312796205</v>
      </c>
      <c r="Q51" s="18">
        <f t="shared" si="58"/>
        <v>73.551724137931032</v>
      </c>
      <c r="R51" s="18">
        <f t="shared" si="58"/>
        <v>81.004178082191785</v>
      </c>
      <c r="S51" s="18">
        <f t="shared" si="58"/>
        <v>79.431904761904761</v>
      </c>
      <c r="T51" s="18">
        <f t="shared" si="58"/>
        <v>81.318749999999994</v>
      </c>
      <c r="U51" s="18">
        <f t="shared" si="58"/>
        <v>77.19319999999999</v>
      </c>
      <c r="V51" s="18">
        <f>+IFERROR(V53/V49,0)</f>
        <v>88.031746031746039</v>
      </c>
      <c r="W51" s="18">
        <f t="shared" si="58"/>
        <v>83.909595959595947</v>
      </c>
      <c r="X51" s="18">
        <f t="shared" ref="X51:AH51" si="59">+IFERROR(X53/X49,0)</f>
        <v>80.341212121212124</v>
      </c>
      <c r="Y51" s="18">
        <f t="shared" si="59"/>
        <v>90.460238095238097</v>
      </c>
      <c r="Z51" s="18">
        <f t="shared" si="59"/>
        <v>97.938967391304345</v>
      </c>
      <c r="AA51" s="18">
        <f t="shared" si="59"/>
        <v>100.01169590643275</v>
      </c>
      <c r="AB51" s="18">
        <f t="shared" si="59"/>
        <v>95.5</v>
      </c>
      <c r="AC51" s="18">
        <f t="shared" si="59"/>
        <v>76.269503546099287</v>
      </c>
      <c r="AD51" s="18">
        <f t="shared" si="59"/>
        <v>105.86338797814207</v>
      </c>
      <c r="AE51" s="18">
        <f t="shared" si="59"/>
        <v>84.346456692913392</v>
      </c>
      <c r="AF51" s="18">
        <f t="shared" si="59"/>
        <v>81.045496183206097</v>
      </c>
      <c r="AG51" s="18">
        <f t="shared" si="59"/>
        <v>82.325396825396822</v>
      </c>
      <c r="AH51" s="18">
        <f t="shared" si="59"/>
        <v>93.040540540540547</v>
      </c>
      <c r="AI51" s="19">
        <f>+AI53/AI49</f>
        <v>83.497235403342287</v>
      </c>
      <c r="AJ51" s="6"/>
    </row>
    <row r="52" spans="1:36" x14ac:dyDescent="0.3">
      <c r="A52" s="2"/>
      <c r="B52" s="14"/>
      <c r="C52" s="15" t="s">
        <v>18</v>
      </c>
      <c r="D52" s="18">
        <f>+D50*D51</f>
        <v>57.222232142857138</v>
      </c>
      <c r="E52" s="18">
        <f t="shared" ref="E52:W52" si="60">+E50*E51</f>
        <v>61.362187500000005</v>
      </c>
      <c r="F52" s="18">
        <f t="shared" si="60"/>
        <v>64.164419642857155</v>
      </c>
      <c r="G52" s="18">
        <f t="shared" si="60"/>
        <v>60.227633928571436</v>
      </c>
      <c r="H52" s="18">
        <f t="shared" si="60"/>
        <v>53.981964285714277</v>
      </c>
      <c r="I52" s="18">
        <f t="shared" si="60"/>
        <v>59.122142857142862</v>
      </c>
      <c r="J52" s="18">
        <f t="shared" si="60"/>
        <v>55.803571428571438</v>
      </c>
      <c r="K52" s="18">
        <f t="shared" si="60"/>
        <v>55.056026785714273</v>
      </c>
      <c r="L52" s="18">
        <f t="shared" si="60"/>
        <v>60.150446428571435</v>
      </c>
      <c r="M52" s="18">
        <f t="shared" si="60"/>
        <v>59.797008928571422</v>
      </c>
      <c r="N52" s="18">
        <f t="shared" si="60"/>
        <v>55.808035714285708</v>
      </c>
      <c r="O52" s="18">
        <f t="shared" si="60"/>
        <v>67.008928571428569</v>
      </c>
      <c r="P52" s="18">
        <f t="shared" si="60"/>
        <v>69.205357142857139</v>
      </c>
      <c r="Q52" s="18">
        <f t="shared" si="60"/>
        <v>47.611607142857146</v>
      </c>
      <c r="R52" s="18">
        <f t="shared" si="60"/>
        <v>52.797366071428577</v>
      </c>
      <c r="S52" s="18">
        <f t="shared" si="60"/>
        <v>52.127187499999998</v>
      </c>
      <c r="T52" s="18">
        <f t="shared" si="60"/>
        <v>58.084821428571423</v>
      </c>
      <c r="U52" s="18">
        <f t="shared" si="60"/>
        <v>51.691874999999989</v>
      </c>
      <c r="V52" s="18">
        <f t="shared" si="60"/>
        <v>74.276785714285722</v>
      </c>
      <c r="W52" s="18">
        <f t="shared" si="60"/>
        <v>74.170089285714269</v>
      </c>
      <c r="X52" s="18">
        <f t="shared" ref="X52:AH52" si="61">+X50*X51</f>
        <v>47.343928571428577</v>
      </c>
      <c r="Y52" s="18">
        <f t="shared" si="61"/>
        <v>67.845178571428576</v>
      </c>
      <c r="Z52" s="18">
        <f t="shared" si="61"/>
        <v>80.449866071428559</v>
      </c>
      <c r="AA52" s="18">
        <f t="shared" si="61"/>
        <v>76.348214285714278</v>
      </c>
      <c r="AB52" s="18">
        <f t="shared" si="61"/>
        <v>69.066964285714278</v>
      </c>
      <c r="AC52" s="18">
        <f t="shared" si="61"/>
        <v>48.008928571428569</v>
      </c>
      <c r="AD52" s="18">
        <f t="shared" si="61"/>
        <v>86.486607142857139</v>
      </c>
      <c r="AE52" s="18">
        <f t="shared" si="61"/>
        <v>47.821428571428577</v>
      </c>
      <c r="AF52" s="18">
        <f t="shared" si="61"/>
        <v>47.397142857142853</v>
      </c>
      <c r="AG52" s="18">
        <f t="shared" si="61"/>
        <v>46.308035714285715</v>
      </c>
      <c r="AH52" s="18">
        <f t="shared" si="61"/>
        <v>61.473214285714292</v>
      </c>
      <c r="AI52" s="19">
        <f>+AI51*AI50</f>
        <v>58.282128456221209</v>
      </c>
      <c r="AJ52" s="6"/>
    </row>
    <row r="53" spans="1:36" x14ac:dyDescent="0.3">
      <c r="A53" s="2"/>
      <c r="B53" s="14"/>
      <c r="C53" s="15" t="s">
        <v>19</v>
      </c>
      <c r="D53" s="20">
        <f>8020.74+4797.04</f>
        <v>12817.779999999999</v>
      </c>
      <c r="E53" s="21">
        <f>8015.37+5729.76</f>
        <v>13745.130000000001</v>
      </c>
      <c r="F53" s="21">
        <f>9016.62+5356.21</f>
        <v>14372.830000000002</v>
      </c>
      <c r="G53" s="21">
        <f>7879.61+5611.38</f>
        <v>13490.99</v>
      </c>
      <c r="H53" s="21">
        <f>7547.91+4544.05</f>
        <v>12091.96</v>
      </c>
      <c r="I53" s="21">
        <f>8772.26+4471.1</f>
        <v>13243.36</v>
      </c>
      <c r="J53" s="21">
        <f>7213.59+5286.41</f>
        <v>12500</v>
      </c>
      <c r="K53" s="21">
        <f>6838.35+5494.2</f>
        <v>12332.55</v>
      </c>
      <c r="L53" s="21">
        <f>5855+7618.7</f>
        <v>13473.7</v>
      </c>
      <c r="M53" s="21">
        <f>4910.13+8484.4</f>
        <v>13394.529999999999</v>
      </c>
      <c r="N53" s="21">
        <f>4645+7856</f>
        <v>12501</v>
      </c>
      <c r="O53" s="21">
        <f>4677+10333</f>
        <v>15010</v>
      </c>
      <c r="P53" s="21">
        <f>5401+10101</f>
        <v>15502</v>
      </c>
      <c r="Q53" s="21">
        <f>4641+6024</f>
        <v>10665</v>
      </c>
      <c r="R53" s="21">
        <f>6888.24+4938.37</f>
        <v>11826.61</v>
      </c>
      <c r="S53" s="21">
        <f>6557+5119.49</f>
        <v>11676.49</v>
      </c>
      <c r="T53" s="21">
        <v>13011</v>
      </c>
      <c r="U53" s="21">
        <f>6587.14+4991.84</f>
        <v>11578.98</v>
      </c>
      <c r="V53" s="21">
        <f>11289+5349</f>
        <v>16638</v>
      </c>
      <c r="W53" s="21">
        <f>11354+5260.1</f>
        <v>16614.099999999999</v>
      </c>
      <c r="X53" s="21">
        <f>5171+5434.04</f>
        <v>10605.04</v>
      </c>
      <c r="Y53" s="21">
        <f>5722+9475.32</f>
        <v>15197.32</v>
      </c>
      <c r="Z53" s="21">
        <f>5717.9+12302.87</f>
        <v>18020.77</v>
      </c>
      <c r="AA53" s="21">
        <f>5851+11251</f>
        <v>17102</v>
      </c>
      <c r="AB53" s="21">
        <f>5653+9818</f>
        <v>15471</v>
      </c>
      <c r="AC53" s="21">
        <f>6489+4265</f>
        <v>10754</v>
      </c>
      <c r="AD53" s="21">
        <f>14723+4650</f>
        <v>19373</v>
      </c>
      <c r="AE53" s="21">
        <f>4925+5787</f>
        <v>10712</v>
      </c>
      <c r="AF53" s="132">
        <f>6345.26+4271.7</f>
        <v>10616.96</v>
      </c>
      <c r="AG53" s="132">
        <v>10373</v>
      </c>
      <c r="AH53" s="21">
        <f>7355+6415</f>
        <v>13770</v>
      </c>
      <c r="AI53" s="22">
        <f>SUM(D53:AG53)</f>
        <v>404711.10000000003</v>
      </c>
      <c r="AJ53" s="6"/>
    </row>
    <row r="54" spans="1:36" x14ac:dyDescent="0.3">
      <c r="A54" s="2"/>
      <c r="B54" s="14"/>
      <c r="C54" s="15" t="s">
        <v>34</v>
      </c>
      <c r="D54" s="20">
        <v>626.33000000000004</v>
      </c>
      <c r="E54" s="21">
        <v>0</v>
      </c>
      <c r="F54" s="21">
        <v>699.24</v>
      </c>
      <c r="G54" s="21">
        <v>438.06</v>
      </c>
      <c r="H54" s="21">
        <v>856.59</v>
      </c>
      <c r="I54" s="21">
        <v>423.31</v>
      </c>
      <c r="J54" s="21">
        <v>376.81</v>
      </c>
      <c r="K54" s="21">
        <f t="shared" ref="K54:T54" si="62">+K55-K53</f>
        <v>496.98000000000138</v>
      </c>
      <c r="L54" s="21">
        <f t="shared" si="62"/>
        <v>925.26000000000022</v>
      </c>
      <c r="M54" s="21">
        <f t="shared" si="62"/>
        <v>1907.2900000000009</v>
      </c>
      <c r="N54" s="21">
        <f t="shared" si="62"/>
        <v>1709</v>
      </c>
      <c r="O54" s="21">
        <f t="shared" si="62"/>
        <v>2559</v>
      </c>
      <c r="P54" s="21">
        <f t="shared" si="62"/>
        <v>1904</v>
      </c>
      <c r="Q54" s="21">
        <f t="shared" si="62"/>
        <v>531</v>
      </c>
      <c r="R54" s="21">
        <f t="shared" si="62"/>
        <v>1492.3600000000006</v>
      </c>
      <c r="S54" s="21">
        <f t="shared" si="62"/>
        <v>594.51000000000022</v>
      </c>
      <c r="T54" s="21">
        <f t="shared" si="62"/>
        <v>1767</v>
      </c>
      <c r="U54" s="21">
        <v>438.81</v>
      </c>
      <c r="V54" s="21">
        <f>+V55-V53</f>
        <v>871</v>
      </c>
      <c r="W54" s="21">
        <f>+W55-W53</f>
        <v>1458.9000000000015</v>
      </c>
      <c r="X54" s="21">
        <f>+X55-X53</f>
        <v>3243.9599999999991</v>
      </c>
      <c r="Y54" s="21">
        <f>+Y55-Y53</f>
        <v>2087.8600000000006</v>
      </c>
      <c r="Z54" s="21">
        <f t="shared" ref="Z54:AH54" si="63">+Z55-Z53</f>
        <v>1320.630000000001</v>
      </c>
      <c r="AA54" s="21">
        <f t="shared" si="63"/>
        <v>1804</v>
      </c>
      <c r="AB54" s="21">
        <f t="shared" si="63"/>
        <v>1264</v>
      </c>
      <c r="AC54" s="21">
        <f t="shared" si="63"/>
        <v>703</v>
      </c>
      <c r="AD54" s="21">
        <f t="shared" si="63"/>
        <v>1347</v>
      </c>
      <c r="AE54" s="21">
        <f t="shared" si="63"/>
        <v>285</v>
      </c>
      <c r="AF54" s="21">
        <f t="shared" si="63"/>
        <v>887.68000000000029</v>
      </c>
      <c r="AG54" s="21">
        <v>1045</v>
      </c>
      <c r="AH54" s="21">
        <f t="shared" si="63"/>
        <v>3854</v>
      </c>
      <c r="AI54" s="22">
        <f>SUM(D54:AH54)</f>
        <v>37917.580000000009</v>
      </c>
      <c r="AJ54" s="6"/>
    </row>
    <row r="55" spans="1:36" ht="15" thickBot="1" x14ac:dyDescent="0.35">
      <c r="A55" s="2"/>
      <c r="B55" s="33"/>
      <c r="C55" s="34" t="s">
        <v>35</v>
      </c>
      <c r="D55" s="21">
        <f>9417.95+4822.91</f>
        <v>14240.86</v>
      </c>
      <c r="E55" s="21">
        <f>8709.58+5746.39</f>
        <v>14455.970000000001</v>
      </c>
      <c r="F55" s="21">
        <f>10657.08+5369.14</f>
        <v>16026.220000000001</v>
      </c>
      <c r="G55" s="21">
        <f>16330.35+5624.32</f>
        <v>21954.67</v>
      </c>
      <c r="H55" s="21">
        <f>9763.18+4587.69</f>
        <v>14350.869999999999</v>
      </c>
      <c r="I55" s="21">
        <f>9980.8+4474.81</f>
        <v>14455.61</v>
      </c>
      <c r="J55" s="21">
        <f>8602.97+5289.19</f>
        <v>13892.16</v>
      </c>
      <c r="K55" s="21">
        <f>7303.72+5525.81</f>
        <v>12829.53</v>
      </c>
      <c r="L55" s="21">
        <f>5892.51+8506.45</f>
        <v>14398.960000000001</v>
      </c>
      <c r="M55" s="21">
        <f>10362+4939.82</f>
        <v>15301.82</v>
      </c>
      <c r="N55" s="21">
        <f>4675+9535</f>
        <v>14210</v>
      </c>
      <c r="O55" s="21">
        <f>4684+12885</f>
        <v>17569</v>
      </c>
      <c r="P55" s="21">
        <f>5423+11983</f>
        <v>17406</v>
      </c>
      <c r="Q55" s="21">
        <f>4699+6497</f>
        <v>11196</v>
      </c>
      <c r="R55" s="21">
        <f>8380.6+4938.37</f>
        <v>13318.970000000001</v>
      </c>
      <c r="S55" s="21">
        <f>7135+5136</f>
        <v>12271</v>
      </c>
      <c r="T55" s="21">
        <v>14778</v>
      </c>
      <c r="U55" s="21">
        <f>8151.91+4991.84</f>
        <v>13143.75</v>
      </c>
      <c r="V55" s="21">
        <f>12120+5389</f>
        <v>17509</v>
      </c>
      <c r="W55" s="21">
        <f>12815+5258</f>
        <v>18073</v>
      </c>
      <c r="X55" s="21">
        <f>5194+8655</f>
        <v>13849</v>
      </c>
      <c r="Y55" s="21">
        <f>5755+11530.18</f>
        <v>17285.18</v>
      </c>
      <c r="Z55" s="21">
        <f>5779.46+13561.94</f>
        <v>19341.400000000001</v>
      </c>
      <c r="AA55" s="21">
        <f>5875+13031</f>
        <v>18906</v>
      </c>
      <c r="AB55" s="21">
        <f>5664+11071</f>
        <v>16735</v>
      </c>
      <c r="AC55" s="21">
        <f>7183+4274</f>
        <v>11457</v>
      </c>
      <c r="AD55" s="21">
        <f>16090+4630</f>
        <v>20720</v>
      </c>
      <c r="AE55" s="21">
        <f>4929+6068</f>
        <v>10997</v>
      </c>
      <c r="AF55" s="21">
        <f>6363+5141.64</f>
        <v>11504.64</v>
      </c>
      <c r="AG55" s="21">
        <v>11418</v>
      </c>
      <c r="AH55" s="21">
        <f>11276+6348</f>
        <v>17624</v>
      </c>
      <c r="AI55" s="39">
        <f>SUM(D55:AG55)</f>
        <v>453594.61000000004</v>
      </c>
      <c r="AJ55" s="6"/>
    </row>
    <row r="56" spans="1:36" ht="15" thickBot="1" x14ac:dyDescent="0.35">
      <c r="A56" s="23"/>
      <c r="B56" s="24"/>
      <c r="C56" s="15" t="s">
        <v>20</v>
      </c>
      <c r="D56" s="25">
        <f>2131.6/D55</f>
        <v>0.14968197145397116</v>
      </c>
      <c r="E56" s="26">
        <f>1928.02/E55</f>
        <v>0.13337188718570941</v>
      </c>
      <c r="F56" s="26">
        <f>1523.65/F55</f>
        <v>9.5072325227034196E-2</v>
      </c>
      <c r="G56" s="26">
        <f>2872.97/G55</f>
        <v>0.13085917483615103</v>
      </c>
      <c r="H56" s="26">
        <f>2872.97/H55</f>
        <v>0.20019483139349739</v>
      </c>
      <c r="I56" s="26">
        <f>1651.19/I55</f>
        <v>0.11422485803089596</v>
      </c>
      <c r="J56" s="26">
        <f>876.26/J55</f>
        <v>6.3075864372423004E-2</v>
      </c>
      <c r="K56" s="26">
        <f>2453.35/K55</f>
        <v>0.19122680254070101</v>
      </c>
      <c r="L56" s="26">
        <f>3422.96/L55</f>
        <v>0.23772272441898581</v>
      </c>
      <c r="M56" s="26">
        <f>2571.7/M55</f>
        <v>0.16806497527745065</v>
      </c>
      <c r="N56" s="26">
        <f>2640.71/N55</f>
        <v>0.18583462350457425</v>
      </c>
      <c r="O56" s="26">
        <f>2937.66/O55</f>
        <v>0.16720701235130059</v>
      </c>
      <c r="P56" s="26">
        <f>1489.78/P55</f>
        <v>8.5590026427668622E-2</v>
      </c>
      <c r="Q56" s="72">
        <f>1329.88/Q55</f>
        <v>0.11878170775276886</v>
      </c>
      <c r="R56" s="115">
        <f>2743.27/R55</f>
        <v>0.20596712808873358</v>
      </c>
      <c r="S56" s="120"/>
      <c r="T56" s="120">
        <f>2242.58/T55</f>
        <v>0.15175125186087426</v>
      </c>
      <c r="U56" s="120"/>
      <c r="V56" s="120">
        <f>1615.92/V55</f>
        <v>9.2290821863041869E-2</v>
      </c>
      <c r="W56" s="120">
        <f>1774.29/W55</f>
        <v>9.8173518508272009E-2</v>
      </c>
      <c r="X56" s="120">
        <f>1963.28/X55</f>
        <v>0.14176330420969022</v>
      </c>
      <c r="Y56" s="120">
        <f>1976.56/Y55</f>
        <v>0.11434998073494172</v>
      </c>
      <c r="Z56" s="121">
        <f>2505.14/Z55</f>
        <v>0.12952216488982182</v>
      </c>
      <c r="AA56" s="120">
        <f>2686.4/AA55</f>
        <v>0.14209245742092458</v>
      </c>
      <c r="AB56" s="120">
        <f>3014.68/AB55</f>
        <v>0.18014221691066626</v>
      </c>
      <c r="AC56" s="120">
        <f>2709.46/AC55</f>
        <v>0.23648948241249892</v>
      </c>
      <c r="AD56" s="120">
        <f>1916.36/AD55</f>
        <v>9.2488416988416977E-2</v>
      </c>
      <c r="AE56" s="120">
        <f>1097.64/AE55</f>
        <v>9.9812676184413945E-2</v>
      </c>
      <c r="AF56" s="139">
        <f>2598.48/AF55</f>
        <v>0.22586365153538052</v>
      </c>
      <c r="AG56" s="138">
        <f>2985.24/AG55</f>
        <v>0.26145034156594849</v>
      </c>
      <c r="AH56" s="138"/>
      <c r="AI56" s="27">
        <f>AVERAGE(D56:AG56)</f>
        <v>0.15046664992666989</v>
      </c>
      <c r="AJ56" s="56"/>
    </row>
    <row r="57" spans="1:36" ht="15" thickBot="1" x14ac:dyDescent="0.35">
      <c r="A57" s="23"/>
      <c r="B57" s="346" t="s">
        <v>80</v>
      </c>
      <c r="C57" s="347"/>
      <c r="D57" s="25">
        <f>D56</f>
        <v>0.14968197145397116</v>
      </c>
      <c r="E57" s="26">
        <f t="shared" ref="E57:P57" si="64">E56</f>
        <v>0.13337188718570941</v>
      </c>
      <c r="F57" s="26">
        <f t="shared" si="64"/>
        <v>9.5072325227034196E-2</v>
      </c>
      <c r="G57" s="26">
        <f t="shared" si="64"/>
        <v>0.13085917483615103</v>
      </c>
      <c r="H57" s="26">
        <f t="shared" si="64"/>
        <v>0.20019483139349739</v>
      </c>
      <c r="I57" s="26">
        <f t="shared" si="64"/>
        <v>0.11422485803089596</v>
      </c>
      <c r="J57" s="26">
        <f t="shared" si="64"/>
        <v>6.3075864372423004E-2</v>
      </c>
      <c r="K57" s="26">
        <f t="shared" si="64"/>
        <v>0.19122680254070101</v>
      </c>
      <c r="L57" s="26">
        <f t="shared" si="64"/>
        <v>0.23772272441898581</v>
      </c>
      <c r="M57" s="26">
        <f t="shared" si="64"/>
        <v>0.16806497527745065</v>
      </c>
      <c r="N57" s="26">
        <f t="shared" si="64"/>
        <v>0.18583462350457425</v>
      </c>
      <c r="O57" s="26">
        <f t="shared" si="64"/>
        <v>0.16720701235130059</v>
      </c>
      <c r="P57" s="26">
        <f t="shared" si="64"/>
        <v>8.5590026427668622E-2</v>
      </c>
      <c r="Q57" s="72">
        <f>Q56</f>
        <v>0.11878170775276886</v>
      </c>
      <c r="R57" s="116">
        <f>R56</f>
        <v>0.20596712808873358</v>
      </c>
      <c r="S57" s="26"/>
      <c r="T57" s="26">
        <f>T56</f>
        <v>0.15175125186087426</v>
      </c>
      <c r="U57" s="26"/>
      <c r="V57" s="26">
        <f t="shared" ref="V57:AA57" si="65">V56</f>
        <v>9.2290821863041869E-2</v>
      </c>
      <c r="W57" s="26">
        <f t="shared" si="65"/>
        <v>9.8173518508272009E-2</v>
      </c>
      <c r="X57" s="26">
        <f t="shared" si="65"/>
        <v>0.14176330420969022</v>
      </c>
      <c r="Y57" s="26">
        <f t="shared" si="65"/>
        <v>0.11434998073494172</v>
      </c>
      <c r="Z57" s="57">
        <f t="shared" si="65"/>
        <v>0.12952216488982182</v>
      </c>
      <c r="AA57" s="26">
        <f t="shared" si="65"/>
        <v>0.14209245742092458</v>
      </c>
      <c r="AB57" s="26">
        <f t="shared" ref="AB57:AG57" si="66">AB56</f>
        <v>0.18014221691066626</v>
      </c>
      <c r="AC57" s="26">
        <f t="shared" si="66"/>
        <v>0.23648948241249892</v>
      </c>
      <c r="AD57" s="26">
        <f t="shared" si="66"/>
        <v>9.2488416988416977E-2</v>
      </c>
      <c r="AE57" s="26">
        <f t="shared" si="66"/>
        <v>9.9812676184413945E-2</v>
      </c>
      <c r="AF57" s="26">
        <f t="shared" si="66"/>
        <v>0.22586365153538052</v>
      </c>
      <c r="AG57" s="26">
        <f t="shared" si="66"/>
        <v>0.26145034156594849</v>
      </c>
      <c r="AH57" s="26"/>
      <c r="AI57" s="27">
        <f>AVERAGE(D57:AH57)</f>
        <v>0.15046664992666989</v>
      </c>
      <c r="AJ57" s="58"/>
    </row>
    <row r="58" spans="1:36" x14ac:dyDescent="0.3">
      <c r="A58" s="2">
        <v>74</v>
      </c>
      <c r="B58" s="33" t="s">
        <v>36</v>
      </c>
      <c r="C58" s="34" t="s">
        <v>15</v>
      </c>
      <c r="D58" s="59">
        <v>33</v>
      </c>
      <c r="E58" s="60">
        <v>37</v>
      </c>
      <c r="F58" s="60">
        <v>41</v>
      </c>
      <c r="G58" s="60">
        <v>38</v>
      </c>
      <c r="H58" s="60">
        <v>57</v>
      </c>
      <c r="I58" s="60">
        <v>62</v>
      </c>
      <c r="J58" s="60">
        <v>33</v>
      </c>
      <c r="K58" s="60">
        <v>36</v>
      </c>
      <c r="L58" s="60">
        <v>53</v>
      </c>
      <c r="M58" s="60">
        <v>66</v>
      </c>
      <c r="N58" s="60">
        <v>50</v>
      </c>
      <c r="O58" s="60">
        <v>58</v>
      </c>
      <c r="P58" s="60">
        <v>59</v>
      </c>
      <c r="Q58" s="60">
        <v>32</v>
      </c>
      <c r="R58" s="60">
        <v>51</v>
      </c>
      <c r="S58" s="60">
        <v>51</v>
      </c>
      <c r="T58" s="60">
        <v>56</v>
      </c>
      <c r="U58" s="60">
        <v>56</v>
      </c>
      <c r="V58" s="60">
        <v>65</v>
      </c>
      <c r="W58" s="60">
        <v>60</v>
      </c>
      <c r="X58" s="60">
        <v>25</v>
      </c>
      <c r="Y58" s="60">
        <v>43</v>
      </c>
      <c r="Z58" s="61">
        <v>43</v>
      </c>
      <c r="AA58" s="60">
        <v>49</v>
      </c>
      <c r="AB58" s="60">
        <v>54</v>
      </c>
      <c r="AC58" s="60">
        <v>66</v>
      </c>
      <c r="AD58" s="60">
        <v>61</v>
      </c>
      <c r="AE58" s="60">
        <v>36</v>
      </c>
      <c r="AF58" s="135">
        <v>39</v>
      </c>
      <c r="AG58" s="135">
        <v>39</v>
      </c>
      <c r="AH58" s="60">
        <v>44</v>
      </c>
      <c r="AI58" s="62">
        <f>SUM(D58:AH58)</f>
        <v>1493</v>
      </c>
      <c r="AJ58" s="6"/>
    </row>
    <row r="59" spans="1:36" x14ac:dyDescent="0.3">
      <c r="A59" s="2"/>
      <c r="B59" s="33"/>
      <c r="C59" s="34" t="s">
        <v>16</v>
      </c>
      <c r="D59" s="35">
        <f>+D58/$A58</f>
        <v>0.44594594594594594</v>
      </c>
      <c r="E59" s="35">
        <f t="shared" ref="E59:J59" si="67">+E58/$A58</f>
        <v>0.5</v>
      </c>
      <c r="F59" s="35">
        <f t="shared" si="67"/>
        <v>0.55405405405405406</v>
      </c>
      <c r="G59" s="35">
        <f t="shared" si="67"/>
        <v>0.51351351351351349</v>
      </c>
      <c r="H59" s="35">
        <f t="shared" si="67"/>
        <v>0.77027027027027029</v>
      </c>
      <c r="I59" s="35">
        <f t="shared" si="67"/>
        <v>0.83783783783783783</v>
      </c>
      <c r="J59" s="35">
        <f t="shared" si="67"/>
        <v>0.44594594594594594</v>
      </c>
      <c r="K59" s="35">
        <f>+K58/$A58</f>
        <v>0.48648648648648651</v>
      </c>
      <c r="L59" s="35">
        <f>+L58/$A58</f>
        <v>0.71621621621621623</v>
      </c>
      <c r="M59" s="35">
        <f>+M58/$A58</f>
        <v>0.89189189189189189</v>
      </c>
      <c r="N59" s="35">
        <f>+N58/$A58</f>
        <v>0.67567567567567566</v>
      </c>
      <c r="O59" s="35">
        <f t="shared" ref="O59:AH59" si="68">+O58/$A58</f>
        <v>0.78378378378378377</v>
      </c>
      <c r="P59" s="35">
        <f t="shared" si="68"/>
        <v>0.79729729729729726</v>
      </c>
      <c r="Q59" s="35">
        <f t="shared" si="68"/>
        <v>0.43243243243243246</v>
      </c>
      <c r="R59" s="35">
        <f t="shared" si="68"/>
        <v>0.68918918918918914</v>
      </c>
      <c r="S59" s="35">
        <f t="shared" si="68"/>
        <v>0.68918918918918914</v>
      </c>
      <c r="T59" s="35">
        <f t="shared" si="68"/>
        <v>0.7567567567567568</v>
      </c>
      <c r="U59" s="35">
        <f t="shared" si="68"/>
        <v>0.7567567567567568</v>
      </c>
      <c r="V59" s="35">
        <f t="shared" si="68"/>
        <v>0.8783783783783784</v>
      </c>
      <c r="W59" s="35">
        <f t="shared" si="68"/>
        <v>0.81081081081081086</v>
      </c>
      <c r="X59" s="35">
        <f t="shared" si="68"/>
        <v>0.33783783783783783</v>
      </c>
      <c r="Y59" s="35">
        <f t="shared" si="68"/>
        <v>0.58108108108108103</v>
      </c>
      <c r="Z59" s="35">
        <f t="shared" si="68"/>
        <v>0.58108108108108103</v>
      </c>
      <c r="AA59" s="35">
        <f t="shared" si="68"/>
        <v>0.66216216216216217</v>
      </c>
      <c r="AB59" s="35">
        <f t="shared" si="68"/>
        <v>0.72972972972972971</v>
      </c>
      <c r="AC59" s="35">
        <f t="shared" si="68"/>
        <v>0.89189189189189189</v>
      </c>
      <c r="AD59" s="35">
        <f t="shared" si="68"/>
        <v>0.82432432432432434</v>
      </c>
      <c r="AE59" s="35">
        <f t="shared" si="68"/>
        <v>0.48648648648648651</v>
      </c>
      <c r="AF59" s="35">
        <f t="shared" si="68"/>
        <v>0.52702702702702697</v>
      </c>
      <c r="AG59" s="35">
        <f t="shared" si="68"/>
        <v>0.52702702702702697</v>
      </c>
      <c r="AH59" s="35">
        <f t="shared" si="68"/>
        <v>0.59459459459459463</v>
      </c>
      <c r="AI59" s="63">
        <f>+AI58/(A58*A$1)</f>
        <v>0.65082824760244118</v>
      </c>
      <c r="AJ59" s="6"/>
    </row>
    <row r="60" spans="1:36" x14ac:dyDescent="0.3">
      <c r="A60" s="2"/>
      <c r="B60" s="33"/>
      <c r="C60" s="34" t="s">
        <v>17</v>
      </c>
      <c r="D60" s="37">
        <f>+IFERROR(D62/D58,0)</f>
        <v>64.912727272727267</v>
      </c>
      <c r="E60" s="37">
        <f t="shared" ref="E60:J60" si="69">+IFERROR(E62/E58,0)</f>
        <v>65.273783783783784</v>
      </c>
      <c r="F60" s="37">
        <f t="shared" si="69"/>
        <v>69.048780487804876</v>
      </c>
      <c r="G60" s="37">
        <f t="shared" si="69"/>
        <v>60.60526315789474</v>
      </c>
      <c r="H60" s="37">
        <f t="shared" si="69"/>
        <v>80.280701754385959</v>
      </c>
      <c r="I60" s="37">
        <f t="shared" si="69"/>
        <v>78.235967741935482</v>
      </c>
      <c r="J60" s="37">
        <f t="shared" si="69"/>
        <v>71.206060606060618</v>
      </c>
      <c r="K60" s="37">
        <f>+IFERROR(K62/K58,0)</f>
        <v>61.894166666666671</v>
      </c>
      <c r="L60" s="37">
        <f>+IFERROR(L62/L58,0)</f>
        <v>68.867924528301884</v>
      </c>
      <c r="M60" s="37">
        <f>+IFERROR(M62/M58,0)</f>
        <v>71.742424242424249</v>
      </c>
      <c r="N60" s="37">
        <f>+IFERROR(N62/N58,0)</f>
        <v>77.319999999999993</v>
      </c>
      <c r="O60" s="37">
        <f t="shared" ref="O60:AH60" si="70">+IFERROR(O62/O58,0)</f>
        <v>85.051724137931032</v>
      </c>
      <c r="P60" s="37">
        <f t="shared" si="70"/>
        <v>82.644067796610173</v>
      </c>
      <c r="Q60" s="37">
        <f t="shared" si="70"/>
        <v>71.6875</v>
      </c>
      <c r="R60" s="37">
        <f t="shared" si="70"/>
        <v>66.772941176470596</v>
      </c>
      <c r="S60" s="37">
        <f t="shared" si="70"/>
        <v>75.258235294117654</v>
      </c>
      <c r="T60" s="37">
        <f t="shared" si="70"/>
        <v>78.357142857142861</v>
      </c>
      <c r="U60" s="37">
        <f t="shared" si="70"/>
        <v>80.574821428571425</v>
      </c>
      <c r="V60" s="37">
        <f t="shared" si="70"/>
        <v>87.015384615384619</v>
      </c>
      <c r="W60" s="37">
        <f t="shared" si="70"/>
        <v>89.15</v>
      </c>
      <c r="X60" s="37">
        <f t="shared" si="70"/>
        <v>107.32</v>
      </c>
      <c r="Y60" s="37">
        <f t="shared" si="70"/>
        <v>73.465116279069761</v>
      </c>
      <c r="Z60" s="37">
        <f t="shared" si="70"/>
        <v>71.616511627906988</v>
      </c>
      <c r="AA60" s="37">
        <f t="shared" si="70"/>
        <v>88.754897959183666</v>
      </c>
      <c r="AB60" s="37">
        <f t="shared" si="70"/>
        <v>74.222222222222229</v>
      </c>
      <c r="AC60" s="37">
        <f t="shared" si="70"/>
        <v>88.378787878787875</v>
      </c>
      <c r="AD60" s="37">
        <f t="shared" si="70"/>
        <v>90.081967213114751</v>
      </c>
      <c r="AE60" s="37">
        <f t="shared" si="70"/>
        <v>64.25</v>
      </c>
      <c r="AF60" s="37">
        <f t="shared" si="70"/>
        <v>68.003076923076918</v>
      </c>
      <c r="AG60" s="37">
        <f t="shared" si="70"/>
        <v>71.692307692307693</v>
      </c>
      <c r="AH60" s="37">
        <f t="shared" si="70"/>
        <v>74.004090909090905</v>
      </c>
      <c r="AI60" s="64">
        <f>+AI62/AI58</f>
        <v>76.907200267916934</v>
      </c>
      <c r="AJ60" s="6"/>
    </row>
    <row r="61" spans="1:36" x14ac:dyDescent="0.3">
      <c r="A61" s="2"/>
      <c r="B61" s="33"/>
      <c r="C61" s="34" t="s">
        <v>18</v>
      </c>
      <c r="D61" s="37">
        <f>+D59*D60</f>
        <v>28.947567567567564</v>
      </c>
      <c r="E61" s="37">
        <f t="shared" ref="E61:J61" si="71">+E59*E60</f>
        <v>32.636891891891892</v>
      </c>
      <c r="F61" s="37">
        <f t="shared" si="71"/>
        <v>38.256756756756758</v>
      </c>
      <c r="G61" s="37">
        <f t="shared" si="71"/>
        <v>31.121621621621621</v>
      </c>
      <c r="H61" s="37">
        <f t="shared" si="71"/>
        <v>61.837837837837832</v>
      </c>
      <c r="I61" s="37">
        <f t="shared" si="71"/>
        <v>65.549054054054054</v>
      </c>
      <c r="J61" s="37">
        <f t="shared" si="71"/>
        <v>31.754054054054059</v>
      </c>
      <c r="K61" s="37">
        <f>+K59*K60</f>
        <v>30.110675675675679</v>
      </c>
      <c r="L61" s="37">
        <f>+L59*L60</f>
        <v>49.324324324324323</v>
      </c>
      <c r="M61" s="37">
        <f>+M59*M60</f>
        <v>63.986486486486491</v>
      </c>
      <c r="N61" s="37">
        <f>+N59*N60</f>
        <v>52.243243243243235</v>
      </c>
      <c r="O61" s="37">
        <f t="shared" ref="O61:AH61" si="72">+O59*O60</f>
        <v>66.662162162162161</v>
      </c>
      <c r="P61" s="37">
        <f t="shared" si="72"/>
        <v>65.891891891891888</v>
      </c>
      <c r="Q61" s="37">
        <f t="shared" si="72"/>
        <v>31</v>
      </c>
      <c r="R61" s="37">
        <f t="shared" si="72"/>
        <v>46.019189189189191</v>
      </c>
      <c r="S61" s="37">
        <f t="shared" si="72"/>
        <v>51.867162162162167</v>
      </c>
      <c r="T61" s="37">
        <f t="shared" si="72"/>
        <v>59.297297297297305</v>
      </c>
      <c r="U61" s="37">
        <f t="shared" si="72"/>
        <v>60.975540540540543</v>
      </c>
      <c r="V61" s="37">
        <f t="shared" si="72"/>
        <v>76.432432432432435</v>
      </c>
      <c r="W61" s="37">
        <f t="shared" si="72"/>
        <v>72.28378378378379</v>
      </c>
      <c r="X61" s="37">
        <f t="shared" si="72"/>
        <v>36.256756756756751</v>
      </c>
      <c r="Y61" s="37">
        <f t="shared" si="72"/>
        <v>42.689189189189179</v>
      </c>
      <c r="Z61" s="37">
        <f t="shared" si="72"/>
        <v>41.615000000000002</v>
      </c>
      <c r="AA61" s="37">
        <f t="shared" si="72"/>
        <v>58.770135135135128</v>
      </c>
      <c r="AB61" s="37">
        <f t="shared" si="72"/>
        <v>54.162162162162168</v>
      </c>
      <c r="AC61" s="37">
        <f t="shared" si="72"/>
        <v>78.824324324324323</v>
      </c>
      <c r="AD61" s="37">
        <f t="shared" si="72"/>
        <v>74.256756756756758</v>
      </c>
      <c r="AE61" s="37">
        <f t="shared" si="72"/>
        <v>31.256756756756758</v>
      </c>
      <c r="AF61" s="37">
        <f t="shared" si="72"/>
        <v>35.839459459459455</v>
      </c>
      <c r="AG61" s="37">
        <f t="shared" si="72"/>
        <v>37.783783783783782</v>
      </c>
      <c r="AH61" s="37">
        <f t="shared" si="72"/>
        <v>44.002432432432435</v>
      </c>
      <c r="AI61" s="64">
        <f>+AI60*AI59</f>
        <v>50.053378378378376</v>
      </c>
      <c r="AJ61" s="6"/>
    </row>
    <row r="62" spans="1:36" ht="15" thickBot="1" x14ac:dyDescent="0.35">
      <c r="A62" s="2"/>
      <c r="B62" s="48"/>
      <c r="C62" s="65" t="s">
        <v>19</v>
      </c>
      <c r="D62" s="66">
        <v>2142.12</v>
      </c>
      <c r="E62" s="67">
        <v>2415.13</v>
      </c>
      <c r="F62" s="67">
        <v>2831</v>
      </c>
      <c r="G62" s="67">
        <v>2303</v>
      </c>
      <c r="H62" s="67">
        <v>4576</v>
      </c>
      <c r="I62" s="67">
        <v>4850.63</v>
      </c>
      <c r="J62" s="67">
        <v>2349.8000000000002</v>
      </c>
      <c r="K62" s="67">
        <v>2228.19</v>
      </c>
      <c r="L62" s="67">
        <v>3650</v>
      </c>
      <c r="M62" s="67">
        <v>4735</v>
      </c>
      <c r="N62" s="67">
        <v>3866</v>
      </c>
      <c r="O62" s="67">
        <v>4933</v>
      </c>
      <c r="P62" s="67">
        <v>4876</v>
      </c>
      <c r="Q62" s="67">
        <v>2294</v>
      </c>
      <c r="R62" s="67">
        <v>3405.42</v>
      </c>
      <c r="S62" s="67">
        <v>3838.17</v>
      </c>
      <c r="T62" s="67">
        <v>4388</v>
      </c>
      <c r="U62" s="67">
        <v>4512.1899999999996</v>
      </c>
      <c r="V62" s="67">
        <v>5656</v>
      </c>
      <c r="W62" s="67">
        <v>5349</v>
      </c>
      <c r="X62" s="67">
        <v>2683</v>
      </c>
      <c r="Y62" s="67">
        <v>3159</v>
      </c>
      <c r="Z62" s="66">
        <v>3079.51</v>
      </c>
      <c r="AA62" s="67">
        <v>4348.99</v>
      </c>
      <c r="AB62" s="67">
        <v>4008</v>
      </c>
      <c r="AC62" s="67">
        <v>5833</v>
      </c>
      <c r="AD62" s="67">
        <v>5495</v>
      </c>
      <c r="AE62" s="67">
        <v>2313</v>
      </c>
      <c r="AF62" s="67">
        <v>2652.12</v>
      </c>
      <c r="AG62" s="67">
        <v>2796</v>
      </c>
      <c r="AH62" s="67">
        <v>3256.18</v>
      </c>
      <c r="AI62" s="68">
        <f>SUM(D62:AH62)</f>
        <v>114822.44999999998</v>
      </c>
      <c r="AJ62" s="6"/>
    </row>
    <row r="63" spans="1:36" ht="15" thickTop="1" x14ac:dyDescent="0.3">
      <c r="A63" s="2">
        <v>120</v>
      </c>
      <c r="B63" s="14" t="s">
        <v>37</v>
      </c>
      <c r="C63" s="15" t="s">
        <v>15</v>
      </c>
      <c r="D63" s="69">
        <v>110</v>
      </c>
      <c r="E63" s="70">
        <v>110</v>
      </c>
      <c r="F63" s="70">
        <v>119</v>
      </c>
      <c r="G63" s="70">
        <v>117</v>
      </c>
      <c r="H63" s="70">
        <v>120</v>
      </c>
      <c r="I63" s="70">
        <v>118</v>
      </c>
      <c r="J63" s="70">
        <v>82</v>
      </c>
      <c r="K63" s="70">
        <v>116</v>
      </c>
      <c r="L63" s="70">
        <v>117</v>
      </c>
      <c r="M63" s="70">
        <v>119</v>
      </c>
      <c r="N63" s="70">
        <v>120</v>
      </c>
      <c r="O63" s="70">
        <v>120</v>
      </c>
      <c r="P63" s="70">
        <v>120</v>
      </c>
      <c r="Q63" s="70">
        <v>120</v>
      </c>
      <c r="R63" s="70">
        <v>120</v>
      </c>
      <c r="S63" s="70">
        <v>120</v>
      </c>
      <c r="T63" s="70">
        <v>120</v>
      </c>
      <c r="U63" s="70">
        <v>120</v>
      </c>
      <c r="V63" s="70">
        <v>120</v>
      </c>
      <c r="W63" s="70">
        <v>120</v>
      </c>
      <c r="X63" s="70">
        <v>101</v>
      </c>
      <c r="Y63" s="70">
        <v>112</v>
      </c>
      <c r="Z63" s="70">
        <v>119</v>
      </c>
      <c r="AA63" s="70">
        <v>120</v>
      </c>
      <c r="AB63" s="70">
        <v>120</v>
      </c>
      <c r="AC63" s="70">
        <v>120</v>
      </c>
      <c r="AD63" s="70">
        <v>120</v>
      </c>
      <c r="AE63" s="70">
        <v>104</v>
      </c>
      <c r="AF63" s="136">
        <v>119</v>
      </c>
      <c r="AG63" s="136">
        <v>116</v>
      </c>
      <c r="AH63" s="70">
        <v>108</v>
      </c>
      <c r="AI63" s="71">
        <f>SUM(D63:AH63)</f>
        <v>3587</v>
      </c>
      <c r="AJ63" s="6"/>
    </row>
    <row r="64" spans="1:36" x14ac:dyDescent="0.3">
      <c r="A64" s="2"/>
      <c r="B64" s="14"/>
      <c r="C64" s="15" t="s">
        <v>16</v>
      </c>
      <c r="D64" s="16">
        <f>+D63/$A63</f>
        <v>0.91666666666666663</v>
      </c>
      <c r="E64" s="16">
        <f t="shared" ref="E64:J64" si="73">+E63/$A63</f>
        <v>0.91666666666666663</v>
      </c>
      <c r="F64" s="16">
        <f t="shared" si="73"/>
        <v>0.9916666666666667</v>
      </c>
      <c r="G64" s="16">
        <f t="shared" si="73"/>
        <v>0.97499999999999998</v>
      </c>
      <c r="H64" s="16">
        <f t="shared" si="73"/>
        <v>1</v>
      </c>
      <c r="I64" s="16">
        <f t="shared" si="73"/>
        <v>0.98333333333333328</v>
      </c>
      <c r="J64" s="16">
        <f t="shared" si="73"/>
        <v>0.68333333333333335</v>
      </c>
      <c r="K64" s="16">
        <f t="shared" ref="K64:AH64" si="74">+K63/$A63</f>
        <v>0.96666666666666667</v>
      </c>
      <c r="L64" s="16">
        <f t="shared" si="74"/>
        <v>0.97499999999999998</v>
      </c>
      <c r="M64" s="16">
        <f t="shared" si="74"/>
        <v>0.9916666666666667</v>
      </c>
      <c r="N64" s="16">
        <f t="shared" si="74"/>
        <v>1</v>
      </c>
      <c r="O64" s="16">
        <f t="shared" si="74"/>
        <v>1</v>
      </c>
      <c r="P64" s="16">
        <f t="shared" si="74"/>
        <v>1</v>
      </c>
      <c r="Q64" s="16">
        <f t="shared" si="74"/>
        <v>1</v>
      </c>
      <c r="R64" s="16">
        <f t="shared" si="74"/>
        <v>1</v>
      </c>
      <c r="S64" s="16">
        <f t="shared" si="74"/>
        <v>1</v>
      </c>
      <c r="T64" s="16">
        <f t="shared" si="74"/>
        <v>1</v>
      </c>
      <c r="U64" s="16">
        <f t="shared" si="74"/>
        <v>1</v>
      </c>
      <c r="V64" s="16">
        <f t="shared" si="74"/>
        <v>1</v>
      </c>
      <c r="W64" s="16">
        <f t="shared" si="74"/>
        <v>1</v>
      </c>
      <c r="X64" s="16">
        <f t="shared" si="74"/>
        <v>0.84166666666666667</v>
      </c>
      <c r="Y64" s="16">
        <f t="shared" si="74"/>
        <v>0.93333333333333335</v>
      </c>
      <c r="Z64" s="16">
        <f t="shared" si="74"/>
        <v>0.9916666666666667</v>
      </c>
      <c r="AA64" s="16">
        <f t="shared" si="74"/>
        <v>1</v>
      </c>
      <c r="AB64" s="16">
        <f t="shared" si="74"/>
        <v>1</v>
      </c>
      <c r="AC64" s="16">
        <f t="shared" si="74"/>
        <v>1</v>
      </c>
      <c r="AD64" s="16">
        <f t="shared" si="74"/>
        <v>1</v>
      </c>
      <c r="AE64" s="16">
        <f t="shared" si="74"/>
        <v>0.8666666666666667</v>
      </c>
      <c r="AF64" s="16">
        <f t="shared" si="74"/>
        <v>0.9916666666666667</v>
      </c>
      <c r="AG64" s="16">
        <f t="shared" si="74"/>
        <v>0.96666666666666667</v>
      </c>
      <c r="AH64" s="16">
        <f t="shared" si="74"/>
        <v>0.9</v>
      </c>
      <c r="AI64" s="17">
        <f>+AI63/(A63*A$1)</f>
        <v>0.96424731182795698</v>
      </c>
      <c r="AJ64" s="6"/>
    </row>
    <row r="65" spans="1:36" x14ac:dyDescent="0.3">
      <c r="A65" s="2"/>
      <c r="B65" s="14"/>
      <c r="C65" s="15" t="s">
        <v>17</v>
      </c>
      <c r="D65" s="18">
        <f>+IFERROR(D67/D63,0)</f>
        <v>88.684454545454557</v>
      </c>
      <c r="E65" s="18">
        <f t="shared" ref="E65:J65" si="75">+IFERROR(E67/E63,0)</f>
        <v>87.221363636363634</v>
      </c>
      <c r="F65" s="18">
        <f t="shared" si="75"/>
        <v>91.64033613445379</v>
      </c>
      <c r="G65" s="18">
        <f t="shared" si="75"/>
        <v>86.077948717948729</v>
      </c>
      <c r="H65" s="18">
        <f t="shared" si="75"/>
        <v>93.329750000000004</v>
      </c>
      <c r="I65" s="18">
        <f t="shared" si="75"/>
        <v>95.507711864406772</v>
      </c>
      <c r="J65" s="18">
        <f t="shared" si="75"/>
        <v>77.191219512195119</v>
      </c>
      <c r="K65" s="18">
        <f t="shared" ref="K65:AH65" si="76">+IFERROR(K67/K63,0)</f>
        <v>87.554913793103452</v>
      </c>
      <c r="L65" s="18">
        <f t="shared" si="76"/>
        <v>90.606837606837601</v>
      </c>
      <c r="M65" s="18">
        <f t="shared" si="76"/>
        <v>90.129411764705878</v>
      </c>
      <c r="N65" s="18">
        <f t="shared" si="76"/>
        <v>89.908333333333331</v>
      </c>
      <c r="O65" s="18">
        <f t="shared" si="76"/>
        <v>96.791666666666671</v>
      </c>
      <c r="P65" s="18">
        <f t="shared" si="76"/>
        <v>89.541666666666671</v>
      </c>
      <c r="Q65" s="18">
        <f t="shared" si="76"/>
        <v>83.341666666666669</v>
      </c>
      <c r="R65" s="18">
        <f t="shared" si="76"/>
        <v>85.352833333333336</v>
      </c>
      <c r="S65" s="18">
        <f t="shared" si="76"/>
        <v>87.283500000000004</v>
      </c>
      <c r="T65" s="18">
        <f t="shared" si="76"/>
        <v>84.958833333333331</v>
      </c>
      <c r="U65" s="18">
        <f t="shared" si="76"/>
        <v>82.667749999999998</v>
      </c>
      <c r="V65" s="18">
        <f t="shared" si="76"/>
        <v>102.4</v>
      </c>
      <c r="W65" s="18">
        <f t="shared" si="76"/>
        <v>112.20833333333333</v>
      </c>
      <c r="X65" s="18">
        <f t="shared" si="76"/>
        <v>79.78217821782178</v>
      </c>
      <c r="Y65" s="18">
        <f t="shared" si="76"/>
        <v>99.294642857142861</v>
      </c>
      <c r="Z65" s="18">
        <f t="shared" si="76"/>
        <v>90.775882352941181</v>
      </c>
      <c r="AA65" s="18">
        <f t="shared" si="76"/>
        <v>98.608333333333334</v>
      </c>
      <c r="AB65" s="18">
        <f t="shared" si="76"/>
        <v>91.05</v>
      </c>
      <c r="AC65" s="18">
        <f t="shared" si="76"/>
        <v>99.433333333333337</v>
      </c>
      <c r="AD65" s="18">
        <f t="shared" si="76"/>
        <v>114.53333333333333</v>
      </c>
      <c r="AE65" s="18">
        <f t="shared" si="76"/>
        <v>89</v>
      </c>
      <c r="AF65" s="18">
        <f t="shared" si="76"/>
        <v>94.474285714285713</v>
      </c>
      <c r="AG65" s="18">
        <f t="shared" si="76"/>
        <v>95.870689655172413</v>
      </c>
      <c r="AH65" s="18">
        <f t="shared" si="76"/>
        <v>96.759259259259252</v>
      </c>
      <c r="AI65" s="19">
        <f>+AI67/AI63</f>
        <v>92.22977697240033</v>
      </c>
      <c r="AJ65" s="6"/>
    </row>
    <row r="66" spans="1:36" x14ac:dyDescent="0.3">
      <c r="A66" s="2"/>
      <c r="B66" s="14"/>
      <c r="C66" s="15" t="s">
        <v>18</v>
      </c>
      <c r="D66" s="18">
        <f>+D64*D65</f>
        <v>81.294083333333347</v>
      </c>
      <c r="E66" s="18">
        <f t="shared" ref="E66:J66" si="77">+E64*E65</f>
        <v>79.952916666666667</v>
      </c>
      <c r="F66" s="18">
        <f t="shared" si="77"/>
        <v>90.876666666666679</v>
      </c>
      <c r="G66" s="18">
        <f t="shared" si="77"/>
        <v>83.926000000000002</v>
      </c>
      <c r="H66" s="18">
        <f t="shared" si="77"/>
        <v>93.329750000000004</v>
      </c>
      <c r="I66" s="18">
        <f t="shared" si="77"/>
        <v>93.915916666666661</v>
      </c>
      <c r="J66" s="18">
        <f t="shared" si="77"/>
        <v>52.74733333333333</v>
      </c>
      <c r="K66" s="18">
        <f t="shared" ref="K66:AH66" si="78">+K64*K65</f>
        <v>84.636416666666676</v>
      </c>
      <c r="L66" s="18">
        <f t="shared" si="78"/>
        <v>88.341666666666654</v>
      </c>
      <c r="M66" s="18">
        <f t="shared" si="78"/>
        <v>89.37833333333333</v>
      </c>
      <c r="N66" s="18">
        <f t="shared" si="78"/>
        <v>89.908333333333331</v>
      </c>
      <c r="O66" s="18">
        <f t="shared" si="78"/>
        <v>96.791666666666671</v>
      </c>
      <c r="P66" s="18">
        <f t="shared" si="78"/>
        <v>89.541666666666671</v>
      </c>
      <c r="Q66" s="18">
        <f t="shared" si="78"/>
        <v>83.341666666666669</v>
      </c>
      <c r="R66" s="18">
        <f t="shared" si="78"/>
        <v>85.352833333333336</v>
      </c>
      <c r="S66" s="18">
        <f t="shared" si="78"/>
        <v>87.283500000000004</v>
      </c>
      <c r="T66" s="18">
        <f t="shared" si="78"/>
        <v>84.958833333333331</v>
      </c>
      <c r="U66" s="18">
        <f t="shared" si="78"/>
        <v>82.667749999999998</v>
      </c>
      <c r="V66" s="18">
        <f t="shared" si="78"/>
        <v>102.4</v>
      </c>
      <c r="W66" s="18">
        <f t="shared" si="78"/>
        <v>112.20833333333333</v>
      </c>
      <c r="X66" s="18">
        <f t="shared" si="78"/>
        <v>67.150000000000006</v>
      </c>
      <c r="Y66" s="18">
        <f t="shared" si="78"/>
        <v>92.675000000000011</v>
      </c>
      <c r="Z66" s="18">
        <f t="shared" si="78"/>
        <v>90.019416666666672</v>
      </c>
      <c r="AA66" s="18">
        <f t="shared" si="78"/>
        <v>98.608333333333334</v>
      </c>
      <c r="AB66" s="18">
        <f t="shared" si="78"/>
        <v>91.05</v>
      </c>
      <c r="AC66" s="18">
        <f t="shared" si="78"/>
        <v>99.433333333333337</v>
      </c>
      <c r="AD66" s="18">
        <f t="shared" si="78"/>
        <v>114.53333333333333</v>
      </c>
      <c r="AE66" s="18">
        <f t="shared" si="78"/>
        <v>77.13333333333334</v>
      </c>
      <c r="AF66" s="18">
        <f t="shared" si="78"/>
        <v>93.686999999999998</v>
      </c>
      <c r="AG66" s="18">
        <f t="shared" si="78"/>
        <v>92.674999999999997</v>
      </c>
      <c r="AH66" s="18">
        <f t="shared" si="78"/>
        <v>87.083333333333329</v>
      </c>
      <c r="AI66" s="19">
        <f>+AI65*AI64</f>
        <v>88.932314516129026</v>
      </c>
      <c r="AJ66" s="6"/>
    </row>
    <row r="67" spans="1:36" x14ac:dyDescent="0.3">
      <c r="A67" s="2"/>
      <c r="B67" s="14"/>
      <c r="C67" s="15" t="s">
        <v>19</v>
      </c>
      <c r="D67" s="20">
        <v>9755.2900000000009</v>
      </c>
      <c r="E67" s="20">
        <v>9594.35</v>
      </c>
      <c r="F67" s="20">
        <v>10905.2</v>
      </c>
      <c r="G67" s="20">
        <v>10071.120000000001</v>
      </c>
      <c r="H67" s="20">
        <v>11199.57</v>
      </c>
      <c r="I67" s="20">
        <v>11269.91</v>
      </c>
      <c r="J67" s="20">
        <v>6329.68</v>
      </c>
      <c r="K67" s="20">
        <v>10156.370000000001</v>
      </c>
      <c r="L67" s="20">
        <v>10601</v>
      </c>
      <c r="M67" s="20">
        <v>10725.4</v>
      </c>
      <c r="N67" s="20">
        <v>10789</v>
      </c>
      <c r="O67" s="20">
        <v>11615</v>
      </c>
      <c r="P67" s="20">
        <v>10745</v>
      </c>
      <c r="Q67" s="20">
        <v>10001</v>
      </c>
      <c r="R67" s="20">
        <v>10242.34</v>
      </c>
      <c r="S67" s="20">
        <v>10474.02</v>
      </c>
      <c r="T67" s="20">
        <v>10195.06</v>
      </c>
      <c r="U67" s="20">
        <v>9920.1299999999992</v>
      </c>
      <c r="V67" s="20">
        <v>12288</v>
      </c>
      <c r="W67" s="20">
        <v>13465</v>
      </c>
      <c r="X67" s="20">
        <v>8058</v>
      </c>
      <c r="Y67" s="20">
        <v>11121</v>
      </c>
      <c r="Z67" s="20">
        <v>10802.33</v>
      </c>
      <c r="AA67" s="20">
        <v>11833</v>
      </c>
      <c r="AB67" s="20">
        <v>10926</v>
      </c>
      <c r="AC67" s="20">
        <v>11932</v>
      </c>
      <c r="AD67" s="20">
        <v>13744</v>
      </c>
      <c r="AE67" s="20">
        <v>9256</v>
      </c>
      <c r="AF67" s="130">
        <v>11242.44</v>
      </c>
      <c r="AG67" s="130">
        <v>11121</v>
      </c>
      <c r="AH67" s="20">
        <v>10450</v>
      </c>
      <c r="AI67" s="22">
        <f>SUM(D67:AH67)</f>
        <v>330828.20999999996</v>
      </c>
      <c r="AJ67" s="6"/>
    </row>
    <row r="68" spans="1:36" ht="15" thickBot="1" x14ac:dyDescent="0.35">
      <c r="A68" s="23"/>
      <c r="B68" s="24"/>
      <c r="C68" s="15" t="s">
        <v>20</v>
      </c>
      <c r="D68" s="25">
        <f>991.97/D67</f>
        <v>0.10168534200418439</v>
      </c>
      <c r="E68" s="26">
        <f>1333.55/E67</f>
        <v>0.13899326165920567</v>
      </c>
      <c r="F68" s="72">
        <f>1625.88/F67</f>
        <v>0.14909217620951473</v>
      </c>
      <c r="G68" s="26">
        <f>1448.71/G67</f>
        <v>0.143847953355734</v>
      </c>
      <c r="H68" s="26">
        <f>1687.03/H67</f>
        <v>0.15063346182040918</v>
      </c>
      <c r="I68" s="26">
        <f>1256.48/I67</f>
        <v>0.11148979894249378</v>
      </c>
      <c r="J68" s="26">
        <f>1292.96/J67</f>
        <v>0.20426941014395672</v>
      </c>
      <c r="K68" s="26">
        <f>1255.49/K67</f>
        <v>0.12361601635229909</v>
      </c>
      <c r="L68" s="26">
        <f>1062.45/L67</f>
        <v>0.10022167720026413</v>
      </c>
      <c r="M68" s="26">
        <f>1165.19/M67</f>
        <v>0.10863837246163315</v>
      </c>
      <c r="N68" s="26">
        <f>1339.15/N67</f>
        <v>0.12412179071276301</v>
      </c>
      <c r="O68" s="26">
        <f>1255.8/O67</f>
        <v>0.10811881188118812</v>
      </c>
      <c r="P68" s="26">
        <f>782.39/P67</f>
        <v>7.2814332247556998E-2</v>
      </c>
      <c r="Q68" s="26">
        <f>1178.4/Q67</f>
        <v>0.11782821717828218</v>
      </c>
      <c r="R68" s="26">
        <f>1371.64/R67</f>
        <v>0.13391861625370766</v>
      </c>
      <c r="S68" s="26">
        <f>1489.91/S67</f>
        <v>0.14224815304916355</v>
      </c>
      <c r="T68" s="26">
        <f>1707.21/T67</f>
        <v>0.16745462998746452</v>
      </c>
      <c r="U68" s="26">
        <f>1707.21/U67</f>
        <v>0.17209552697394087</v>
      </c>
      <c r="V68" s="26">
        <f>1766.85/V67</f>
        <v>0.14378662109374998</v>
      </c>
      <c r="W68" s="26">
        <f>1573.72/W67</f>
        <v>0.11687486075009283</v>
      </c>
      <c r="X68" s="26">
        <f>1021.06/X67</f>
        <v>0.12671382477041448</v>
      </c>
      <c r="Y68" s="26">
        <f>1261.71/Y67</f>
        <v>0.11345292689506339</v>
      </c>
      <c r="Z68" s="26">
        <f>1200.66/Z67</f>
        <v>0.1111482430179415</v>
      </c>
      <c r="AA68" s="26">
        <f>1684.51/AA67</f>
        <v>0.1423569678019099</v>
      </c>
      <c r="AB68" s="26">
        <f>1420.86/AB67</f>
        <v>0.13004393190554639</v>
      </c>
      <c r="AC68" s="26">
        <f>1342.02/AC67</f>
        <v>0.11247234327857861</v>
      </c>
      <c r="AD68" s="26">
        <f>1196.87/AD67</f>
        <v>8.70830908032596E-2</v>
      </c>
      <c r="AE68" s="26">
        <f>1149.69/AE67</f>
        <v>0.12421024200518584</v>
      </c>
      <c r="AF68" s="26">
        <f>1684.51/AF67</f>
        <v>0.14983491128260412</v>
      </c>
      <c r="AG68" s="26">
        <f>1653.71/AG67</f>
        <v>0.14870155561550222</v>
      </c>
      <c r="AH68" s="26"/>
      <c r="AI68" s="27">
        <f>AVERAGE(D68:AG68)</f>
        <v>0.12925890225512035</v>
      </c>
      <c r="AJ68" s="6"/>
    </row>
    <row r="69" spans="1:36" ht="15" thickTop="1" x14ac:dyDescent="0.3">
      <c r="A69" s="2">
        <v>93</v>
      </c>
      <c r="B69" s="28" t="s">
        <v>38</v>
      </c>
      <c r="C69" s="29" t="s">
        <v>15</v>
      </c>
      <c r="D69" s="30">
        <v>79</v>
      </c>
      <c r="E69" s="31">
        <v>84</v>
      </c>
      <c r="F69" s="31">
        <v>93</v>
      </c>
      <c r="G69" s="31">
        <v>90</v>
      </c>
      <c r="H69" s="31">
        <v>93</v>
      </c>
      <c r="I69" s="31">
        <v>86</v>
      </c>
      <c r="J69" s="31">
        <v>70</v>
      </c>
      <c r="K69" s="31">
        <v>82</v>
      </c>
      <c r="L69" s="31">
        <v>88</v>
      </c>
      <c r="M69" s="31">
        <v>85</v>
      </c>
      <c r="N69" s="31">
        <v>90</v>
      </c>
      <c r="O69" s="31">
        <v>93</v>
      </c>
      <c r="P69" s="31">
        <v>92</v>
      </c>
      <c r="Q69" s="31">
        <v>85</v>
      </c>
      <c r="R69" s="31">
        <v>90</v>
      </c>
      <c r="S69" s="31">
        <v>92</v>
      </c>
      <c r="T69" s="31">
        <v>92</v>
      </c>
      <c r="U69" s="31">
        <v>93</v>
      </c>
      <c r="V69" s="31">
        <v>93</v>
      </c>
      <c r="W69" s="31">
        <v>88</v>
      </c>
      <c r="X69" s="31">
        <v>82</v>
      </c>
      <c r="Y69" s="31">
        <v>86</v>
      </c>
      <c r="Z69" s="31">
        <v>91</v>
      </c>
      <c r="AA69" s="31">
        <v>93</v>
      </c>
      <c r="AB69" s="31">
        <v>93</v>
      </c>
      <c r="AC69" s="31">
        <v>93</v>
      </c>
      <c r="AD69" s="31">
        <v>93</v>
      </c>
      <c r="AE69" s="31">
        <v>80</v>
      </c>
      <c r="AF69" s="133">
        <v>91</v>
      </c>
      <c r="AG69" s="133">
        <v>93</v>
      </c>
      <c r="AH69" s="31">
        <v>91</v>
      </c>
      <c r="AI69" s="32">
        <f>SUM(D69:AH69)</f>
        <v>2744</v>
      </c>
      <c r="AJ69" s="6"/>
    </row>
    <row r="70" spans="1:36" x14ac:dyDescent="0.3">
      <c r="A70" s="2"/>
      <c r="B70" s="33"/>
      <c r="C70" s="34" t="s">
        <v>16</v>
      </c>
      <c r="D70" s="35">
        <f>+D69/$A69</f>
        <v>0.84946236559139787</v>
      </c>
      <c r="E70" s="35">
        <f t="shared" ref="E70:J70" si="79">+E69/$A69</f>
        <v>0.90322580645161288</v>
      </c>
      <c r="F70" s="35">
        <f t="shared" si="79"/>
        <v>1</v>
      </c>
      <c r="G70" s="35">
        <f t="shared" si="79"/>
        <v>0.967741935483871</v>
      </c>
      <c r="H70" s="35">
        <f t="shared" si="79"/>
        <v>1</v>
      </c>
      <c r="I70" s="35">
        <f t="shared" si="79"/>
        <v>0.92473118279569888</v>
      </c>
      <c r="J70" s="35">
        <f t="shared" si="79"/>
        <v>0.75268817204301075</v>
      </c>
      <c r="K70" s="35">
        <f t="shared" ref="K70:AH70" si="80">+K69/$A69</f>
        <v>0.88172043010752688</v>
      </c>
      <c r="L70" s="35">
        <f t="shared" si="80"/>
        <v>0.94623655913978499</v>
      </c>
      <c r="M70" s="35">
        <f t="shared" si="80"/>
        <v>0.91397849462365588</v>
      </c>
      <c r="N70" s="35">
        <f t="shared" si="80"/>
        <v>0.967741935483871</v>
      </c>
      <c r="O70" s="35">
        <f t="shared" si="80"/>
        <v>1</v>
      </c>
      <c r="P70" s="35">
        <f t="shared" si="80"/>
        <v>0.989247311827957</v>
      </c>
      <c r="Q70" s="35">
        <f t="shared" si="80"/>
        <v>0.91397849462365588</v>
      </c>
      <c r="R70" s="35">
        <f t="shared" si="80"/>
        <v>0.967741935483871</v>
      </c>
      <c r="S70" s="35">
        <f t="shared" si="80"/>
        <v>0.989247311827957</v>
      </c>
      <c r="T70" s="35">
        <f t="shared" si="80"/>
        <v>0.989247311827957</v>
      </c>
      <c r="U70" s="35">
        <f t="shared" si="80"/>
        <v>1</v>
      </c>
      <c r="V70" s="35">
        <f t="shared" si="80"/>
        <v>1</v>
      </c>
      <c r="W70" s="35">
        <f t="shared" si="80"/>
        <v>0.94623655913978499</v>
      </c>
      <c r="X70" s="35">
        <f t="shared" si="80"/>
        <v>0.88172043010752688</v>
      </c>
      <c r="Y70" s="35">
        <f t="shared" si="80"/>
        <v>0.92473118279569888</v>
      </c>
      <c r="Z70" s="35">
        <f t="shared" si="80"/>
        <v>0.978494623655914</v>
      </c>
      <c r="AA70" s="35">
        <f t="shared" si="80"/>
        <v>1</v>
      </c>
      <c r="AB70" s="35">
        <f t="shared" si="80"/>
        <v>1</v>
      </c>
      <c r="AC70" s="35">
        <f t="shared" si="80"/>
        <v>1</v>
      </c>
      <c r="AD70" s="35">
        <f t="shared" si="80"/>
        <v>1</v>
      </c>
      <c r="AE70" s="35">
        <f t="shared" si="80"/>
        <v>0.86021505376344087</v>
      </c>
      <c r="AF70" s="35">
        <f t="shared" si="80"/>
        <v>0.978494623655914</v>
      </c>
      <c r="AG70" s="35">
        <f t="shared" si="80"/>
        <v>1</v>
      </c>
      <c r="AH70" s="35">
        <f t="shared" si="80"/>
        <v>0.978494623655914</v>
      </c>
      <c r="AI70" s="36">
        <f>+AI69/(A69*A$1)</f>
        <v>0.95178633368019427</v>
      </c>
      <c r="AJ70" s="6"/>
    </row>
    <row r="71" spans="1:36" x14ac:dyDescent="0.3">
      <c r="A71" s="2"/>
      <c r="B71" s="33"/>
      <c r="C71" s="34" t="s">
        <v>17</v>
      </c>
      <c r="D71" s="37">
        <f>+IFERROR(D73/D69,0)</f>
        <v>84.83164556962025</v>
      </c>
      <c r="E71" s="37">
        <f t="shared" ref="E71:J71" si="81">+IFERROR(E73/E69,0)</f>
        <v>86.939880952380946</v>
      </c>
      <c r="F71" s="37">
        <f t="shared" si="81"/>
        <v>87.512258064516132</v>
      </c>
      <c r="G71" s="37">
        <f t="shared" si="81"/>
        <v>89.24144444444444</v>
      </c>
      <c r="H71" s="37">
        <f t="shared" si="81"/>
        <v>90.061612903225807</v>
      </c>
      <c r="I71" s="37">
        <f t="shared" si="81"/>
        <v>87.595581395348844</v>
      </c>
      <c r="J71" s="37">
        <f t="shared" si="81"/>
        <v>85.017428571428582</v>
      </c>
      <c r="K71" s="37">
        <f t="shared" ref="K71:AH71" si="82">+IFERROR(K73/K69,0)</f>
        <v>86.504512195121947</v>
      </c>
      <c r="L71" s="37">
        <f t="shared" si="82"/>
        <v>90.352954545454551</v>
      </c>
      <c r="M71" s="37">
        <f t="shared" si="82"/>
        <v>84.048823529411763</v>
      </c>
      <c r="N71" s="37">
        <f t="shared" si="82"/>
        <v>85.933333333333337</v>
      </c>
      <c r="O71" s="37">
        <f t="shared" si="82"/>
        <v>91.989247311827953</v>
      </c>
      <c r="P71" s="37">
        <f t="shared" si="82"/>
        <v>89.586956521739125</v>
      </c>
      <c r="Q71" s="37">
        <f t="shared" si="82"/>
        <v>91.858823529411765</v>
      </c>
      <c r="R71" s="37">
        <f t="shared" si="82"/>
        <v>92.275555555555542</v>
      </c>
      <c r="S71" s="37">
        <f t="shared" si="82"/>
        <v>90.002934782608705</v>
      </c>
      <c r="T71" s="37">
        <f t="shared" si="82"/>
        <v>90.556195652173912</v>
      </c>
      <c r="U71" s="37">
        <f t="shared" si="82"/>
        <v>88.656666666666666</v>
      </c>
      <c r="V71" s="37">
        <f t="shared" si="82"/>
        <v>86.677419354838705</v>
      </c>
      <c r="W71" s="37">
        <f t="shared" si="82"/>
        <v>103.25</v>
      </c>
      <c r="X71" s="37">
        <f t="shared" si="82"/>
        <v>86.41463414634147</v>
      </c>
      <c r="Y71" s="37">
        <f t="shared" si="82"/>
        <v>87.95930232558139</v>
      </c>
      <c r="Z71" s="37">
        <f t="shared" si="82"/>
        <v>92.793406593406601</v>
      </c>
      <c r="AA71" s="37">
        <f t="shared" si="82"/>
        <v>91.806451612903231</v>
      </c>
      <c r="AB71" s="37">
        <f t="shared" si="82"/>
        <v>91.569892473118273</v>
      </c>
      <c r="AC71" s="37">
        <f t="shared" si="82"/>
        <v>95.086021505376351</v>
      </c>
      <c r="AD71" s="37">
        <f t="shared" si="82"/>
        <v>97.602150537634415</v>
      </c>
      <c r="AE71" s="37">
        <f t="shared" si="82"/>
        <v>91.762500000000003</v>
      </c>
      <c r="AF71" s="37">
        <f t="shared" si="82"/>
        <v>93.889450549450558</v>
      </c>
      <c r="AG71" s="37">
        <f t="shared" si="82"/>
        <v>137.65591397849462</v>
      </c>
      <c r="AH71" s="37">
        <f t="shared" si="82"/>
        <v>134.4065934065934</v>
      </c>
      <c r="AI71" s="38">
        <f>+AI73/AI69</f>
        <v>93.242609329446069</v>
      </c>
      <c r="AJ71" s="6"/>
    </row>
    <row r="72" spans="1:36" x14ac:dyDescent="0.3">
      <c r="A72" s="2"/>
      <c r="B72" s="14"/>
      <c r="C72" s="34" t="s">
        <v>18</v>
      </c>
      <c r="D72" s="37">
        <f>+D70*D71</f>
        <v>72.061290322580646</v>
      </c>
      <c r="E72" s="37">
        <f t="shared" ref="E72:J72" si="83">+E70*E71</f>
        <v>78.526344086021496</v>
      </c>
      <c r="F72" s="37">
        <f t="shared" si="83"/>
        <v>87.512258064516132</v>
      </c>
      <c r="G72" s="37">
        <f t="shared" si="83"/>
        <v>86.362688172043008</v>
      </c>
      <c r="H72" s="37">
        <f t="shared" si="83"/>
        <v>90.061612903225807</v>
      </c>
      <c r="I72" s="37">
        <f t="shared" si="83"/>
        <v>81.002365591397847</v>
      </c>
      <c r="J72" s="37">
        <f t="shared" si="83"/>
        <v>63.991612903225814</v>
      </c>
      <c r="K72" s="37">
        <f t="shared" ref="K72:AH72" si="84">+K70*K71</f>
        <v>76.272795698924725</v>
      </c>
      <c r="L72" s="37">
        <f t="shared" si="84"/>
        <v>85.495268817204305</v>
      </c>
      <c r="M72" s="37">
        <f t="shared" si="84"/>
        <v>76.81881720430107</v>
      </c>
      <c r="N72" s="37">
        <f t="shared" si="84"/>
        <v>83.161290322580655</v>
      </c>
      <c r="O72" s="37">
        <f t="shared" si="84"/>
        <v>91.989247311827953</v>
      </c>
      <c r="P72" s="37">
        <f t="shared" si="84"/>
        <v>88.623655913978496</v>
      </c>
      <c r="Q72" s="37">
        <f t="shared" si="84"/>
        <v>83.956989247311824</v>
      </c>
      <c r="R72" s="37">
        <f t="shared" si="84"/>
        <v>89.29892473118278</v>
      </c>
      <c r="S72" s="37">
        <f t="shared" si="84"/>
        <v>89.035161290322591</v>
      </c>
      <c r="T72" s="37">
        <f t="shared" si="84"/>
        <v>89.582473118279566</v>
      </c>
      <c r="U72" s="37">
        <f t="shared" si="84"/>
        <v>88.656666666666666</v>
      </c>
      <c r="V72" s="37">
        <f t="shared" si="84"/>
        <v>86.677419354838705</v>
      </c>
      <c r="W72" s="37">
        <f t="shared" si="84"/>
        <v>97.6989247311828</v>
      </c>
      <c r="X72" s="37">
        <f t="shared" si="84"/>
        <v>76.193548387096783</v>
      </c>
      <c r="Y72" s="37">
        <f t="shared" si="84"/>
        <v>81.338709677419345</v>
      </c>
      <c r="Z72" s="37">
        <f t="shared" si="84"/>
        <v>90.797849462365605</v>
      </c>
      <c r="AA72" s="37">
        <f t="shared" si="84"/>
        <v>91.806451612903231</v>
      </c>
      <c r="AB72" s="37">
        <f t="shared" si="84"/>
        <v>91.569892473118273</v>
      </c>
      <c r="AC72" s="37">
        <f t="shared" si="84"/>
        <v>95.086021505376351</v>
      </c>
      <c r="AD72" s="37">
        <f t="shared" si="84"/>
        <v>97.602150537634415</v>
      </c>
      <c r="AE72" s="37">
        <f t="shared" si="84"/>
        <v>78.935483870967744</v>
      </c>
      <c r="AF72" s="37">
        <f t="shared" si="84"/>
        <v>91.870322580645166</v>
      </c>
      <c r="AG72" s="37">
        <f t="shared" si="84"/>
        <v>137.65591397849462</v>
      </c>
      <c r="AH72" s="37">
        <f t="shared" si="84"/>
        <v>131.51612903225805</v>
      </c>
      <c r="AI72" s="38">
        <f>+AI71*AI70</f>
        <v>88.747041276448158</v>
      </c>
      <c r="AJ72" s="6"/>
    </row>
    <row r="73" spans="1:36" x14ac:dyDescent="0.3">
      <c r="A73" s="2"/>
      <c r="B73" s="33"/>
      <c r="C73" s="34" t="s">
        <v>19</v>
      </c>
      <c r="D73" s="20">
        <v>6701.7</v>
      </c>
      <c r="E73" s="20">
        <v>7302.95</v>
      </c>
      <c r="F73" s="20">
        <v>8138.64</v>
      </c>
      <c r="G73" s="20">
        <v>8031.73</v>
      </c>
      <c r="H73" s="20">
        <v>8375.73</v>
      </c>
      <c r="I73" s="20">
        <v>7533.22</v>
      </c>
      <c r="J73" s="20">
        <v>5951.22</v>
      </c>
      <c r="K73" s="20">
        <v>7093.37</v>
      </c>
      <c r="L73" s="20">
        <v>7951.06</v>
      </c>
      <c r="M73" s="20">
        <v>7144.15</v>
      </c>
      <c r="N73" s="20">
        <v>7734</v>
      </c>
      <c r="O73" s="20">
        <v>8555</v>
      </c>
      <c r="P73" s="20">
        <v>8242</v>
      </c>
      <c r="Q73" s="20">
        <v>7808</v>
      </c>
      <c r="R73" s="20">
        <v>8304.7999999999993</v>
      </c>
      <c r="S73" s="20">
        <v>8280.27</v>
      </c>
      <c r="T73" s="20">
        <v>8331.17</v>
      </c>
      <c r="U73" s="20">
        <v>8245.07</v>
      </c>
      <c r="V73" s="20">
        <v>8061</v>
      </c>
      <c r="W73" s="20">
        <v>9086</v>
      </c>
      <c r="X73" s="20">
        <v>7086</v>
      </c>
      <c r="Y73" s="20">
        <v>7564.5</v>
      </c>
      <c r="Z73" s="20">
        <v>8444.2000000000007</v>
      </c>
      <c r="AA73" s="20">
        <v>8538</v>
      </c>
      <c r="AB73" s="20">
        <v>8516</v>
      </c>
      <c r="AC73" s="20">
        <v>8843</v>
      </c>
      <c r="AD73" s="20">
        <v>9077</v>
      </c>
      <c r="AE73" s="20">
        <v>7341</v>
      </c>
      <c r="AF73" s="20">
        <v>8543.94</v>
      </c>
      <c r="AG73" s="20">
        <v>12802</v>
      </c>
      <c r="AH73" s="20">
        <v>12231</v>
      </c>
      <c r="AI73" s="39">
        <f>SUM(D73:AH73)</f>
        <v>255857.72000000003</v>
      </c>
      <c r="AJ73" s="6"/>
    </row>
    <row r="74" spans="1:36" ht="15" thickBot="1" x14ac:dyDescent="0.35">
      <c r="A74" s="23"/>
      <c r="B74" s="48"/>
      <c r="C74" s="41" t="s">
        <v>20</v>
      </c>
      <c r="D74" s="49">
        <f>867.42/D73</f>
        <v>0.12943283047584941</v>
      </c>
      <c r="E74" s="50">
        <f>873.18/E73</f>
        <v>0.11956538111311182</v>
      </c>
      <c r="F74" s="73">
        <f>1170.89/F73</f>
        <v>0.14386801726086915</v>
      </c>
      <c r="G74" s="50">
        <f>1073.38/G73</f>
        <v>0.13364244066969386</v>
      </c>
      <c r="H74" s="50">
        <f>929.79/H73</f>
        <v>0.11101002539480141</v>
      </c>
      <c r="I74" s="50">
        <f>726.85/I73</f>
        <v>9.6485964833099264E-2</v>
      </c>
      <c r="J74" s="50">
        <f>824/J73</f>
        <v>0.13845900504434383</v>
      </c>
      <c r="K74" s="50">
        <f>876.26/K73</f>
        <v>0.12353225617724721</v>
      </c>
      <c r="L74" s="50">
        <f>1119.51/L73</f>
        <v>0.14080009457858447</v>
      </c>
      <c r="M74" s="50">
        <f>1210.97/M73</f>
        <v>0.16950511957335723</v>
      </c>
      <c r="N74" s="50">
        <f>1327.5/N73</f>
        <v>0.17164468580294803</v>
      </c>
      <c r="O74" s="50">
        <f>880.4/O73</f>
        <v>0.10291057860900059</v>
      </c>
      <c r="P74" s="50">
        <f>589.98/P73</f>
        <v>7.1582140257219123E-2</v>
      </c>
      <c r="Q74" s="50">
        <f>702.52/Q73</f>
        <v>8.9974385245901636E-2</v>
      </c>
      <c r="R74" s="50">
        <f>857.53/R73</f>
        <v>0.10325715249012619</v>
      </c>
      <c r="S74" s="50">
        <f>1242.02/S73</f>
        <v>0.14999752423532081</v>
      </c>
      <c r="T74" s="50">
        <f>1176.24/T73</f>
        <v>0.14118545174327254</v>
      </c>
      <c r="U74" s="50">
        <f>1176.24/U73</f>
        <v>0.14265979548991095</v>
      </c>
      <c r="V74" s="50">
        <f>1278.27/V73</f>
        <v>0.15857461853368068</v>
      </c>
      <c r="W74" s="50">
        <f>782.07/W73</f>
        <v>8.6074180057230915E-2</v>
      </c>
      <c r="X74" s="50">
        <f>896.98/X73</f>
        <v>0.12658481512842223</v>
      </c>
      <c r="Y74" s="50">
        <f>1196.71/Y73</f>
        <v>0.15820080639830789</v>
      </c>
      <c r="Z74" s="50">
        <f>1229.9/Z73</f>
        <v>0.14565026882357121</v>
      </c>
      <c r="AA74" s="50">
        <f>1376.31/AA73</f>
        <v>0.1611981728742094</v>
      </c>
      <c r="AB74" s="50">
        <f>1348.51/AB73</f>
        <v>0.15835016439643024</v>
      </c>
      <c r="AC74" s="50">
        <f>1066.68/AC73</f>
        <v>0.12062422254890875</v>
      </c>
      <c r="AD74" s="50">
        <f>821.67/AD73</f>
        <v>9.0522198964415546E-2</v>
      </c>
      <c r="AE74" s="50">
        <f>1090.54/AE73</f>
        <v>0.14855469282114153</v>
      </c>
      <c r="AF74" s="50">
        <f>1376.31/AF73</f>
        <v>0.16108610313274671</v>
      </c>
      <c r="AG74" s="50">
        <f>1440.24/AG73</f>
        <v>0.11250117169192314</v>
      </c>
      <c r="AH74" s="50"/>
      <c r="AI74" s="51">
        <f>AVERAGE(D74:AG74)</f>
        <v>0.13024780881218823</v>
      </c>
      <c r="AJ74" s="6"/>
    </row>
    <row r="75" spans="1:36" ht="15" thickTop="1" x14ac:dyDescent="0.3">
      <c r="A75" s="2">
        <v>118</v>
      </c>
      <c r="B75" s="45" t="s">
        <v>39</v>
      </c>
      <c r="C75" s="46" t="s">
        <v>15</v>
      </c>
      <c r="D75" s="11">
        <v>56</v>
      </c>
      <c r="E75" s="12">
        <v>58</v>
      </c>
      <c r="F75" s="12">
        <v>50</v>
      </c>
      <c r="G75" s="12">
        <v>75</v>
      </c>
      <c r="H75" s="12">
        <v>72</v>
      </c>
      <c r="I75" s="12">
        <v>70</v>
      </c>
      <c r="J75" s="12">
        <v>51</v>
      </c>
      <c r="K75" s="12">
        <v>61</v>
      </c>
      <c r="L75" s="12">
        <v>67</v>
      </c>
      <c r="M75" s="12">
        <v>82</v>
      </c>
      <c r="N75" s="12">
        <v>84</v>
      </c>
      <c r="O75" s="12">
        <v>103</v>
      </c>
      <c r="P75" s="12">
        <v>100</v>
      </c>
      <c r="Q75" s="12">
        <v>58</v>
      </c>
      <c r="R75" s="12">
        <v>79</v>
      </c>
      <c r="S75" s="12">
        <v>80</v>
      </c>
      <c r="T75" s="12">
        <v>96</v>
      </c>
      <c r="U75" s="12">
        <v>85</v>
      </c>
      <c r="V75" s="12">
        <v>118</v>
      </c>
      <c r="W75" s="12">
        <v>118</v>
      </c>
      <c r="X75" s="12">
        <v>59</v>
      </c>
      <c r="Y75" s="12">
        <v>71</v>
      </c>
      <c r="Z75" s="12">
        <v>77</v>
      </c>
      <c r="AA75" s="12">
        <v>91</v>
      </c>
      <c r="AB75" s="12">
        <v>95</v>
      </c>
      <c r="AC75" s="12">
        <v>119</v>
      </c>
      <c r="AD75" s="12">
        <v>116</v>
      </c>
      <c r="AE75" s="12">
        <v>50</v>
      </c>
      <c r="AF75" s="131">
        <v>49</v>
      </c>
      <c r="AG75" s="131">
        <v>54</v>
      </c>
      <c r="AH75" s="12">
        <v>71</v>
      </c>
      <c r="AI75" s="13">
        <f>SUM(D75:AH75)</f>
        <v>2415</v>
      </c>
      <c r="AJ75" s="6"/>
    </row>
    <row r="76" spans="1:36" x14ac:dyDescent="0.3">
      <c r="A76" s="2"/>
      <c r="B76" s="14"/>
      <c r="C76" s="15" t="s">
        <v>16</v>
      </c>
      <c r="D76" s="16">
        <f>+D75/$A75</f>
        <v>0.47457627118644069</v>
      </c>
      <c r="E76" s="16">
        <f t="shared" ref="E76:J76" si="85">+E75/$A75</f>
        <v>0.49152542372881358</v>
      </c>
      <c r="F76" s="16">
        <f t="shared" si="85"/>
        <v>0.42372881355932202</v>
      </c>
      <c r="G76" s="16">
        <f t="shared" si="85"/>
        <v>0.63559322033898302</v>
      </c>
      <c r="H76" s="16">
        <f t="shared" si="85"/>
        <v>0.61016949152542377</v>
      </c>
      <c r="I76" s="16">
        <f t="shared" si="85"/>
        <v>0.59322033898305082</v>
      </c>
      <c r="J76" s="16">
        <f t="shared" si="85"/>
        <v>0.43220338983050849</v>
      </c>
      <c r="K76" s="16">
        <f t="shared" ref="K76:AH76" si="86">+K75/$A75</f>
        <v>0.51694915254237284</v>
      </c>
      <c r="L76" s="16">
        <f t="shared" si="86"/>
        <v>0.56779661016949157</v>
      </c>
      <c r="M76" s="16">
        <f t="shared" si="86"/>
        <v>0.69491525423728817</v>
      </c>
      <c r="N76" s="16">
        <f t="shared" si="86"/>
        <v>0.71186440677966101</v>
      </c>
      <c r="O76" s="16">
        <f t="shared" si="86"/>
        <v>0.8728813559322034</v>
      </c>
      <c r="P76" s="16">
        <f t="shared" si="86"/>
        <v>0.84745762711864403</v>
      </c>
      <c r="Q76" s="16">
        <f t="shared" si="86"/>
        <v>0.49152542372881358</v>
      </c>
      <c r="R76" s="16">
        <f t="shared" si="86"/>
        <v>0.66949152542372881</v>
      </c>
      <c r="S76" s="16">
        <f t="shared" si="86"/>
        <v>0.67796610169491522</v>
      </c>
      <c r="T76" s="16">
        <f t="shared" si="86"/>
        <v>0.81355932203389836</v>
      </c>
      <c r="U76" s="16">
        <f t="shared" si="86"/>
        <v>0.72033898305084743</v>
      </c>
      <c r="V76" s="16">
        <f t="shared" si="86"/>
        <v>1</v>
      </c>
      <c r="W76" s="16">
        <f t="shared" si="86"/>
        <v>1</v>
      </c>
      <c r="X76" s="16">
        <f t="shared" si="86"/>
        <v>0.5</v>
      </c>
      <c r="Y76" s="16">
        <f t="shared" si="86"/>
        <v>0.60169491525423724</v>
      </c>
      <c r="Z76" s="16">
        <f t="shared" si="86"/>
        <v>0.65254237288135597</v>
      </c>
      <c r="AA76" s="16">
        <f t="shared" si="86"/>
        <v>0.77118644067796616</v>
      </c>
      <c r="AB76" s="16">
        <f t="shared" si="86"/>
        <v>0.80508474576271183</v>
      </c>
      <c r="AC76" s="16">
        <f t="shared" si="86"/>
        <v>1.0084745762711864</v>
      </c>
      <c r="AD76" s="16">
        <f t="shared" si="86"/>
        <v>0.98305084745762716</v>
      </c>
      <c r="AE76" s="16">
        <f t="shared" si="86"/>
        <v>0.42372881355932202</v>
      </c>
      <c r="AF76" s="16">
        <f t="shared" si="86"/>
        <v>0.4152542372881356</v>
      </c>
      <c r="AG76" s="16">
        <f t="shared" si="86"/>
        <v>0.4576271186440678</v>
      </c>
      <c r="AH76" s="16">
        <f t="shared" si="86"/>
        <v>0.60169491525423724</v>
      </c>
      <c r="AI76" s="17">
        <f>+AI75/(A75*A$1)</f>
        <v>0.66019682886823405</v>
      </c>
      <c r="AJ76" s="6"/>
    </row>
    <row r="77" spans="1:36" x14ac:dyDescent="0.3">
      <c r="A77" s="2"/>
      <c r="B77" s="14"/>
      <c r="C77" s="15" t="s">
        <v>17</v>
      </c>
      <c r="D77" s="18">
        <f>+IFERROR(D79/D75,0)</f>
        <v>69.94446428571429</v>
      </c>
      <c r="E77" s="18">
        <f t="shared" ref="E77:J77" si="87">+IFERROR(E79/E75,0)</f>
        <v>75.437241379310336</v>
      </c>
      <c r="F77" s="18">
        <f t="shared" si="87"/>
        <v>71.980400000000003</v>
      </c>
      <c r="G77" s="18">
        <f t="shared" si="87"/>
        <v>69.456266666666664</v>
      </c>
      <c r="H77" s="18">
        <f t="shared" si="87"/>
        <v>75.039722222222224</v>
      </c>
      <c r="I77" s="18">
        <f t="shared" si="87"/>
        <v>75.852000000000004</v>
      </c>
      <c r="J77" s="18">
        <f t="shared" si="87"/>
        <v>73.560392156862747</v>
      </c>
      <c r="K77" s="18">
        <f t="shared" ref="K77:AH77" si="88">+IFERROR(K79/K75,0)</f>
        <v>72.797704918032778</v>
      </c>
      <c r="L77" s="18">
        <f t="shared" si="88"/>
        <v>71.508805970149254</v>
      </c>
      <c r="M77" s="18">
        <f t="shared" si="88"/>
        <v>73.016585365853658</v>
      </c>
      <c r="N77" s="18">
        <f t="shared" si="88"/>
        <v>77.488095238095241</v>
      </c>
      <c r="O77" s="18">
        <f t="shared" si="88"/>
        <v>83.339805825242721</v>
      </c>
      <c r="P77" s="18">
        <f t="shared" si="88"/>
        <v>86.09</v>
      </c>
      <c r="Q77" s="18">
        <f t="shared" si="88"/>
        <v>66.91379310344827</v>
      </c>
      <c r="R77" s="18">
        <f t="shared" si="88"/>
        <v>73.601139240506328</v>
      </c>
      <c r="S77" s="18">
        <f t="shared" si="88"/>
        <v>76.680374999999998</v>
      </c>
      <c r="T77" s="18">
        <f t="shared" si="88"/>
        <v>75.6328125</v>
      </c>
      <c r="U77" s="18">
        <f t="shared" si="88"/>
        <v>74.001411764705878</v>
      </c>
      <c r="V77" s="18">
        <f t="shared" si="88"/>
        <v>91.711864406779668</v>
      </c>
      <c r="W77" s="18">
        <f t="shared" si="88"/>
        <v>95.330508474576277</v>
      </c>
      <c r="X77" s="18">
        <f t="shared" si="88"/>
        <v>74.305084745762713</v>
      </c>
      <c r="Y77" s="18">
        <f t="shared" si="88"/>
        <v>76.74943661971831</v>
      </c>
      <c r="Z77" s="18">
        <f t="shared" si="88"/>
        <v>77.327532467532464</v>
      </c>
      <c r="AA77" s="18">
        <f t="shared" si="88"/>
        <v>88.340659340659343</v>
      </c>
      <c r="AB77" s="18">
        <f t="shared" si="88"/>
        <v>92.452631578947361</v>
      </c>
      <c r="AC77" s="18">
        <f t="shared" si="88"/>
        <v>102.73109243697479</v>
      </c>
      <c r="AD77" s="18">
        <f t="shared" si="88"/>
        <v>104.17241379310344</v>
      </c>
      <c r="AE77" s="18">
        <f t="shared" si="88"/>
        <v>77.98</v>
      </c>
      <c r="AF77" s="18">
        <f t="shared" si="88"/>
        <v>73.769183673469385</v>
      </c>
      <c r="AG77" s="18">
        <f t="shared" si="88"/>
        <v>84.18518518518519</v>
      </c>
      <c r="AH77" s="18">
        <f t="shared" si="88"/>
        <v>85.225352112676063</v>
      </c>
      <c r="AI77" s="19">
        <f>+AI79/AI75</f>
        <v>81.559664596273294</v>
      </c>
      <c r="AJ77" s="6"/>
    </row>
    <row r="78" spans="1:36" x14ac:dyDescent="0.3">
      <c r="A78" s="2"/>
      <c r="B78" s="14"/>
      <c r="C78" s="15" t="s">
        <v>18</v>
      </c>
      <c r="D78" s="18">
        <f>+D76*D77</f>
        <v>33.193983050847457</v>
      </c>
      <c r="E78" s="18">
        <f t="shared" ref="E78:J78" si="89">+E76*E77</f>
        <v>37.079322033898301</v>
      </c>
      <c r="F78" s="18">
        <f t="shared" si="89"/>
        <v>30.500169491525423</v>
      </c>
      <c r="G78" s="18">
        <f t="shared" si="89"/>
        <v>44.145932203389826</v>
      </c>
      <c r="H78" s="18">
        <f t="shared" si="89"/>
        <v>45.786949152542377</v>
      </c>
      <c r="I78" s="18">
        <f t="shared" si="89"/>
        <v>44.996949152542371</v>
      </c>
      <c r="J78" s="18">
        <f t="shared" si="89"/>
        <v>31.793050847457629</v>
      </c>
      <c r="K78" s="18">
        <f t="shared" ref="K78:AH78" si="90">+K76*K77</f>
        <v>37.632711864406772</v>
      </c>
      <c r="L78" s="18">
        <f t="shared" si="90"/>
        <v>40.602457627118646</v>
      </c>
      <c r="M78" s="18">
        <f t="shared" si="90"/>
        <v>50.740338983050847</v>
      </c>
      <c r="N78" s="18">
        <f t="shared" si="90"/>
        <v>55.161016949152547</v>
      </c>
      <c r="O78" s="18">
        <f t="shared" si="90"/>
        <v>72.745762711864415</v>
      </c>
      <c r="P78" s="18">
        <f t="shared" si="90"/>
        <v>72.957627118644069</v>
      </c>
      <c r="Q78" s="18">
        <f t="shared" si="90"/>
        <v>32.889830508474574</v>
      </c>
      <c r="R78" s="18">
        <f t="shared" si="90"/>
        <v>49.275338983050844</v>
      </c>
      <c r="S78" s="18">
        <f t="shared" si="90"/>
        <v>51.986694915254233</v>
      </c>
      <c r="T78" s="18">
        <f t="shared" si="90"/>
        <v>61.531779661016955</v>
      </c>
      <c r="U78" s="18">
        <f t="shared" si="90"/>
        <v>53.306101694915249</v>
      </c>
      <c r="V78" s="18">
        <f t="shared" si="90"/>
        <v>91.711864406779668</v>
      </c>
      <c r="W78" s="18">
        <f t="shared" si="90"/>
        <v>95.330508474576277</v>
      </c>
      <c r="X78" s="18">
        <f t="shared" si="90"/>
        <v>37.152542372881356</v>
      </c>
      <c r="Y78" s="18">
        <f t="shared" si="90"/>
        <v>46.17974576271186</v>
      </c>
      <c r="Z78" s="18">
        <f t="shared" si="90"/>
        <v>50.459491525423729</v>
      </c>
      <c r="AA78" s="18">
        <f t="shared" si="90"/>
        <v>68.127118644067806</v>
      </c>
      <c r="AB78" s="18">
        <f t="shared" si="90"/>
        <v>74.432203389830505</v>
      </c>
      <c r="AC78" s="18">
        <f t="shared" si="90"/>
        <v>103.60169491525424</v>
      </c>
      <c r="AD78" s="18">
        <f t="shared" si="90"/>
        <v>102.40677966101696</v>
      </c>
      <c r="AE78" s="18">
        <f t="shared" si="90"/>
        <v>33.042372881355931</v>
      </c>
      <c r="AF78" s="18">
        <f t="shared" si="90"/>
        <v>30.632966101694915</v>
      </c>
      <c r="AG78" s="18">
        <f t="shared" si="90"/>
        <v>38.525423728813564</v>
      </c>
      <c r="AH78" s="18">
        <f t="shared" si="90"/>
        <v>51.279661016949156</v>
      </c>
      <c r="AI78" s="19">
        <f>+AI77*AI76</f>
        <v>53.84543193001641</v>
      </c>
      <c r="AJ78" s="6"/>
    </row>
    <row r="79" spans="1:36" x14ac:dyDescent="0.3">
      <c r="A79" s="2"/>
      <c r="B79" s="14"/>
      <c r="C79" s="15" t="s">
        <v>19</v>
      </c>
      <c r="D79" s="20">
        <v>3916.89</v>
      </c>
      <c r="E79" s="20">
        <v>4375.3599999999997</v>
      </c>
      <c r="F79" s="20">
        <v>3599.02</v>
      </c>
      <c r="G79" s="20">
        <v>5209.22</v>
      </c>
      <c r="H79" s="20">
        <v>5402.86</v>
      </c>
      <c r="I79" s="20">
        <v>5309.64</v>
      </c>
      <c r="J79" s="20">
        <v>3751.58</v>
      </c>
      <c r="K79" s="20">
        <v>4440.66</v>
      </c>
      <c r="L79" s="20">
        <v>4791.09</v>
      </c>
      <c r="M79" s="20">
        <v>5987.36</v>
      </c>
      <c r="N79" s="20">
        <v>6509</v>
      </c>
      <c r="O79" s="20">
        <v>8584</v>
      </c>
      <c r="P79" s="20">
        <v>8609</v>
      </c>
      <c r="Q79" s="20">
        <v>3881</v>
      </c>
      <c r="R79" s="20">
        <v>5814.49</v>
      </c>
      <c r="S79" s="20">
        <v>6134.43</v>
      </c>
      <c r="T79" s="20">
        <v>7260.75</v>
      </c>
      <c r="U79" s="20">
        <v>6290.12</v>
      </c>
      <c r="V79" s="20">
        <v>10822</v>
      </c>
      <c r="W79" s="20">
        <v>11249</v>
      </c>
      <c r="X79" s="20">
        <v>4384</v>
      </c>
      <c r="Y79" s="20">
        <v>5449.21</v>
      </c>
      <c r="Z79" s="20">
        <v>5954.22</v>
      </c>
      <c r="AA79" s="20">
        <v>8039</v>
      </c>
      <c r="AB79" s="20">
        <v>8783</v>
      </c>
      <c r="AC79" s="20">
        <v>12225</v>
      </c>
      <c r="AD79" s="20">
        <v>12084</v>
      </c>
      <c r="AE79" s="20">
        <v>3899</v>
      </c>
      <c r="AF79" s="130">
        <v>3614.69</v>
      </c>
      <c r="AG79" s="130">
        <v>4546</v>
      </c>
      <c r="AH79" s="20">
        <v>6051</v>
      </c>
      <c r="AI79" s="22">
        <f>SUM(D79:AH79)</f>
        <v>196966.59</v>
      </c>
      <c r="AJ79" s="6"/>
    </row>
    <row r="80" spans="1:36" ht="15" thickBot="1" x14ac:dyDescent="0.35">
      <c r="A80" s="2"/>
      <c r="B80" s="14"/>
      <c r="C80" s="15" t="s">
        <v>20</v>
      </c>
      <c r="D80" s="74">
        <f>679.78/D79</f>
        <v>0.17355095496682316</v>
      </c>
      <c r="E80" s="74">
        <f>571.27/E79</f>
        <v>0.13056525634462079</v>
      </c>
      <c r="F80" s="74">
        <f>679.49/F79</f>
        <v>0.18879861740140372</v>
      </c>
      <c r="G80" s="74">
        <f>1111.2/G79</f>
        <v>0.21331408541009977</v>
      </c>
      <c r="H80" s="74">
        <f>993.46/H79</f>
        <v>0.18387668753215891</v>
      </c>
      <c r="I80" s="75">
        <f>722.82/I79</f>
        <v>0.13613352317671254</v>
      </c>
      <c r="J80" s="74">
        <f>595.24/J79</f>
        <v>0.15866381631206053</v>
      </c>
      <c r="K80" s="75">
        <f>756.81/K79</f>
        <v>0.17042736890462229</v>
      </c>
      <c r="L80" s="74">
        <f>639.9/L79</f>
        <v>0.13356042153246964</v>
      </c>
      <c r="M80" s="74">
        <f>846.63/M79</f>
        <v>0.14140288875230486</v>
      </c>
      <c r="N80" s="74">
        <f>854.54/N79</f>
        <v>0.13128591181441082</v>
      </c>
      <c r="O80" s="74">
        <f>609.27/O79</f>
        <v>7.0977399813606706E-2</v>
      </c>
      <c r="P80" s="74">
        <f>482.87/P79</f>
        <v>5.6088976652340576E-2</v>
      </c>
      <c r="Q80" s="74">
        <f>675.95/Q79</f>
        <v>0.17416902860087607</v>
      </c>
      <c r="R80" s="74">
        <f>858.15/R79</f>
        <v>0.14758818056269768</v>
      </c>
      <c r="S80" s="74">
        <f>958.01/S79</f>
        <v>0.15616935884833635</v>
      </c>
      <c r="T80" s="74">
        <f>1109.86/T79</f>
        <v>0.15285748717418998</v>
      </c>
      <c r="U80" s="74">
        <f>1109.86/U79</f>
        <v>0.17644496448398439</v>
      </c>
      <c r="V80" s="74">
        <f>1123.03/V79</f>
        <v>0.10377287007946775</v>
      </c>
      <c r="W80" s="74">
        <f>627.92/W79</f>
        <v>5.5820072895368472E-2</v>
      </c>
      <c r="X80" s="74">
        <f>675.07/X79</f>
        <v>0.15398494525547446</v>
      </c>
      <c r="Y80" s="74">
        <f>935.14/Y79</f>
        <v>0.17161019670741262</v>
      </c>
      <c r="Z80" s="74">
        <f>928.45/Z79</f>
        <v>0.15593142342741786</v>
      </c>
      <c r="AA80" s="74">
        <f>1021.18/AA79</f>
        <v>0.1270282373429531</v>
      </c>
      <c r="AB80" s="74">
        <f>903.02/AB79</f>
        <v>0.10281452806558124</v>
      </c>
      <c r="AC80" s="26">
        <f>1206.21/AC79</f>
        <v>9.8667484662576688E-2</v>
      </c>
      <c r="AD80" s="26">
        <f>724.72/AD79</f>
        <v>5.997351870241642E-2</v>
      </c>
      <c r="AE80" s="26">
        <f>922.82/AE79</f>
        <v>0.23668120030777123</v>
      </c>
      <c r="AF80" s="26">
        <f>1021.18/AF79</f>
        <v>0.28250832021556482</v>
      </c>
      <c r="AG80" s="26">
        <f>570.75/AG79</f>
        <v>0.12554993400791906</v>
      </c>
      <c r="AH80" s="26"/>
      <c r="AI80" s="76">
        <f>AVERAGE(D80:AG80)</f>
        <v>0.14567392199845475</v>
      </c>
      <c r="AJ80" s="6"/>
    </row>
    <row r="81" spans="1:36" ht="15" thickTop="1" x14ac:dyDescent="0.3">
      <c r="A81" s="2">
        <v>103</v>
      </c>
      <c r="B81" s="28" t="s">
        <v>40</v>
      </c>
      <c r="C81" s="29" t="s">
        <v>15</v>
      </c>
      <c r="D81" s="30">
        <v>62</v>
      </c>
      <c r="E81" s="31">
        <v>72</v>
      </c>
      <c r="F81" s="31">
        <v>69</v>
      </c>
      <c r="G81" s="31">
        <v>58</v>
      </c>
      <c r="H81" s="31">
        <v>75</v>
      </c>
      <c r="I81" s="31">
        <v>76</v>
      </c>
      <c r="J81" s="31">
        <v>55</v>
      </c>
      <c r="K81" s="31">
        <v>64</v>
      </c>
      <c r="L81" s="31">
        <v>62</v>
      </c>
      <c r="M81" s="31">
        <v>64</v>
      </c>
      <c r="N81" s="31">
        <v>67</v>
      </c>
      <c r="O81" s="31">
        <v>77</v>
      </c>
      <c r="P81" s="31">
        <v>85</v>
      </c>
      <c r="Q81" s="31">
        <v>72</v>
      </c>
      <c r="R81" s="31">
        <v>79</v>
      </c>
      <c r="S81" s="31">
        <v>82</v>
      </c>
      <c r="T81" s="31">
        <v>76</v>
      </c>
      <c r="U81" s="31">
        <v>78</v>
      </c>
      <c r="V81" s="31">
        <v>85</v>
      </c>
      <c r="W81" s="31">
        <v>91</v>
      </c>
      <c r="X81" s="31">
        <v>71</v>
      </c>
      <c r="Y81" s="31">
        <v>79</v>
      </c>
      <c r="Z81" s="31">
        <v>82</v>
      </c>
      <c r="AA81" s="31">
        <v>88</v>
      </c>
      <c r="AB81" s="31">
        <v>87</v>
      </c>
      <c r="AC81" s="31">
        <v>82</v>
      </c>
      <c r="AD81" s="31">
        <v>90</v>
      </c>
      <c r="AE81" s="31">
        <v>42</v>
      </c>
      <c r="AF81" s="133">
        <v>71</v>
      </c>
      <c r="AG81" s="133">
        <v>70</v>
      </c>
      <c r="AH81" s="31">
        <v>66</v>
      </c>
      <c r="AI81" s="32">
        <f>SUM(D81:AH81)</f>
        <v>2277</v>
      </c>
      <c r="AJ81" s="6"/>
    </row>
    <row r="82" spans="1:36" x14ac:dyDescent="0.3">
      <c r="A82" s="2"/>
      <c r="B82" s="33"/>
      <c r="C82" s="34" t="s">
        <v>16</v>
      </c>
      <c r="D82" s="35">
        <f t="shared" ref="D82:V82" si="91">+D81/$A81</f>
        <v>0.60194174757281549</v>
      </c>
      <c r="E82" s="35">
        <f t="shared" si="91"/>
        <v>0.69902912621359226</v>
      </c>
      <c r="F82" s="35">
        <f t="shared" si="91"/>
        <v>0.66990291262135926</v>
      </c>
      <c r="G82" s="35">
        <f t="shared" si="91"/>
        <v>0.56310679611650483</v>
      </c>
      <c r="H82" s="35">
        <f t="shared" si="91"/>
        <v>0.72815533980582525</v>
      </c>
      <c r="I82" s="35">
        <f t="shared" si="91"/>
        <v>0.73786407766990292</v>
      </c>
      <c r="J82" s="35">
        <f t="shared" si="91"/>
        <v>0.53398058252427183</v>
      </c>
      <c r="K82" s="35">
        <f t="shared" si="91"/>
        <v>0.62135922330097082</v>
      </c>
      <c r="L82" s="35">
        <f t="shared" si="91"/>
        <v>0.60194174757281549</v>
      </c>
      <c r="M82" s="35">
        <f t="shared" si="91"/>
        <v>0.62135922330097082</v>
      </c>
      <c r="N82" s="35">
        <f t="shared" si="91"/>
        <v>0.65048543689320393</v>
      </c>
      <c r="O82" s="35">
        <f t="shared" si="91"/>
        <v>0.74757281553398058</v>
      </c>
      <c r="P82" s="35">
        <f t="shared" si="91"/>
        <v>0.82524271844660191</v>
      </c>
      <c r="Q82" s="35">
        <f t="shared" si="91"/>
        <v>0.69902912621359226</v>
      </c>
      <c r="R82" s="35">
        <f t="shared" si="91"/>
        <v>0.76699029126213591</v>
      </c>
      <c r="S82" s="35">
        <f t="shared" si="91"/>
        <v>0.79611650485436891</v>
      </c>
      <c r="T82" s="35">
        <f t="shared" si="91"/>
        <v>0.73786407766990292</v>
      </c>
      <c r="U82" s="35">
        <f t="shared" si="91"/>
        <v>0.75728155339805825</v>
      </c>
      <c r="V82" s="35">
        <f t="shared" si="91"/>
        <v>0.82524271844660191</v>
      </c>
      <c r="W82" s="35">
        <f t="shared" ref="W82:AH82" si="92">+W81/$A81</f>
        <v>0.88349514563106801</v>
      </c>
      <c r="X82" s="35">
        <f t="shared" si="92"/>
        <v>0.68932038834951459</v>
      </c>
      <c r="Y82" s="35">
        <f t="shared" si="92"/>
        <v>0.76699029126213591</v>
      </c>
      <c r="Z82" s="35">
        <f t="shared" si="92"/>
        <v>0.79611650485436891</v>
      </c>
      <c r="AA82" s="35">
        <f t="shared" si="92"/>
        <v>0.85436893203883491</v>
      </c>
      <c r="AB82" s="35">
        <f t="shared" si="92"/>
        <v>0.84466019417475724</v>
      </c>
      <c r="AC82" s="35">
        <f t="shared" si="92"/>
        <v>0.79611650485436891</v>
      </c>
      <c r="AD82" s="35">
        <f t="shared" si="92"/>
        <v>0.87378640776699024</v>
      </c>
      <c r="AE82" s="35">
        <f t="shared" si="92"/>
        <v>0.40776699029126212</v>
      </c>
      <c r="AF82" s="35">
        <f t="shared" si="92"/>
        <v>0.68932038834951459</v>
      </c>
      <c r="AG82" s="35">
        <f t="shared" si="92"/>
        <v>0.67961165048543692</v>
      </c>
      <c r="AH82" s="35">
        <f t="shared" si="92"/>
        <v>0.64077669902912626</v>
      </c>
      <c r="AI82" s="36">
        <f>+AI81/(A81*A$1)</f>
        <v>0.71312245537112429</v>
      </c>
      <c r="AJ82" s="6"/>
    </row>
    <row r="83" spans="1:36" x14ac:dyDescent="0.3">
      <c r="A83" s="2"/>
      <c r="B83" s="33"/>
      <c r="C83" s="34" t="s">
        <v>17</v>
      </c>
      <c r="D83" s="37">
        <f t="shared" ref="D83:V83" si="93">+IFERROR(D85/D81,0)</f>
        <v>64.243709677419361</v>
      </c>
      <c r="E83" s="37">
        <f t="shared" si="93"/>
        <v>66.056805555555556</v>
      </c>
      <c r="F83" s="37">
        <f t="shared" si="93"/>
        <v>66.588985507246377</v>
      </c>
      <c r="G83" s="37">
        <f t="shared" si="93"/>
        <v>66.798793103448276</v>
      </c>
      <c r="H83" s="37">
        <f t="shared" si="93"/>
        <v>73.086533333333335</v>
      </c>
      <c r="I83" s="37">
        <f t="shared" si="93"/>
        <v>79.204342105263152</v>
      </c>
      <c r="J83" s="37">
        <f t="shared" si="93"/>
        <v>65.568545454545458</v>
      </c>
      <c r="K83" s="37">
        <f t="shared" si="93"/>
        <v>66.632031249999997</v>
      </c>
      <c r="L83" s="37">
        <f t="shared" si="93"/>
        <v>67.970967741935482</v>
      </c>
      <c r="M83" s="37">
        <f t="shared" si="93"/>
        <v>64.200468749999999</v>
      </c>
      <c r="N83" s="37">
        <f t="shared" si="93"/>
        <v>72.343283582089555</v>
      </c>
      <c r="O83" s="37">
        <f t="shared" si="93"/>
        <v>80.545454545454547</v>
      </c>
      <c r="P83" s="37">
        <f t="shared" si="93"/>
        <v>82.341176470588238</v>
      </c>
      <c r="Q83" s="37">
        <f t="shared" si="93"/>
        <v>74.722222222222229</v>
      </c>
      <c r="R83" s="37">
        <f t="shared" si="93"/>
        <v>66.794556962025325</v>
      </c>
      <c r="S83" s="37">
        <f t="shared" si="93"/>
        <v>73.720975609756096</v>
      </c>
      <c r="T83" s="37">
        <f t="shared" si="93"/>
        <v>73.777763157894739</v>
      </c>
      <c r="U83" s="37">
        <f t="shared" si="93"/>
        <v>90.997307692307686</v>
      </c>
      <c r="V83" s="37">
        <f t="shared" si="93"/>
        <v>90.17647058823529</v>
      </c>
      <c r="W83" s="37">
        <f t="shared" ref="W83:AH83" si="94">+IFERROR(W85/W81,0)</f>
        <v>102.60439560439561</v>
      </c>
      <c r="X83" s="37">
        <f t="shared" si="94"/>
        <v>73.08450704225352</v>
      </c>
      <c r="Y83" s="37">
        <f t="shared" si="94"/>
        <v>70.607594936708864</v>
      </c>
      <c r="Z83" s="37">
        <f t="shared" si="94"/>
        <v>71.473658536585361</v>
      </c>
      <c r="AA83" s="37">
        <f t="shared" si="94"/>
        <v>74.352272727272734</v>
      </c>
      <c r="AB83" s="37">
        <f t="shared" si="94"/>
        <v>76.195402298850581</v>
      </c>
      <c r="AC83" s="37">
        <f t="shared" si="94"/>
        <v>84.621951219512198</v>
      </c>
      <c r="AD83" s="37">
        <f t="shared" si="94"/>
        <v>92.13333333333334</v>
      </c>
      <c r="AE83" s="37">
        <f t="shared" si="94"/>
        <v>91.02595238095239</v>
      </c>
      <c r="AF83" s="37">
        <f t="shared" si="94"/>
        <v>74.154929577464785</v>
      </c>
      <c r="AG83" s="37">
        <f t="shared" si="94"/>
        <v>63.814285714285717</v>
      </c>
      <c r="AH83" s="37">
        <f t="shared" si="94"/>
        <v>78.075757575757578</v>
      </c>
      <c r="AI83" s="38">
        <f>+AI85/AI81</f>
        <v>76.020491875274487</v>
      </c>
      <c r="AJ83" s="6"/>
    </row>
    <row r="84" spans="1:36" x14ac:dyDescent="0.3">
      <c r="A84" s="2"/>
      <c r="B84" s="33"/>
      <c r="C84" s="34" t="s">
        <v>18</v>
      </c>
      <c r="D84" s="37">
        <f t="shared" ref="D84:V84" si="95">+D82*D83</f>
        <v>38.670970873786409</v>
      </c>
      <c r="E84" s="37">
        <f t="shared" si="95"/>
        <v>46.17563106796117</v>
      </c>
      <c r="F84" s="37">
        <f t="shared" si="95"/>
        <v>44.608155339805826</v>
      </c>
      <c r="G84" s="37">
        <f t="shared" si="95"/>
        <v>37.614854368932036</v>
      </c>
      <c r="H84" s="37">
        <f t="shared" si="95"/>
        <v>53.218349514563108</v>
      </c>
      <c r="I84" s="37">
        <f t="shared" si="95"/>
        <v>58.442038834951454</v>
      </c>
      <c r="J84" s="37">
        <f t="shared" si="95"/>
        <v>35.012330097087379</v>
      </c>
      <c r="K84" s="37">
        <f t="shared" si="95"/>
        <v>41.402427184466013</v>
      </c>
      <c r="L84" s="37">
        <f t="shared" si="95"/>
        <v>40.914563106796109</v>
      </c>
      <c r="M84" s="37">
        <f t="shared" si="95"/>
        <v>39.89155339805825</v>
      </c>
      <c r="N84" s="37">
        <f t="shared" si="95"/>
        <v>47.05825242718447</v>
      </c>
      <c r="O84" s="37">
        <f t="shared" si="95"/>
        <v>60.213592233009713</v>
      </c>
      <c r="P84" s="37">
        <f t="shared" si="95"/>
        <v>67.951456310679617</v>
      </c>
      <c r="Q84" s="37">
        <f t="shared" si="95"/>
        <v>52.233009708737868</v>
      </c>
      <c r="R84" s="37">
        <f t="shared" si="95"/>
        <v>51.230776699029136</v>
      </c>
      <c r="S84" s="37">
        <f t="shared" si="95"/>
        <v>58.690485436893198</v>
      </c>
      <c r="T84" s="37">
        <f t="shared" si="95"/>
        <v>54.437961165048549</v>
      </c>
      <c r="U84" s="37">
        <f t="shared" si="95"/>
        <v>68.910582524271845</v>
      </c>
      <c r="V84" s="37">
        <f t="shared" si="95"/>
        <v>74.417475728155338</v>
      </c>
      <c r="W84" s="37">
        <f t="shared" ref="W84:AH84" si="96">+W82*W83</f>
        <v>90.650485436893206</v>
      </c>
      <c r="X84" s="37">
        <f t="shared" si="96"/>
        <v>50.378640776699029</v>
      </c>
      <c r="Y84" s="37">
        <f t="shared" si="96"/>
        <v>54.155339805825243</v>
      </c>
      <c r="Z84" s="37">
        <f t="shared" si="96"/>
        <v>56.901359223300965</v>
      </c>
      <c r="AA84" s="37">
        <f t="shared" si="96"/>
        <v>63.524271844660198</v>
      </c>
      <c r="AB84" s="37">
        <f t="shared" si="96"/>
        <v>64.359223300970882</v>
      </c>
      <c r="AC84" s="37">
        <f t="shared" si="96"/>
        <v>67.368932038834956</v>
      </c>
      <c r="AD84" s="37">
        <f t="shared" si="96"/>
        <v>80.504854368932044</v>
      </c>
      <c r="AE84" s="37">
        <f t="shared" si="96"/>
        <v>37.1173786407767</v>
      </c>
      <c r="AF84" s="37">
        <f t="shared" si="96"/>
        <v>51.116504854368934</v>
      </c>
      <c r="AG84" s="37">
        <f t="shared" si="96"/>
        <v>43.368932038834956</v>
      </c>
      <c r="AH84" s="37">
        <f t="shared" si="96"/>
        <v>50.029126213592235</v>
      </c>
      <c r="AI84" s="38">
        <f>+AI83*AI82</f>
        <v>54.211919824616345</v>
      </c>
      <c r="AJ84" s="6"/>
    </row>
    <row r="85" spans="1:36" x14ac:dyDescent="0.3">
      <c r="A85" s="2"/>
      <c r="B85" s="33"/>
      <c r="C85" s="34" t="s">
        <v>19</v>
      </c>
      <c r="D85" s="20">
        <v>3983.11</v>
      </c>
      <c r="E85" s="20">
        <v>4756.09</v>
      </c>
      <c r="F85" s="20">
        <v>4594.6400000000003</v>
      </c>
      <c r="G85" s="20">
        <v>3874.33</v>
      </c>
      <c r="H85" s="20">
        <v>5481.49</v>
      </c>
      <c r="I85" s="20">
        <v>6019.53</v>
      </c>
      <c r="J85" s="20">
        <v>3606.27</v>
      </c>
      <c r="K85" s="20">
        <v>4264.45</v>
      </c>
      <c r="L85" s="20">
        <v>4214.2</v>
      </c>
      <c r="M85" s="20">
        <v>4108.83</v>
      </c>
      <c r="N85" s="20">
        <v>4847</v>
      </c>
      <c r="O85" s="20">
        <v>6202</v>
      </c>
      <c r="P85" s="20">
        <v>6999</v>
      </c>
      <c r="Q85" s="20">
        <v>5380</v>
      </c>
      <c r="R85" s="20">
        <v>5276.77</v>
      </c>
      <c r="S85" s="20">
        <v>6045.12</v>
      </c>
      <c r="T85" s="20">
        <v>5607.11</v>
      </c>
      <c r="U85" s="20">
        <v>7097.79</v>
      </c>
      <c r="V85" s="20">
        <v>7665</v>
      </c>
      <c r="W85" s="20">
        <v>9337</v>
      </c>
      <c r="X85" s="20">
        <v>5189</v>
      </c>
      <c r="Y85" s="20">
        <v>5578</v>
      </c>
      <c r="Z85" s="20">
        <v>5860.84</v>
      </c>
      <c r="AA85" s="20">
        <v>6543</v>
      </c>
      <c r="AB85" s="20">
        <v>6629</v>
      </c>
      <c r="AC85" s="20">
        <v>6939</v>
      </c>
      <c r="AD85" s="20">
        <v>8292</v>
      </c>
      <c r="AE85" s="20">
        <v>3823.09</v>
      </c>
      <c r="AF85" s="130">
        <v>5265</v>
      </c>
      <c r="AG85" s="130">
        <v>4467</v>
      </c>
      <c r="AH85" s="20">
        <v>5153</v>
      </c>
      <c r="AI85" s="39">
        <f>SUM(D85:AH85)</f>
        <v>173098.66</v>
      </c>
      <c r="AJ85" s="6"/>
    </row>
    <row r="86" spans="1:36" ht="15" thickBot="1" x14ac:dyDescent="0.35">
      <c r="A86" s="23"/>
      <c r="B86" s="48"/>
      <c r="C86" s="41" t="s">
        <v>20</v>
      </c>
      <c r="D86" s="49">
        <f>1013.53/D85</f>
        <v>0.25445694444793138</v>
      </c>
      <c r="E86" s="50">
        <f>665.44/E85</f>
        <v>0.13991324806721489</v>
      </c>
      <c r="F86" s="73">
        <f>963.56/F85</f>
        <v>0.2097139275329514</v>
      </c>
      <c r="G86" s="50">
        <f>990.72/G85</f>
        <v>0.25571389117602272</v>
      </c>
      <c r="H86" s="50">
        <f>601.46/H85</f>
        <v>0.10972564029123469</v>
      </c>
      <c r="I86" s="50">
        <f>610.3/I85</f>
        <v>0.10138665311079104</v>
      </c>
      <c r="J86" s="50">
        <f>708.69/J85</f>
        <v>0.19651606784849721</v>
      </c>
      <c r="K86" s="50">
        <f>1249.83/K85</f>
        <v>0.2930811710771612</v>
      </c>
      <c r="L86" s="50">
        <f>1093.06/L85</f>
        <v>0.25937544492430353</v>
      </c>
      <c r="M86" s="50">
        <f>991.57/M85</f>
        <v>0.24132660635752759</v>
      </c>
      <c r="N86" s="50">
        <f>1248.43/N85</f>
        <v>0.2575675675675676</v>
      </c>
      <c r="O86" s="50">
        <f>1196.94/O85</f>
        <v>0.19299258303772979</v>
      </c>
      <c r="P86" s="50">
        <f>836.61/P85</f>
        <v>0.11953279039862838</v>
      </c>
      <c r="Q86" s="50">
        <f>836.61/Q85</f>
        <v>0.15550371747211897</v>
      </c>
      <c r="R86" s="50">
        <f>1012.39/R85</f>
        <v>0.19185789791861307</v>
      </c>
      <c r="S86" s="50">
        <f>1323.56/S85</f>
        <v>0.21894685299878247</v>
      </c>
      <c r="T86" s="50">
        <f>1159.63/T85</f>
        <v>0.20681420553547195</v>
      </c>
      <c r="U86" s="50">
        <f>1159.63/U85</f>
        <v>0.16337902361157489</v>
      </c>
      <c r="V86" s="50">
        <f>940.71/V85</f>
        <v>0.12272798434442271</v>
      </c>
      <c r="W86" s="50">
        <f>653.83/W85</f>
        <v>7.0025704187640578E-2</v>
      </c>
      <c r="X86" s="50">
        <f>878.89/X85</f>
        <v>0.16937560223549816</v>
      </c>
      <c r="Y86" s="50">
        <f>1236.98/Y85</f>
        <v>0.22176048762997491</v>
      </c>
      <c r="Z86" s="50">
        <f>830.31/Z85</f>
        <v>0.14167081851748212</v>
      </c>
      <c r="AA86" s="50">
        <f>1039.28/AA85</f>
        <v>0.15883845330887972</v>
      </c>
      <c r="AB86" s="50">
        <f>1060.55/AB85</f>
        <v>0.15998642329159751</v>
      </c>
      <c r="AC86" s="50">
        <f>1239.21/AC85</f>
        <v>0.17858625162127109</v>
      </c>
      <c r="AD86" s="50">
        <f>1020.67/AD85</f>
        <v>0.12309093101784853</v>
      </c>
      <c r="AE86" s="50">
        <f>812.85/AE85</f>
        <v>0.21261597294335211</v>
      </c>
      <c r="AF86" s="50">
        <f>1039.28/AF85</f>
        <v>0.19739411206077873</v>
      </c>
      <c r="AG86" s="26">
        <f>789.21/AG85</f>
        <v>0.17667562122229685</v>
      </c>
      <c r="AH86" s="50"/>
      <c r="AI86" s="51">
        <f>AVERAGE(D86:AG86)</f>
        <v>0.18335175319183883</v>
      </c>
      <c r="AJ86" s="6"/>
    </row>
    <row r="87" spans="1:36" ht="15" thickTop="1" x14ac:dyDescent="0.3">
      <c r="A87" s="2">
        <v>115</v>
      </c>
      <c r="B87" s="45" t="s">
        <v>41</v>
      </c>
      <c r="C87" s="46" t="s">
        <v>15</v>
      </c>
      <c r="D87" s="11">
        <v>28</v>
      </c>
      <c r="E87" s="12">
        <v>27</v>
      </c>
      <c r="F87" s="12">
        <v>33</v>
      </c>
      <c r="G87" s="12">
        <v>44</v>
      </c>
      <c r="H87" s="12">
        <v>68</v>
      </c>
      <c r="I87" s="12">
        <v>88</v>
      </c>
      <c r="J87" s="12">
        <v>39</v>
      </c>
      <c r="K87" s="12">
        <v>27</v>
      </c>
      <c r="L87" s="12">
        <v>39</v>
      </c>
      <c r="M87" s="12">
        <v>38</v>
      </c>
      <c r="N87" s="12">
        <v>44</v>
      </c>
      <c r="O87" s="12">
        <v>70</v>
      </c>
      <c r="P87" s="12">
        <v>91</v>
      </c>
      <c r="Q87" s="12">
        <v>37</v>
      </c>
      <c r="R87" s="12">
        <v>34</v>
      </c>
      <c r="S87" s="12">
        <v>39</v>
      </c>
      <c r="T87" s="12">
        <v>56</v>
      </c>
      <c r="U87" s="12">
        <v>70</v>
      </c>
      <c r="V87" s="12">
        <v>97</v>
      </c>
      <c r="W87" s="12">
        <v>93</v>
      </c>
      <c r="X87" s="12">
        <v>31</v>
      </c>
      <c r="Y87" s="12">
        <v>31</v>
      </c>
      <c r="Z87" s="12">
        <v>31</v>
      </c>
      <c r="AA87" s="12">
        <v>42</v>
      </c>
      <c r="AB87" s="12">
        <v>42</v>
      </c>
      <c r="AC87" s="12">
        <v>101</v>
      </c>
      <c r="AD87" s="12">
        <v>109</v>
      </c>
      <c r="AE87" s="12">
        <v>37</v>
      </c>
      <c r="AF87" s="131">
        <v>40</v>
      </c>
      <c r="AG87" s="131">
        <v>39</v>
      </c>
      <c r="AH87" s="12">
        <v>78</v>
      </c>
      <c r="AI87" s="13">
        <f>SUM(D87:AH87)</f>
        <v>1643</v>
      </c>
      <c r="AJ87" s="6"/>
    </row>
    <row r="88" spans="1:36" x14ac:dyDescent="0.3">
      <c r="A88" s="2"/>
      <c r="B88" s="14"/>
      <c r="C88" s="15" t="s">
        <v>16</v>
      </c>
      <c r="D88" s="16">
        <f t="shared" ref="D88:W88" si="97">+D87/$A87</f>
        <v>0.24347826086956523</v>
      </c>
      <c r="E88" s="16">
        <f t="shared" si="97"/>
        <v>0.23478260869565218</v>
      </c>
      <c r="F88" s="16">
        <f t="shared" si="97"/>
        <v>0.28695652173913044</v>
      </c>
      <c r="G88" s="16">
        <f t="shared" si="97"/>
        <v>0.38260869565217392</v>
      </c>
      <c r="H88" s="16">
        <f t="shared" si="97"/>
        <v>0.59130434782608698</v>
      </c>
      <c r="I88" s="16">
        <f t="shared" si="97"/>
        <v>0.76521739130434785</v>
      </c>
      <c r="J88" s="16">
        <f t="shared" si="97"/>
        <v>0.33913043478260868</v>
      </c>
      <c r="K88" s="16">
        <f t="shared" si="97"/>
        <v>0.23478260869565218</v>
      </c>
      <c r="L88" s="16">
        <f t="shared" si="97"/>
        <v>0.33913043478260868</v>
      </c>
      <c r="M88" s="16">
        <f t="shared" si="97"/>
        <v>0.33043478260869563</v>
      </c>
      <c r="N88" s="16">
        <f t="shared" si="97"/>
        <v>0.38260869565217392</v>
      </c>
      <c r="O88" s="16">
        <f t="shared" si="97"/>
        <v>0.60869565217391308</v>
      </c>
      <c r="P88" s="16">
        <f t="shared" si="97"/>
        <v>0.79130434782608694</v>
      </c>
      <c r="Q88" s="16">
        <f t="shared" si="97"/>
        <v>0.32173913043478258</v>
      </c>
      <c r="R88" s="16">
        <f t="shared" si="97"/>
        <v>0.29565217391304349</v>
      </c>
      <c r="S88" s="16">
        <f t="shared" si="97"/>
        <v>0.33913043478260868</v>
      </c>
      <c r="T88" s="16">
        <f t="shared" si="97"/>
        <v>0.48695652173913045</v>
      </c>
      <c r="U88" s="16">
        <f t="shared" si="97"/>
        <v>0.60869565217391308</v>
      </c>
      <c r="V88" s="16">
        <f t="shared" si="97"/>
        <v>0.84347826086956523</v>
      </c>
      <c r="W88" s="16">
        <f t="shared" si="97"/>
        <v>0.80869565217391304</v>
      </c>
      <c r="X88" s="16">
        <f t="shared" ref="X88:AH88" si="98">+X87/$A87</f>
        <v>0.26956521739130435</v>
      </c>
      <c r="Y88" s="16">
        <f t="shared" si="98"/>
        <v>0.26956521739130435</v>
      </c>
      <c r="Z88" s="16">
        <f t="shared" si="98"/>
        <v>0.26956521739130435</v>
      </c>
      <c r="AA88" s="16">
        <f t="shared" si="98"/>
        <v>0.36521739130434783</v>
      </c>
      <c r="AB88" s="16">
        <f t="shared" si="98"/>
        <v>0.36521739130434783</v>
      </c>
      <c r="AC88" s="16">
        <f t="shared" si="98"/>
        <v>0.87826086956521743</v>
      </c>
      <c r="AD88" s="16">
        <f t="shared" si="98"/>
        <v>0.94782608695652171</v>
      </c>
      <c r="AE88" s="16">
        <f t="shared" si="98"/>
        <v>0.32173913043478258</v>
      </c>
      <c r="AF88" s="16">
        <f t="shared" si="98"/>
        <v>0.34782608695652173</v>
      </c>
      <c r="AG88" s="16">
        <f t="shared" si="98"/>
        <v>0.33913043478260868</v>
      </c>
      <c r="AH88" s="16">
        <f t="shared" si="98"/>
        <v>0.67826086956521736</v>
      </c>
      <c r="AI88" s="17">
        <f>+AI87/(A87*A$1)</f>
        <v>0.46086956521739131</v>
      </c>
      <c r="AJ88" s="6"/>
    </row>
    <row r="89" spans="1:36" x14ac:dyDescent="0.3">
      <c r="A89" s="2"/>
      <c r="B89" s="14"/>
      <c r="C89" s="15" t="s">
        <v>17</v>
      </c>
      <c r="D89" s="18">
        <f t="shared" ref="D89:W89" si="99">+IFERROR(D91/D87,0)</f>
        <v>78.763571428571439</v>
      </c>
      <c r="E89" s="18">
        <f t="shared" si="99"/>
        <v>57.919259259259256</v>
      </c>
      <c r="F89" s="18">
        <f t="shared" si="99"/>
        <v>67.671818181818182</v>
      </c>
      <c r="G89" s="18">
        <f t="shared" si="99"/>
        <v>63.433409090909095</v>
      </c>
      <c r="H89" s="18">
        <f t="shared" si="99"/>
        <v>78.049558823529409</v>
      </c>
      <c r="I89" s="18">
        <f t="shared" si="99"/>
        <v>81.367613636363643</v>
      </c>
      <c r="J89" s="18">
        <f t="shared" si="99"/>
        <v>69.343846153846144</v>
      </c>
      <c r="K89" s="18">
        <f t="shared" si="99"/>
        <v>73.5</v>
      </c>
      <c r="L89" s="18">
        <f t="shared" si="99"/>
        <v>78.325128205128195</v>
      </c>
      <c r="M89" s="18">
        <f t="shared" si="99"/>
        <v>76.320789473684215</v>
      </c>
      <c r="N89" s="18">
        <f t="shared" si="99"/>
        <v>84.75</v>
      </c>
      <c r="O89" s="18">
        <f t="shared" si="99"/>
        <v>74.528571428571425</v>
      </c>
      <c r="P89" s="18">
        <f t="shared" si="99"/>
        <v>81.736263736263737</v>
      </c>
      <c r="Q89" s="18">
        <f t="shared" si="99"/>
        <v>79.108108108108112</v>
      </c>
      <c r="R89" s="18">
        <f t="shared" si="99"/>
        <v>81.408235294117645</v>
      </c>
      <c r="S89" s="18">
        <f t="shared" si="99"/>
        <v>79.236666666666665</v>
      </c>
      <c r="T89" s="18">
        <f t="shared" si="99"/>
        <v>79.199285714285708</v>
      </c>
      <c r="U89" s="18">
        <f t="shared" si="99"/>
        <v>72.155000000000001</v>
      </c>
      <c r="V89" s="18">
        <f t="shared" si="99"/>
        <v>86.412371134020617</v>
      </c>
      <c r="W89" s="18">
        <f t="shared" si="99"/>
        <v>87.494623655913983</v>
      </c>
      <c r="X89" s="18">
        <f t="shared" ref="X89:AH89" si="100">+IFERROR(X91/X87,0)</f>
        <v>82.322580645161295</v>
      </c>
      <c r="Y89" s="18">
        <f t="shared" si="100"/>
        <v>69.322580645161295</v>
      </c>
      <c r="Z89" s="18">
        <f t="shared" si="100"/>
        <v>74.568064516129041</v>
      </c>
      <c r="AA89" s="18">
        <f t="shared" si="100"/>
        <v>78.523809523809518</v>
      </c>
      <c r="AB89" s="18">
        <f t="shared" si="100"/>
        <v>77.214285714285708</v>
      </c>
      <c r="AC89" s="18">
        <f t="shared" si="100"/>
        <v>89.801980198019805</v>
      </c>
      <c r="AD89" s="18">
        <f t="shared" si="100"/>
        <v>97.211009174311926</v>
      </c>
      <c r="AE89" s="18">
        <f t="shared" si="100"/>
        <v>81.78378378378379</v>
      </c>
      <c r="AF89" s="18">
        <f t="shared" si="100"/>
        <v>81.408249999999995</v>
      </c>
      <c r="AG89" s="18">
        <f t="shared" si="100"/>
        <v>90.205128205128204</v>
      </c>
      <c r="AH89" s="18">
        <f t="shared" si="100"/>
        <v>38.935897435897438</v>
      </c>
      <c r="AI89" s="19">
        <f>+AI91/AI87</f>
        <v>78.597687157638475</v>
      </c>
      <c r="AJ89" s="6"/>
    </row>
    <row r="90" spans="1:36" x14ac:dyDescent="0.3">
      <c r="A90" s="2"/>
      <c r="B90" s="14"/>
      <c r="C90" s="15" t="s">
        <v>18</v>
      </c>
      <c r="D90" s="18">
        <f t="shared" ref="D90:W90" si="101">+D88*D89</f>
        <v>19.17721739130435</v>
      </c>
      <c r="E90" s="18">
        <f t="shared" si="101"/>
        <v>13.598434782608695</v>
      </c>
      <c r="F90" s="18">
        <f t="shared" si="101"/>
        <v>19.418869565217392</v>
      </c>
      <c r="G90" s="18">
        <f t="shared" si="101"/>
        <v>24.270173913043479</v>
      </c>
      <c r="H90" s="18">
        <f t="shared" si="101"/>
        <v>46.151043478260867</v>
      </c>
      <c r="I90" s="18">
        <f t="shared" si="101"/>
        <v>62.263913043478269</v>
      </c>
      <c r="J90" s="18">
        <f t="shared" si="101"/>
        <v>23.51660869565217</v>
      </c>
      <c r="K90" s="18">
        <f t="shared" si="101"/>
        <v>17.256521739130434</v>
      </c>
      <c r="L90" s="18">
        <f t="shared" si="101"/>
        <v>26.56243478260869</v>
      </c>
      <c r="M90" s="18">
        <f t="shared" si="101"/>
        <v>25.219043478260868</v>
      </c>
      <c r="N90" s="18">
        <f t="shared" si="101"/>
        <v>32.426086956521743</v>
      </c>
      <c r="O90" s="18">
        <f t="shared" si="101"/>
        <v>45.365217391304348</v>
      </c>
      <c r="P90" s="18">
        <f t="shared" si="101"/>
        <v>64.678260869565221</v>
      </c>
      <c r="Q90" s="18">
        <f t="shared" si="101"/>
        <v>25.452173913043477</v>
      </c>
      <c r="R90" s="18">
        <f t="shared" si="101"/>
        <v>24.068521739130436</v>
      </c>
      <c r="S90" s="18">
        <f t="shared" si="101"/>
        <v>26.871565217391304</v>
      </c>
      <c r="T90" s="18">
        <f t="shared" si="101"/>
        <v>38.566608695652171</v>
      </c>
      <c r="U90" s="18">
        <f t="shared" si="101"/>
        <v>43.920434782608702</v>
      </c>
      <c r="V90" s="18">
        <f t="shared" si="101"/>
        <v>72.886956521739137</v>
      </c>
      <c r="W90" s="18">
        <f t="shared" si="101"/>
        <v>70.756521739130434</v>
      </c>
      <c r="X90" s="18">
        <f t="shared" ref="X90:AH90" si="102">+X88*X89</f>
        <v>22.191304347826087</v>
      </c>
      <c r="Y90" s="18">
        <f t="shared" si="102"/>
        <v>18.68695652173913</v>
      </c>
      <c r="Z90" s="18">
        <f t="shared" si="102"/>
        <v>20.100956521739132</v>
      </c>
      <c r="AA90" s="18">
        <f t="shared" si="102"/>
        <v>28.678260869565214</v>
      </c>
      <c r="AB90" s="18">
        <f t="shared" si="102"/>
        <v>28.2</v>
      </c>
      <c r="AC90" s="18">
        <f t="shared" si="102"/>
        <v>78.869565217391312</v>
      </c>
      <c r="AD90" s="18">
        <f t="shared" si="102"/>
        <v>92.139130434782601</v>
      </c>
      <c r="AE90" s="18">
        <f t="shared" si="102"/>
        <v>26.31304347826087</v>
      </c>
      <c r="AF90" s="18">
        <f t="shared" si="102"/>
        <v>28.315913043478258</v>
      </c>
      <c r="AG90" s="18">
        <f t="shared" si="102"/>
        <v>30.591304347826085</v>
      </c>
      <c r="AH90" s="18">
        <f t="shared" si="102"/>
        <v>26.408695652173915</v>
      </c>
      <c r="AI90" s="19">
        <f>+AI89*AI88</f>
        <v>36.223281907433382</v>
      </c>
      <c r="AJ90" s="6"/>
    </row>
    <row r="91" spans="1:36" x14ac:dyDescent="0.3">
      <c r="A91" s="2"/>
      <c r="B91" s="14"/>
      <c r="C91" s="15" t="s">
        <v>19</v>
      </c>
      <c r="D91" s="21">
        <v>2205.38</v>
      </c>
      <c r="E91" s="21">
        <v>1563.82</v>
      </c>
      <c r="F91" s="21">
        <v>2233.17</v>
      </c>
      <c r="G91" s="21">
        <v>2791.07</v>
      </c>
      <c r="H91" s="21">
        <v>5307.37</v>
      </c>
      <c r="I91" s="21">
        <v>7160.35</v>
      </c>
      <c r="J91" s="21">
        <v>2704.41</v>
      </c>
      <c r="K91" s="21">
        <v>1984.5</v>
      </c>
      <c r="L91" s="21">
        <v>3054.68</v>
      </c>
      <c r="M91" s="21">
        <v>2900.19</v>
      </c>
      <c r="N91" s="21">
        <v>3729</v>
      </c>
      <c r="O91" s="21">
        <v>5217</v>
      </c>
      <c r="P91" s="21">
        <v>7438</v>
      </c>
      <c r="Q91" s="21">
        <v>2927</v>
      </c>
      <c r="R91" s="21">
        <v>2767.88</v>
      </c>
      <c r="S91" s="21">
        <v>3090.23</v>
      </c>
      <c r="T91" s="21">
        <v>4435.16</v>
      </c>
      <c r="U91" s="21">
        <v>5050.8500000000004</v>
      </c>
      <c r="V91" s="21">
        <v>8382</v>
      </c>
      <c r="W91" s="21">
        <v>8137</v>
      </c>
      <c r="X91" s="21">
        <v>2552</v>
      </c>
      <c r="Y91" s="21">
        <v>2149</v>
      </c>
      <c r="Z91" s="21">
        <v>2311.61</v>
      </c>
      <c r="AA91" s="21">
        <v>3298</v>
      </c>
      <c r="AB91" s="21">
        <v>3243</v>
      </c>
      <c r="AC91" s="21">
        <v>9070</v>
      </c>
      <c r="AD91" s="20">
        <v>10596</v>
      </c>
      <c r="AE91" s="21">
        <v>3026</v>
      </c>
      <c r="AF91" s="132">
        <v>3256.33</v>
      </c>
      <c r="AG91" s="132">
        <v>3518</v>
      </c>
      <c r="AH91" s="21">
        <v>3037</v>
      </c>
      <c r="AI91" s="22">
        <f>SUM(D91:AH91)</f>
        <v>129136.00000000001</v>
      </c>
      <c r="AJ91" s="6"/>
    </row>
    <row r="92" spans="1:36" ht="15" thickBot="1" x14ac:dyDescent="0.35">
      <c r="A92" s="23"/>
      <c r="B92" s="24"/>
      <c r="C92" s="77" t="s">
        <v>79</v>
      </c>
      <c r="D92" s="25">
        <f>902.92/D91</f>
        <v>0.40941697122491361</v>
      </c>
      <c r="E92" s="26">
        <f>858.46/E91</f>
        <v>0.54895064649384206</v>
      </c>
      <c r="F92" s="72">
        <f>934/F91</f>
        <v>0.41823954289194282</v>
      </c>
      <c r="G92" s="26">
        <f>960.14/G91</f>
        <v>0.34400427076354229</v>
      </c>
      <c r="H92" s="26">
        <f>897.99/H91</f>
        <v>0.16919679615327365</v>
      </c>
      <c r="I92" s="26">
        <f>627.3/I91</f>
        <v>8.7607449356525854E-2</v>
      </c>
      <c r="J92" s="26">
        <f>525.17/J91</f>
        <v>0.19419023003168898</v>
      </c>
      <c r="K92" s="26">
        <f>1053.44/K91</f>
        <v>0.53083396321491561</v>
      </c>
      <c r="L92" s="26">
        <f>766.32/L91</f>
        <v>0.25086752131156131</v>
      </c>
      <c r="M92" s="26">
        <f>843.97/M91</f>
        <v>0.2910050720814843</v>
      </c>
      <c r="N92" s="78">
        <f>1103.95/N91</f>
        <v>0.29604451595602038</v>
      </c>
      <c r="O92" s="78">
        <f>883.75/O91</f>
        <v>0.1693981215257811</v>
      </c>
      <c r="P92" s="26">
        <f>388.63/P91</f>
        <v>5.2249260553912338E-2</v>
      </c>
      <c r="Q92" s="26">
        <f>633.69/Q91</f>
        <v>0.21649812094294502</v>
      </c>
      <c r="R92" s="26">
        <f>812.57/R91</f>
        <v>0.29357125308900678</v>
      </c>
      <c r="S92" s="26">
        <f>919.06/S91</f>
        <v>0.29740828352582166</v>
      </c>
      <c r="T92" s="26">
        <f>799.85/T91</f>
        <v>0.18034298649879599</v>
      </c>
      <c r="U92" s="26">
        <f>895.65/U91</f>
        <v>0.17732658859399902</v>
      </c>
      <c r="V92" s="26">
        <f>978.83/V91</f>
        <v>0.11677761870675257</v>
      </c>
      <c r="W92" s="26">
        <f>653.07/W91</f>
        <v>8.0259309327762082E-2</v>
      </c>
      <c r="X92" s="26">
        <f>751.6/X91</f>
        <v>0.29451410658307209</v>
      </c>
      <c r="Y92" s="26">
        <f>940.25/Y91</f>
        <v>0.43752908329455559</v>
      </c>
      <c r="Z92" s="26">
        <f>1108.09/Z91</f>
        <v>0.47935854231466374</v>
      </c>
      <c r="AA92" s="26">
        <f>1274.32/AA91</f>
        <v>0.38639175257731956</v>
      </c>
      <c r="AB92" s="26">
        <f>906.8/AB91</f>
        <v>0.27961763798951589</v>
      </c>
      <c r="AC92" s="26">
        <f>862.38/AC91</f>
        <v>9.5080485115766264E-2</v>
      </c>
      <c r="AD92" s="26">
        <f>685.82/AD91</f>
        <v>6.4724424311060777E-2</v>
      </c>
      <c r="AE92" s="26">
        <f>845.8/AE91</f>
        <v>0.27951090548578983</v>
      </c>
      <c r="AF92" s="26">
        <f>1274.32/AF91</f>
        <v>0.39133625891724733</v>
      </c>
      <c r="AG92" s="26">
        <f>799.6/AG91</f>
        <v>0.22728823194997158</v>
      </c>
      <c r="AH92" s="26"/>
      <c r="AI92" s="79">
        <f>AVERAGE(D92:AG92)</f>
        <v>0.26865133169278171</v>
      </c>
      <c r="AJ92" s="6"/>
    </row>
    <row r="93" spans="1:36" ht="15" thickTop="1" x14ac:dyDescent="0.3">
      <c r="A93" s="2">
        <v>100</v>
      </c>
      <c r="B93" s="28" t="s">
        <v>42</v>
      </c>
      <c r="C93" s="29" t="s">
        <v>15</v>
      </c>
      <c r="D93" s="30">
        <v>78</v>
      </c>
      <c r="E93" s="31">
        <v>79</v>
      </c>
      <c r="F93" s="31">
        <v>82</v>
      </c>
      <c r="G93" s="31">
        <v>76</v>
      </c>
      <c r="H93" s="31">
        <v>86</v>
      </c>
      <c r="I93" s="31">
        <v>85</v>
      </c>
      <c r="J93" s="31">
        <v>80</v>
      </c>
      <c r="K93" s="31">
        <v>86</v>
      </c>
      <c r="L93" s="31">
        <v>90</v>
      </c>
      <c r="M93" s="31">
        <v>81</v>
      </c>
      <c r="N93" s="31">
        <v>83</v>
      </c>
      <c r="O93" s="31">
        <v>90</v>
      </c>
      <c r="P93" s="31">
        <v>84</v>
      </c>
      <c r="Q93" s="31">
        <v>76</v>
      </c>
      <c r="R93" s="31">
        <v>81</v>
      </c>
      <c r="S93" s="31">
        <v>82</v>
      </c>
      <c r="T93" s="31">
        <v>86</v>
      </c>
      <c r="U93" s="31">
        <v>86</v>
      </c>
      <c r="V93" s="31">
        <v>90</v>
      </c>
      <c r="W93" s="31">
        <v>92</v>
      </c>
      <c r="X93" s="31">
        <v>79</v>
      </c>
      <c r="Y93" s="31">
        <v>92</v>
      </c>
      <c r="Z93" s="31">
        <v>88</v>
      </c>
      <c r="AA93" s="31">
        <v>84</v>
      </c>
      <c r="AB93" s="31">
        <v>90</v>
      </c>
      <c r="AC93" s="31">
        <v>82</v>
      </c>
      <c r="AD93" s="31">
        <v>86</v>
      </c>
      <c r="AE93" s="31">
        <v>71</v>
      </c>
      <c r="AF93" s="133">
        <v>79</v>
      </c>
      <c r="AG93" s="133">
        <v>81</v>
      </c>
      <c r="AH93" s="31">
        <v>82</v>
      </c>
      <c r="AI93" s="32">
        <f>SUM(D93:AH93)</f>
        <v>2587</v>
      </c>
      <c r="AJ93" s="6"/>
    </row>
    <row r="94" spans="1:36" x14ac:dyDescent="0.3">
      <c r="A94" s="2"/>
      <c r="B94" s="33"/>
      <c r="C94" s="34" t="s">
        <v>16</v>
      </c>
      <c r="D94" s="35">
        <f t="shared" ref="D94:AD94" si="103">+D93/$A93</f>
        <v>0.78</v>
      </c>
      <c r="E94" s="35">
        <f t="shared" si="103"/>
        <v>0.79</v>
      </c>
      <c r="F94" s="35">
        <f t="shared" si="103"/>
        <v>0.82</v>
      </c>
      <c r="G94" s="35">
        <f t="shared" si="103"/>
        <v>0.76</v>
      </c>
      <c r="H94" s="35">
        <f t="shared" si="103"/>
        <v>0.86</v>
      </c>
      <c r="I94" s="35">
        <f t="shared" si="103"/>
        <v>0.85</v>
      </c>
      <c r="J94" s="35">
        <f t="shared" si="103"/>
        <v>0.8</v>
      </c>
      <c r="K94" s="35">
        <f t="shared" si="103"/>
        <v>0.86</v>
      </c>
      <c r="L94" s="35">
        <f t="shared" si="103"/>
        <v>0.9</v>
      </c>
      <c r="M94" s="35">
        <f t="shared" si="103"/>
        <v>0.81</v>
      </c>
      <c r="N94" s="35">
        <f t="shared" si="103"/>
        <v>0.83</v>
      </c>
      <c r="O94" s="35">
        <f t="shared" si="103"/>
        <v>0.9</v>
      </c>
      <c r="P94" s="35">
        <f t="shared" si="103"/>
        <v>0.84</v>
      </c>
      <c r="Q94" s="35">
        <f t="shared" si="103"/>
        <v>0.76</v>
      </c>
      <c r="R94" s="35">
        <f t="shared" si="103"/>
        <v>0.81</v>
      </c>
      <c r="S94" s="35">
        <f t="shared" si="103"/>
        <v>0.82</v>
      </c>
      <c r="T94" s="35">
        <f t="shared" si="103"/>
        <v>0.86</v>
      </c>
      <c r="U94" s="35">
        <f t="shared" si="103"/>
        <v>0.86</v>
      </c>
      <c r="V94" s="35">
        <f t="shared" si="103"/>
        <v>0.9</v>
      </c>
      <c r="W94" s="35">
        <f t="shared" si="103"/>
        <v>0.92</v>
      </c>
      <c r="X94" s="35">
        <f t="shared" si="103"/>
        <v>0.79</v>
      </c>
      <c r="Y94" s="35">
        <f t="shared" si="103"/>
        <v>0.92</v>
      </c>
      <c r="Z94" s="35">
        <f t="shared" si="103"/>
        <v>0.88</v>
      </c>
      <c r="AA94" s="35">
        <f t="shared" si="103"/>
        <v>0.84</v>
      </c>
      <c r="AB94" s="35">
        <f t="shared" si="103"/>
        <v>0.9</v>
      </c>
      <c r="AC94" s="35">
        <f t="shared" si="103"/>
        <v>0.82</v>
      </c>
      <c r="AD94" s="35">
        <f t="shared" si="103"/>
        <v>0.86</v>
      </c>
      <c r="AE94" s="35">
        <f>+AE93/$A93</f>
        <v>0.71</v>
      </c>
      <c r="AF94" s="35">
        <f>+AF93/$A93</f>
        <v>0.79</v>
      </c>
      <c r="AG94" s="35">
        <f>+AG93/$A93</f>
        <v>0.81</v>
      </c>
      <c r="AH94" s="35">
        <f>+AH93/$A93</f>
        <v>0.82</v>
      </c>
      <c r="AI94" s="36">
        <f>+AI93/(A93*A$1)</f>
        <v>0.83451612903225802</v>
      </c>
      <c r="AJ94" s="6"/>
    </row>
    <row r="95" spans="1:36" x14ac:dyDescent="0.3">
      <c r="A95" s="2"/>
      <c r="B95" s="33"/>
      <c r="C95" s="34" t="s">
        <v>17</v>
      </c>
      <c r="D95" s="37">
        <f t="shared" ref="D95:AD95" si="104">+IFERROR(D97/D93,0)</f>
        <v>80.165641025641023</v>
      </c>
      <c r="E95" s="37">
        <f t="shared" si="104"/>
        <v>79.609746835443033</v>
      </c>
      <c r="F95" s="37">
        <f t="shared" si="104"/>
        <v>79.627560975609754</v>
      </c>
      <c r="G95" s="37">
        <f t="shared" si="104"/>
        <v>78.800394736842108</v>
      </c>
      <c r="H95" s="37">
        <f t="shared" si="104"/>
        <v>80.011860465116285</v>
      </c>
      <c r="I95" s="37">
        <f t="shared" si="104"/>
        <v>78.369411764705873</v>
      </c>
      <c r="J95" s="37">
        <f t="shared" si="104"/>
        <v>79.686250000000001</v>
      </c>
      <c r="K95" s="37">
        <f t="shared" si="104"/>
        <v>81.550930232558144</v>
      </c>
      <c r="L95" s="37">
        <f t="shared" si="104"/>
        <v>81.050777777777768</v>
      </c>
      <c r="M95" s="37">
        <f t="shared" si="104"/>
        <v>77.938271604938265</v>
      </c>
      <c r="N95" s="37">
        <f t="shared" si="104"/>
        <v>79.698795180722897</v>
      </c>
      <c r="O95" s="37">
        <f t="shared" si="104"/>
        <v>79.655555555555551</v>
      </c>
      <c r="P95" s="37">
        <f t="shared" si="104"/>
        <v>77.035714285714292</v>
      </c>
      <c r="Q95" s="37">
        <f t="shared" si="104"/>
        <v>80.85526315789474</v>
      </c>
      <c r="R95" s="37">
        <f t="shared" si="104"/>
        <v>79.217407407407407</v>
      </c>
      <c r="S95" s="37">
        <f t="shared" si="104"/>
        <v>76.868414634146347</v>
      </c>
      <c r="T95" s="37">
        <f t="shared" si="104"/>
        <v>81.422441860465113</v>
      </c>
      <c r="U95" s="37">
        <f t="shared" si="104"/>
        <v>81.262325581395359</v>
      </c>
      <c r="V95" s="37">
        <f t="shared" si="104"/>
        <v>78.233333333333334</v>
      </c>
      <c r="W95" s="37">
        <f t="shared" si="104"/>
        <v>77.489130434782609</v>
      </c>
      <c r="X95" s="37">
        <f t="shared" si="104"/>
        <v>100.41772151898734</v>
      </c>
      <c r="Y95" s="37">
        <f t="shared" si="104"/>
        <v>81.596086956521745</v>
      </c>
      <c r="Z95" s="37">
        <f t="shared" si="104"/>
        <v>81.031818181818181</v>
      </c>
      <c r="AA95" s="37">
        <f t="shared" si="104"/>
        <v>81.61904761904762</v>
      </c>
      <c r="AB95" s="37">
        <f t="shared" si="104"/>
        <v>81.599999999999994</v>
      </c>
      <c r="AC95" s="37">
        <f t="shared" si="104"/>
        <v>81.951219512195124</v>
      </c>
      <c r="AD95" s="37">
        <f t="shared" si="104"/>
        <v>81.348837209302332</v>
      </c>
      <c r="AE95" s="37">
        <f>+IFERROR(AE97/AE93,0)</f>
        <v>66.887323943661968</v>
      </c>
      <c r="AF95" s="37">
        <f>+IFERROR(AF97/AF93,0)</f>
        <v>81.732405063291139</v>
      </c>
      <c r="AG95" s="37">
        <f>+IFERROR(AG97/AG93,0)</f>
        <v>81.827160493827165</v>
      </c>
      <c r="AH95" s="37">
        <f>+IFERROR(AH97/AH93,0)</f>
        <v>82.329268292682926</v>
      </c>
      <c r="AI95" s="38">
        <f>+AI97/AI93</f>
        <v>80.383015075376875</v>
      </c>
      <c r="AJ95" s="6"/>
    </row>
    <row r="96" spans="1:36" x14ac:dyDescent="0.3">
      <c r="A96" s="2"/>
      <c r="B96" s="33"/>
      <c r="C96" s="34" t="s">
        <v>18</v>
      </c>
      <c r="D96" s="37">
        <f t="shared" ref="D96:AD96" si="105">+D94*D95</f>
        <v>62.529200000000003</v>
      </c>
      <c r="E96" s="37">
        <f t="shared" si="105"/>
        <v>62.8917</v>
      </c>
      <c r="F96" s="37">
        <f t="shared" si="105"/>
        <v>65.294599999999988</v>
      </c>
      <c r="G96" s="37">
        <f t="shared" si="105"/>
        <v>59.888300000000001</v>
      </c>
      <c r="H96" s="37">
        <f t="shared" si="105"/>
        <v>68.810200000000009</v>
      </c>
      <c r="I96" s="37">
        <f t="shared" si="105"/>
        <v>66.61399999999999</v>
      </c>
      <c r="J96" s="37">
        <f t="shared" si="105"/>
        <v>63.749000000000002</v>
      </c>
      <c r="K96" s="37">
        <f t="shared" si="105"/>
        <v>70.133800000000008</v>
      </c>
      <c r="L96" s="37">
        <f t="shared" si="105"/>
        <v>72.945699999999988</v>
      </c>
      <c r="M96" s="37">
        <f t="shared" si="105"/>
        <v>63.129999999999995</v>
      </c>
      <c r="N96" s="37">
        <f t="shared" si="105"/>
        <v>66.150000000000006</v>
      </c>
      <c r="O96" s="37">
        <f t="shared" si="105"/>
        <v>71.69</v>
      </c>
      <c r="P96" s="37">
        <f t="shared" si="105"/>
        <v>64.710000000000008</v>
      </c>
      <c r="Q96" s="37">
        <f t="shared" si="105"/>
        <v>61.45</v>
      </c>
      <c r="R96" s="37">
        <f t="shared" si="105"/>
        <v>64.1661</v>
      </c>
      <c r="S96" s="37">
        <f t="shared" si="105"/>
        <v>63.0321</v>
      </c>
      <c r="T96" s="37">
        <f t="shared" si="105"/>
        <v>70.023299999999992</v>
      </c>
      <c r="U96" s="37">
        <f t="shared" si="105"/>
        <v>69.885600000000011</v>
      </c>
      <c r="V96" s="37">
        <f t="shared" si="105"/>
        <v>70.41</v>
      </c>
      <c r="W96" s="37">
        <f t="shared" si="105"/>
        <v>71.290000000000006</v>
      </c>
      <c r="X96" s="37">
        <f t="shared" si="105"/>
        <v>79.33</v>
      </c>
      <c r="Y96" s="37">
        <f t="shared" si="105"/>
        <v>75.068400000000011</v>
      </c>
      <c r="Z96" s="37">
        <f t="shared" si="105"/>
        <v>71.308000000000007</v>
      </c>
      <c r="AA96" s="37">
        <f t="shared" si="105"/>
        <v>68.56</v>
      </c>
      <c r="AB96" s="37">
        <f t="shared" si="105"/>
        <v>73.44</v>
      </c>
      <c r="AC96" s="37">
        <f t="shared" si="105"/>
        <v>67.2</v>
      </c>
      <c r="AD96" s="37">
        <f t="shared" si="105"/>
        <v>69.960000000000008</v>
      </c>
      <c r="AE96" s="37">
        <f>+AE94*AE95</f>
        <v>47.489999999999995</v>
      </c>
      <c r="AF96" s="37">
        <f>+AF94*AF95</f>
        <v>64.568600000000004</v>
      </c>
      <c r="AG96" s="37">
        <f>+AG94*AG95</f>
        <v>66.28</v>
      </c>
      <c r="AH96" s="37">
        <f>+AH94*AH95</f>
        <v>67.509999999999991</v>
      </c>
      <c r="AI96" s="38">
        <f>+AI95*AI94</f>
        <v>67.080922580645151</v>
      </c>
      <c r="AJ96" s="6"/>
    </row>
    <row r="97" spans="1:36" x14ac:dyDescent="0.3">
      <c r="A97" s="2"/>
      <c r="B97" s="14"/>
      <c r="C97" s="15" t="s">
        <v>19</v>
      </c>
      <c r="D97" s="21">
        <v>6252.92</v>
      </c>
      <c r="E97" s="21">
        <v>6289.17</v>
      </c>
      <c r="F97" s="21">
        <v>6529.46</v>
      </c>
      <c r="G97" s="21">
        <v>5988.83</v>
      </c>
      <c r="H97" s="21">
        <v>6881.02</v>
      </c>
      <c r="I97" s="21">
        <v>6661.4</v>
      </c>
      <c r="J97" s="21">
        <v>6374.9</v>
      </c>
      <c r="K97" s="21">
        <v>7013.38</v>
      </c>
      <c r="L97" s="21">
        <v>7294.57</v>
      </c>
      <c r="M97" s="21">
        <v>6313</v>
      </c>
      <c r="N97" s="21">
        <v>6615</v>
      </c>
      <c r="O97" s="21">
        <v>7169</v>
      </c>
      <c r="P97" s="21">
        <v>6471</v>
      </c>
      <c r="Q97" s="21">
        <v>6145</v>
      </c>
      <c r="R97" s="21">
        <v>6416.61</v>
      </c>
      <c r="S97" s="21">
        <v>6303.21</v>
      </c>
      <c r="T97" s="21">
        <v>7002.33</v>
      </c>
      <c r="U97" s="21">
        <v>6988.56</v>
      </c>
      <c r="V97" s="21">
        <v>7041</v>
      </c>
      <c r="W97" s="21">
        <v>7129</v>
      </c>
      <c r="X97" s="21">
        <v>7933</v>
      </c>
      <c r="Y97" s="21">
        <v>7506.84</v>
      </c>
      <c r="Z97" s="21">
        <v>7130.8</v>
      </c>
      <c r="AA97" s="21">
        <v>6856</v>
      </c>
      <c r="AB97" s="21">
        <v>7344</v>
      </c>
      <c r="AC97" s="21">
        <v>6720</v>
      </c>
      <c r="AD97" s="21">
        <v>6996</v>
      </c>
      <c r="AE97" s="21">
        <v>4749</v>
      </c>
      <c r="AF97" s="132">
        <v>6456.86</v>
      </c>
      <c r="AG97" s="132">
        <v>6628</v>
      </c>
      <c r="AH97" s="21">
        <v>6751</v>
      </c>
      <c r="AI97" s="22">
        <f>SUM(D97:AH97)</f>
        <v>207950.85999999996</v>
      </c>
      <c r="AJ97" s="6"/>
    </row>
    <row r="98" spans="1:36" ht="15" thickBot="1" x14ac:dyDescent="0.35">
      <c r="A98" s="23"/>
      <c r="B98" s="48"/>
      <c r="C98" s="41" t="s">
        <v>20</v>
      </c>
      <c r="D98" s="49">
        <f>326.29/D97</f>
        <v>5.2182020559994373E-2</v>
      </c>
      <c r="E98" s="50">
        <f>356.14/E97</f>
        <v>5.6627504106265214E-2</v>
      </c>
      <c r="F98" s="73">
        <f>917.47/F97</f>
        <v>0.14051238540399971</v>
      </c>
      <c r="G98" s="50">
        <f>703.44/G97</f>
        <v>0.11745866888858092</v>
      </c>
      <c r="H98" s="50">
        <f>572.19/H97</f>
        <v>8.3154822976826109E-2</v>
      </c>
      <c r="I98" s="50">
        <f>395.67/I97</f>
        <v>5.9397423964932305E-2</v>
      </c>
      <c r="J98" s="50">
        <f>496.48/J97</f>
        <v>7.7880437340193578E-2</v>
      </c>
      <c r="K98" s="50">
        <f>536.33/K97</f>
        <v>7.6472399898479773E-2</v>
      </c>
      <c r="L98" s="50">
        <f>452.24/L97</f>
        <v>6.1996800359719634E-2</v>
      </c>
      <c r="M98" s="50">
        <f>777.72/M97</f>
        <v>0.1231934104229368</v>
      </c>
      <c r="N98" s="50">
        <f>940.96/N97</f>
        <v>0.14224640967498112</v>
      </c>
      <c r="O98" s="50">
        <f>551.44/O97</f>
        <v>7.6920072534523654E-2</v>
      </c>
      <c r="P98" s="50">
        <f>395.17/P97</f>
        <v>6.1067841137382166E-2</v>
      </c>
      <c r="Q98" s="50">
        <f>551.44/Q97</f>
        <v>8.9737998372660707E-2</v>
      </c>
      <c r="R98" s="50">
        <f>546.82/R97</f>
        <v>8.5219453886086274E-2</v>
      </c>
      <c r="S98" s="50">
        <f>442.91/S97</f>
        <v>7.0267371704258633E-2</v>
      </c>
      <c r="T98" s="50">
        <f>1091.15/T97</f>
        <v>0.15582670339729776</v>
      </c>
      <c r="U98" s="50">
        <f>1091.15/U97</f>
        <v>0.15613373856702956</v>
      </c>
      <c r="V98" s="50">
        <f>702.35/V97</f>
        <v>9.9751455759125127E-2</v>
      </c>
      <c r="W98" s="50">
        <f>511.17/W97</f>
        <v>7.1702903633048112E-2</v>
      </c>
      <c r="X98" s="50">
        <f>217.76/X97</f>
        <v>2.7449892852640868E-2</v>
      </c>
      <c r="Y98" s="50">
        <f>623.21/Y97</f>
        <v>8.3018953381183036E-2</v>
      </c>
      <c r="Z98" s="50">
        <f>712.37/Z97</f>
        <v>9.9900431929096312E-2</v>
      </c>
      <c r="AA98" s="50">
        <f>1144.44/AA97</f>
        <v>0.16692532088681447</v>
      </c>
      <c r="AB98" s="50">
        <f>679.99/AB97</f>
        <v>9.2591230936819174E-2</v>
      </c>
      <c r="AC98" s="50">
        <f>1067.64/AC97</f>
        <v>0.15887500000000002</v>
      </c>
      <c r="AD98" s="50">
        <f>495.13/AD97</f>
        <v>7.0773299028016004E-2</v>
      </c>
      <c r="AE98" s="50">
        <f>820.14/AE97</f>
        <v>0.17269740998104863</v>
      </c>
      <c r="AF98" s="50">
        <f>1144.44/AF97</f>
        <v>0.17724404741623639</v>
      </c>
      <c r="AG98" s="50">
        <f>1146.23/AG97</f>
        <v>0.17293753771876885</v>
      </c>
      <c r="AH98" s="50"/>
      <c r="AI98" s="51">
        <f>AVERAGE(D98:AG98)</f>
        <v>0.10267209822396482</v>
      </c>
      <c r="AJ98" s="6"/>
    </row>
    <row r="99" spans="1:36" ht="15" thickTop="1" x14ac:dyDescent="0.3">
      <c r="A99" s="2">
        <v>107</v>
      </c>
      <c r="B99" s="45" t="s">
        <v>43</v>
      </c>
      <c r="C99" s="46" t="s">
        <v>15</v>
      </c>
      <c r="D99" s="11">
        <v>91</v>
      </c>
      <c r="E99" s="12">
        <v>96</v>
      </c>
      <c r="F99" s="12">
        <v>99</v>
      </c>
      <c r="G99" s="12">
        <v>105</v>
      </c>
      <c r="H99" s="12">
        <v>104</v>
      </c>
      <c r="I99" s="12">
        <v>105</v>
      </c>
      <c r="J99" s="12">
        <v>77</v>
      </c>
      <c r="K99" s="12">
        <v>90</v>
      </c>
      <c r="L99" s="12">
        <v>93</v>
      </c>
      <c r="M99" s="12">
        <v>92</v>
      </c>
      <c r="N99" s="12">
        <v>101</v>
      </c>
      <c r="O99" s="12">
        <v>104</v>
      </c>
      <c r="P99" s="12">
        <v>104</v>
      </c>
      <c r="Q99" s="12">
        <v>83</v>
      </c>
      <c r="R99" s="12">
        <v>89</v>
      </c>
      <c r="S99" s="12">
        <v>98</v>
      </c>
      <c r="T99" s="12">
        <v>101</v>
      </c>
      <c r="U99" s="12">
        <v>94</v>
      </c>
      <c r="V99" s="12">
        <v>104</v>
      </c>
      <c r="W99" s="12">
        <v>106</v>
      </c>
      <c r="X99" s="12">
        <v>84</v>
      </c>
      <c r="Y99" s="12">
        <v>81</v>
      </c>
      <c r="Z99" s="12">
        <v>94</v>
      </c>
      <c r="AA99" s="12">
        <v>99</v>
      </c>
      <c r="AB99" s="12">
        <v>93</v>
      </c>
      <c r="AC99" s="12">
        <v>101</v>
      </c>
      <c r="AD99" s="12">
        <v>103</v>
      </c>
      <c r="AE99" s="12">
        <v>83</v>
      </c>
      <c r="AF99" s="131">
        <v>83</v>
      </c>
      <c r="AG99" s="131">
        <v>89</v>
      </c>
      <c r="AH99" s="12">
        <v>82</v>
      </c>
      <c r="AI99" s="13">
        <f>SUM(D99:AH99)</f>
        <v>2928</v>
      </c>
      <c r="AJ99" s="6"/>
    </row>
    <row r="100" spans="1:36" x14ac:dyDescent="0.3">
      <c r="A100" s="2"/>
      <c r="B100" s="14"/>
      <c r="C100" s="15" t="s">
        <v>16</v>
      </c>
      <c r="D100" s="16">
        <f>+D99/$A99</f>
        <v>0.85046728971962615</v>
      </c>
      <c r="E100" s="16">
        <f t="shared" ref="E100:N100" si="106">+E99/$A99</f>
        <v>0.89719626168224298</v>
      </c>
      <c r="F100" s="16">
        <f t="shared" si="106"/>
        <v>0.92523364485981308</v>
      </c>
      <c r="G100" s="16">
        <f t="shared" si="106"/>
        <v>0.98130841121495327</v>
      </c>
      <c r="H100" s="16">
        <f t="shared" si="106"/>
        <v>0.9719626168224299</v>
      </c>
      <c r="I100" s="16">
        <f t="shared" si="106"/>
        <v>0.98130841121495327</v>
      </c>
      <c r="J100" s="16">
        <f t="shared" si="106"/>
        <v>0.71962616822429903</v>
      </c>
      <c r="K100" s="16">
        <f t="shared" si="106"/>
        <v>0.84112149532710279</v>
      </c>
      <c r="L100" s="16">
        <f t="shared" si="106"/>
        <v>0.86915887850467288</v>
      </c>
      <c r="M100" s="16">
        <f t="shared" si="106"/>
        <v>0.85981308411214952</v>
      </c>
      <c r="N100" s="16">
        <f t="shared" si="106"/>
        <v>0.94392523364485981</v>
      </c>
      <c r="O100" s="16">
        <f t="shared" ref="O100:AD100" si="107">+O99/$A99</f>
        <v>0.9719626168224299</v>
      </c>
      <c r="P100" s="16">
        <f t="shared" si="107"/>
        <v>0.9719626168224299</v>
      </c>
      <c r="Q100" s="16">
        <f t="shared" si="107"/>
        <v>0.77570093457943923</v>
      </c>
      <c r="R100" s="16">
        <f t="shared" si="107"/>
        <v>0.83177570093457942</v>
      </c>
      <c r="S100" s="16">
        <f t="shared" si="107"/>
        <v>0.91588785046728971</v>
      </c>
      <c r="T100" s="16">
        <f t="shared" si="107"/>
        <v>0.94392523364485981</v>
      </c>
      <c r="U100" s="16">
        <f t="shared" si="107"/>
        <v>0.87850467289719625</v>
      </c>
      <c r="V100" s="16">
        <f t="shared" si="107"/>
        <v>0.9719626168224299</v>
      </c>
      <c r="W100" s="16">
        <f t="shared" si="107"/>
        <v>0.99065420560747663</v>
      </c>
      <c r="X100" s="16">
        <f t="shared" si="107"/>
        <v>0.78504672897196259</v>
      </c>
      <c r="Y100" s="16">
        <f t="shared" si="107"/>
        <v>0.7570093457943925</v>
      </c>
      <c r="Z100" s="16">
        <f t="shared" si="107"/>
        <v>0.87850467289719625</v>
      </c>
      <c r="AA100" s="16">
        <f t="shared" si="107"/>
        <v>0.92523364485981308</v>
      </c>
      <c r="AB100" s="16">
        <f t="shared" si="107"/>
        <v>0.86915887850467288</v>
      </c>
      <c r="AC100" s="16">
        <f t="shared" si="107"/>
        <v>0.94392523364485981</v>
      </c>
      <c r="AD100" s="16">
        <f t="shared" si="107"/>
        <v>0.96261682242990654</v>
      </c>
      <c r="AE100" s="16">
        <f>+AE99/$A99</f>
        <v>0.77570093457943923</v>
      </c>
      <c r="AF100" s="16">
        <f>+AF99/$A99</f>
        <v>0.77570093457943923</v>
      </c>
      <c r="AG100" s="16">
        <f>+AG99/$A99</f>
        <v>0.83177570093457942</v>
      </c>
      <c r="AH100" s="16">
        <f>+AH99/$A99</f>
        <v>0.76635514018691586</v>
      </c>
      <c r="AI100" s="17">
        <f>+AI99/(A99*A$1)</f>
        <v>0.88272535423575516</v>
      </c>
      <c r="AJ100" s="6"/>
    </row>
    <row r="101" spans="1:36" x14ac:dyDescent="0.3">
      <c r="A101" s="2"/>
      <c r="B101" s="14"/>
      <c r="C101" s="15" t="s">
        <v>17</v>
      </c>
      <c r="D101" s="18">
        <f>+IFERROR(D103/D99,0)</f>
        <v>89.942637362637356</v>
      </c>
      <c r="E101" s="18">
        <f t="shared" ref="E101:N101" si="108">+IFERROR(E103/E99,0)</f>
        <v>91.285833333333343</v>
      </c>
      <c r="F101" s="18">
        <f t="shared" si="108"/>
        <v>89.017777777777781</v>
      </c>
      <c r="G101" s="18">
        <f t="shared" si="108"/>
        <v>89.880571428571415</v>
      </c>
      <c r="H101" s="18">
        <f t="shared" si="108"/>
        <v>90.134423076923071</v>
      </c>
      <c r="I101" s="18">
        <f t="shared" si="108"/>
        <v>100.83647619047619</v>
      </c>
      <c r="J101" s="18">
        <f t="shared" si="108"/>
        <v>97.223896103896095</v>
      </c>
      <c r="K101" s="18">
        <f t="shared" si="108"/>
        <v>96.342888888888893</v>
      </c>
      <c r="L101" s="18">
        <f t="shared" si="108"/>
        <v>94.562903225806451</v>
      </c>
      <c r="M101" s="18">
        <f t="shared" si="108"/>
        <v>94.867499999999993</v>
      </c>
      <c r="N101" s="18">
        <f t="shared" si="108"/>
        <v>97.029702970297024</v>
      </c>
      <c r="O101" s="18">
        <f t="shared" ref="O101:AD101" si="109">+IFERROR(O103/O99,0)</f>
        <v>103.95192307692308</v>
      </c>
      <c r="P101" s="18">
        <f t="shared" si="109"/>
        <v>109.29807692307692</v>
      </c>
      <c r="Q101" s="18">
        <f t="shared" si="109"/>
        <v>96.228915662650607</v>
      </c>
      <c r="R101" s="18">
        <f t="shared" si="109"/>
        <v>91.74426966292134</v>
      </c>
      <c r="S101" s="18">
        <f t="shared" si="109"/>
        <v>92.488979591836738</v>
      </c>
      <c r="T101" s="18">
        <f t="shared" si="109"/>
        <v>92.544554455445549</v>
      </c>
      <c r="U101" s="18">
        <f t="shared" si="109"/>
        <v>95.001914893617027</v>
      </c>
      <c r="V101" s="18">
        <f t="shared" si="109"/>
        <v>102.09615384615384</v>
      </c>
      <c r="W101" s="18">
        <f t="shared" si="109"/>
        <v>95.518867924528308</v>
      </c>
      <c r="X101" s="18">
        <f t="shared" si="109"/>
        <v>90.571428571428569</v>
      </c>
      <c r="Y101" s="18">
        <f t="shared" si="109"/>
        <v>105.69135802469135</v>
      </c>
      <c r="Z101" s="18">
        <f t="shared" si="109"/>
        <v>93.876063829787242</v>
      </c>
      <c r="AA101" s="18">
        <f t="shared" si="109"/>
        <v>95.585858585858588</v>
      </c>
      <c r="AB101" s="18">
        <f t="shared" si="109"/>
        <v>93.150537634408607</v>
      </c>
      <c r="AC101" s="18">
        <f t="shared" si="109"/>
        <v>103.15841584158416</v>
      </c>
      <c r="AD101" s="18">
        <f t="shared" si="109"/>
        <v>107.10679611650485</v>
      </c>
      <c r="AE101" s="18">
        <f>+IFERROR(AE103/AE99,0)</f>
        <v>91.036144578313255</v>
      </c>
      <c r="AF101" s="18">
        <f>+IFERROR(AF103/AF99,0)</f>
        <v>91.536626506024092</v>
      </c>
      <c r="AG101" s="18">
        <f>+IFERROR(AG103/AG99,0)</f>
        <v>93.483146067415731</v>
      </c>
      <c r="AH101" s="18">
        <f>+IFERROR(AH103/AH99,0)</f>
        <v>88.426829268292678</v>
      </c>
      <c r="AI101" s="19">
        <f>+AI103/AI99</f>
        <v>95.747520491803272</v>
      </c>
      <c r="AJ101" s="6"/>
    </row>
    <row r="102" spans="1:36" x14ac:dyDescent="0.3">
      <c r="A102" s="2"/>
      <c r="B102" s="14"/>
      <c r="C102" s="15" t="s">
        <v>18</v>
      </c>
      <c r="D102" s="18">
        <f>+D100*D101</f>
        <v>76.49327102803737</v>
      </c>
      <c r="E102" s="18">
        <f t="shared" ref="E102:N102" si="110">+E100*E101</f>
        <v>81.901308411214956</v>
      </c>
      <c r="F102" s="18">
        <f t="shared" si="110"/>
        <v>82.36224299065421</v>
      </c>
      <c r="G102" s="18">
        <f t="shared" si="110"/>
        <v>88.20056074766353</v>
      </c>
      <c r="H102" s="18">
        <f t="shared" si="110"/>
        <v>87.607289719626166</v>
      </c>
      <c r="I102" s="18">
        <f t="shared" si="110"/>
        <v>98.951682242990657</v>
      </c>
      <c r="J102" s="18">
        <f t="shared" si="110"/>
        <v>69.964859813084104</v>
      </c>
      <c r="K102" s="18">
        <f t="shared" si="110"/>
        <v>81.036074766355142</v>
      </c>
      <c r="L102" s="18">
        <f t="shared" si="110"/>
        <v>82.19018691588785</v>
      </c>
      <c r="M102" s="18">
        <f t="shared" si="110"/>
        <v>81.568317757009339</v>
      </c>
      <c r="N102" s="18">
        <f t="shared" si="110"/>
        <v>91.588785046728972</v>
      </c>
      <c r="O102" s="18">
        <f t="shared" ref="O102:AD102" si="111">+O100*O101</f>
        <v>101.03738317757009</v>
      </c>
      <c r="P102" s="18">
        <f t="shared" si="111"/>
        <v>106.23364485981308</v>
      </c>
      <c r="Q102" s="18">
        <f t="shared" si="111"/>
        <v>74.644859813084111</v>
      </c>
      <c r="R102" s="18">
        <f t="shared" si="111"/>
        <v>76.310654205607463</v>
      </c>
      <c r="S102" s="18">
        <f t="shared" si="111"/>
        <v>84.709532710280371</v>
      </c>
      <c r="T102" s="18">
        <f t="shared" si="111"/>
        <v>87.355140186915889</v>
      </c>
      <c r="U102" s="18">
        <f t="shared" si="111"/>
        <v>83.459626168224304</v>
      </c>
      <c r="V102" s="18">
        <f t="shared" si="111"/>
        <v>99.233644859813083</v>
      </c>
      <c r="W102" s="18">
        <f t="shared" si="111"/>
        <v>94.626168224299079</v>
      </c>
      <c r="X102" s="18">
        <f t="shared" si="111"/>
        <v>71.102803738317746</v>
      </c>
      <c r="Y102" s="18">
        <f t="shared" si="111"/>
        <v>80.009345794392516</v>
      </c>
      <c r="Z102" s="18">
        <f t="shared" si="111"/>
        <v>82.470560747663555</v>
      </c>
      <c r="AA102" s="18">
        <f t="shared" si="111"/>
        <v>88.439252336448604</v>
      </c>
      <c r="AB102" s="18">
        <f t="shared" si="111"/>
        <v>80.962616822429908</v>
      </c>
      <c r="AC102" s="18">
        <f t="shared" si="111"/>
        <v>97.373831775700936</v>
      </c>
      <c r="AD102" s="18">
        <f t="shared" si="111"/>
        <v>103.10280373831776</v>
      </c>
      <c r="AE102" s="18">
        <f>+AE100*AE101</f>
        <v>70.616822429906549</v>
      </c>
      <c r="AF102" s="18">
        <f>+AF100*AF101</f>
        <v>71.005046728971962</v>
      </c>
      <c r="AG102" s="18">
        <f>+AG100*AG101</f>
        <v>77.757009345794387</v>
      </c>
      <c r="AH102" s="18">
        <f>+AH100*AH101</f>
        <v>67.766355140186917</v>
      </c>
      <c r="AI102" s="19">
        <f>+AI101*AI100</f>
        <v>84.51876394332227</v>
      </c>
      <c r="AJ102" s="6"/>
    </row>
    <row r="103" spans="1:36" x14ac:dyDescent="0.3">
      <c r="A103" s="2"/>
      <c r="B103" s="14"/>
      <c r="C103" s="15" t="s">
        <v>19</v>
      </c>
      <c r="D103" s="21">
        <v>8184.78</v>
      </c>
      <c r="E103" s="21">
        <v>8763.44</v>
      </c>
      <c r="F103" s="21">
        <v>8812.76</v>
      </c>
      <c r="G103" s="21">
        <v>9437.4599999999991</v>
      </c>
      <c r="H103" s="21">
        <v>9373.98</v>
      </c>
      <c r="I103" s="21">
        <v>10587.83</v>
      </c>
      <c r="J103" s="21">
        <v>7486.24</v>
      </c>
      <c r="K103" s="21">
        <v>8670.86</v>
      </c>
      <c r="L103" s="21">
        <v>8794.35</v>
      </c>
      <c r="M103" s="21">
        <v>8727.81</v>
      </c>
      <c r="N103" s="21">
        <v>9800</v>
      </c>
      <c r="O103" s="21">
        <v>10811</v>
      </c>
      <c r="P103" s="21">
        <v>11367</v>
      </c>
      <c r="Q103" s="21">
        <v>7987</v>
      </c>
      <c r="R103" s="21">
        <v>8165.24</v>
      </c>
      <c r="S103" s="21">
        <v>9063.92</v>
      </c>
      <c r="T103" s="21">
        <v>9347</v>
      </c>
      <c r="U103" s="21">
        <v>8930.18</v>
      </c>
      <c r="V103" s="21">
        <v>10618</v>
      </c>
      <c r="W103" s="21">
        <v>10125</v>
      </c>
      <c r="X103" s="21">
        <v>7608</v>
      </c>
      <c r="Y103" s="21">
        <v>8561</v>
      </c>
      <c r="Z103" s="21">
        <v>8824.35</v>
      </c>
      <c r="AA103" s="21">
        <v>9463</v>
      </c>
      <c r="AB103" s="21">
        <v>8663</v>
      </c>
      <c r="AC103" s="21">
        <v>10419</v>
      </c>
      <c r="AD103" s="21">
        <v>11032</v>
      </c>
      <c r="AE103" s="21">
        <v>7556</v>
      </c>
      <c r="AF103" s="132">
        <v>7597.54</v>
      </c>
      <c r="AG103" s="132">
        <v>8320</v>
      </c>
      <c r="AH103" s="21">
        <v>7251</v>
      </c>
      <c r="AI103" s="22">
        <f>SUM(D103:AH103)</f>
        <v>280348.74</v>
      </c>
      <c r="AJ103" s="6"/>
    </row>
    <row r="104" spans="1:36" ht="15" thickBot="1" x14ac:dyDescent="0.35">
      <c r="A104" s="23"/>
      <c r="B104" s="24"/>
      <c r="C104" s="15" t="s">
        <v>20</v>
      </c>
      <c r="D104" s="25">
        <f>1140.16/D103</f>
        <v>0.13930246139786287</v>
      </c>
      <c r="E104" s="26">
        <f>1071.54/E103</f>
        <v>0.1222739015728983</v>
      </c>
      <c r="F104" s="72">
        <f>1042.43/F103</f>
        <v>0.11828643920860207</v>
      </c>
      <c r="G104" s="26">
        <f>104.4/G103</f>
        <v>1.1062298542192499E-2</v>
      </c>
      <c r="H104" s="26">
        <f>1032.39/H103</f>
        <v>0.11013358253377969</v>
      </c>
      <c r="I104" s="26">
        <f>1039.2/I103</f>
        <v>9.8150423646771817E-2</v>
      </c>
      <c r="J104" s="26">
        <f>731.01/J103</f>
        <v>9.7647149971147068E-2</v>
      </c>
      <c r="K104" s="26">
        <f>983.32/K103</f>
        <v>0.11340512936433064</v>
      </c>
      <c r="L104" s="26">
        <f>1245.34/L103</f>
        <v>0.14160682711058803</v>
      </c>
      <c r="M104" s="26">
        <f>1170.31/M103</f>
        <v>0.13408976593211813</v>
      </c>
      <c r="N104" s="26">
        <f>1201.43/N103</f>
        <v>0.12259489795918369</v>
      </c>
      <c r="O104" s="26">
        <f>1143.49/O103</f>
        <v>0.10577097400795486</v>
      </c>
      <c r="P104" s="26">
        <f>638.48/P103</f>
        <v>5.6169613794316883E-2</v>
      </c>
      <c r="Q104" s="26">
        <f>453.92/Q103</f>
        <v>5.6832352572931018E-2</v>
      </c>
      <c r="R104" s="26">
        <f>793.6/R103</f>
        <v>9.7192489136877794E-2</v>
      </c>
      <c r="S104" s="26">
        <f>1260.31/S103</f>
        <v>0.13904690244397566</v>
      </c>
      <c r="T104" s="26">
        <f>1189.68/T103</f>
        <v>0.12727934096501553</v>
      </c>
      <c r="U104" s="26">
        <f>1189.68/U103</f>
        <v>0.13322015905614445</v>
      </c>
      <c r="V104" s="26">
        <f>858.54/V103</f>
        <v>8.0857035223205878E-2</v>
      </c>
      <c r="W104" s="26">
        <f>385.6/W103</f>
        <v>3.8083950617283951E-2</v>
      </c>
      <c r="X104" s="26">
        <f>1017.29/X103</f>
        <v>0.13371319663512091</v>
      </c>
      <c r="Y104" s="26">
        <f>764.81/Y103</f>
        <v>8.9336526106763223E-2</v>
      </c>
      <c r="Z104" s="26">
        <f>1046.25/Z103</f>
        <v>0.11856397355045981</v>
      </c>
      <c r="AA104" s="26">
        <f>868.6/AA103</f>
        <v>9.1789073232590085E-2</v>
      </c>
      <c r="AB104" s="26">
        <f>889.37/AB103</f>
        <v>0.10266304975181807</v>
      </c>
      <c r="AC104" s="26">
        <f>1066.77/AC103</f>
        <v>0.10238698531528938</v>
      </c>
      <c r="AD104" s="26">
        <f>566.77/AD103</f>
        <v>5.1375090645395215E-2</v>
      </c>
      <c r="AE104" s="26">
        <f>1082.05/AE103</f>
        <v>0.14320407623080994</v>
      </c>
      <c r="AF104" s="26">
        <f>868.6/AF103</f>
        <v>0.11432647936042456</v>
      </c>
      <c r="AG104" s="26">
        <f>1057.73/AG103</f>
        <v>0.12713100961538462</v>
      </c>
      <c r="AH104" s="26"/>
      <c r="AI104" s="27">
        <f>AVERAGE(D104:AG104)</f>
        <v>0.10391650518337457</v>
      </c>
      <c r="AJ104" s="6"/>
    </row>
    <row r="105" spans="1:36" ht="15" thickTop="1" x14ac:dyDescent="0.3">
      <c r="A105" s="2">
        <v>125</v>
      </c>
      <c r="B105" s="28" t="s">
        <v>44</v>
      </c>
      <c r="C105" s="29" t="s">
        <v>15</v>
      </c>
      <c r="D105" s="30">
        <v>82</v>
      </c>
      <c r="E105" s="31">
        <v>90</v>
      </c>
      <c r="F105" s="125">
        <v>85</v>
      </c>
      <c r="G105" s="31">
        <v>91</v>
      </c>
      <c r="H105" s="31">
        <v>91</v>
      </c>
      <c r="I105" s="31">
        <v>118</v>
      </c>
      <c r="J105" s="31">
        <v>124</v>
      </c>
      <c r="K105" s="31">
        <v>75</v>
      </c>
      <c r="L105" s="31">
        <v>72</v>
      </c>
      <c r="M105" s="31">
        <v>80</v>
      </c>
      <c r="N105" s="31">
        <v>103</v>
      </c>
      <c r="O105" s="31">
        <v>123</v>
      </c>
      <c r="P105" s="31">
        <v>122</v>
      </c>
      <c r="Q105" s="31">
        <v>71</v>
      </c>
      <c r="R105" s="31">
        <v>78</v>
      </c>
      <c r="S105" s="31">
        <v>85</v>
      </c>
      <c r="T105" s="31">
        <v>79</v>
      </c>
      <c r="U105" s="31">
        <v>98</v>
      </c>
      <c r="V105" s="31">
        <v>121</v>
      </c>
      <c r="W105" s="31">
        <v>123</v>
      </c>
      <c r="X105" s="31">
        <v>60</v>
      </c>
      <c r="Y105" s="31">
        <v>62</v>
      </c>
      <c r="Z105" s="31">
        <v>112</v>
      </c>
      <c r="AA105" s="31">
        <v>117</v>
      </c>
      <c r="AB105" s="31">
        <v>98</v>
      </c>
      <c r="AC105" s="31">
        <v>122</v>
      </c>
      <c r="AD105" s="31">
        <v>124</v>
      </c>
      <c r="AE105" s="31">
        <v>77</v>
      </c>
      <c r="AF105" s="133">
        <v>55</v>
      </c>
      <c r="AG105" s="133">
        <v>57</v>
      </c>
      <c r="AH105" s="31">
        <v>71</v>
      </c>
      <c r="AI105" s="32">
        <f>SUM(D105:AH105)</f>
        <v>2866</v>
      </c>
      <c r="AJ105" s="6"/>
    </row>
    <row r="106" spans="1:36" x14ac:dyDescent="0.3">
      <c r="A106" s="2"/>
      <c r="B106" s="33"/>
      <c r="C106" s="34" t="s">
        <v>16</v>
      </c>
      <c r="D106" s="35">
        <f t="shared" ref="D106:AD106" si="112">+D105/$A105</f>
        <v>0.65600000000000003</v>
      </c>
      <c r="E106" s="35">
        <f t="shared" si="112"/>
        <v>0.72</v>
      </c>
      <c r="F106" s="35">
        <f t="shared" si="112"/>
        <v>0.68</v>
      </c>
      <c r="G106" s="35">
        <f t="shared" si="112"/>
        <v>0.72799999999999998</v>
      </c>
      <c r="H106" s="35">
        <f t="shared" si="112"/>
        <v>0.72799999999999998</v>
      </c>
      <c r="I106" s="35">
        <f t="shared" si="112"/>
        <v>0.94399999999999995</v>
      </c>
      <c r="J106" s="35">
        <f t="shared" si="112"/>
        <v>0.99199999999999999</v>
      </c>
      <c r="K106" s="35">
        <f t="shared" si="112"/>
        <v>0.6</v>
      </c>
      <c r="L106" s="35">
        <f t="shared" si="112"/>
        <v>0.57599999999999996</v>
      </c>
      <c r="M106" s="35">
        <f t="shared" si="112"/>
        <v>0.64</v>
      </c>
      <c r="N106" s="35">
        <f t="shared" si="112"/>
        <v>0.82399999999999995</v>
      </c>
      <c r="O106" s="35">
        <f t="shared" si="112"/>
        <v>0.98399999999999999</v>
      </c>
      <c r="P106" s="35">
        <f t="shared" si="112"/>
        <v>0.97599999999999998</v>
      </c>
      <c r="Q106" s="35">
        <f t="shared" si="112"/>
        <v>0.56799999999999995</v>
      </c>
      <c r="R106" s="35">
        <f t="shared" si="112"/>
        <v>0.624</v>
      </c>
      <c r="S106" s="35">
        <f t="shared" si="112"/>
        <v>0.68</v>
      </c>
      <c r="T106" s="35">
        <f t="shared" si="112"/>
        <v>0.63200000000000001</v>
      </c>
      <c r="U106" s="35">
        <f t="shared" si="112"/>
        <v>0.78400000000000003</v>
      </c>
      <c r="V106" s="35">
        <f t="shared" si="112"/>
        <v>0.96799999999999997</v>
      </c>
      <c r="W106" s="35">
        <f t="shared" si="112"/>
        <v>0.98399999999999999</v>
      </c>
      <c r="X106" s="35">
        <f t="shared" si="112"/>
        <v>0.48</v>
      </c>
      <c r="Y106" s="35">
        <f t="shared" si="112"/>
        <v>0.496</v>
      </c>
      <c r="Z106" s="35">
        <f t="shared" si="112"/>
        <v>0.89600000000000002</v>
      </c>
      <c r="AA106" s="35">
        <f t="shared" si="112"/>
        <v>0.93600000000000005</v>
      </c>
      <c r="AB106" s="35">
        <f t="shared" si="112"/>
        <v>0.78400000000000003</v>
      </c>
      <c r="AC106" s="35">
        <f t="shared" si="112"/>
        <v>0.97599999999999998</v>
      </c>
      <c r="AD106" s="35">
        <f t="shared" si="112"/>
        <v>0.99199999999999999</v>
      </c>
      <c r="AE106" s="35">
        <f>+AE105/$A105</f>
        <v>0.61599999999999999</v>
      </c>
      <c r="AF106" s="35">
        <f>+AF105/$A105</f>
        <v>0.44</v>
      </c>
      <c r="AG106" s="35">
        <f>+AG105/$A105</f>
        <v>0.45600000000000002</v>
      </c>
      <c r="AH106" s="35">
        <f>+AH105/$A105</f>
        <v>0.56799999999999995</v>
      </c>
      <c r="AI106" s="36">
        <f>+AI105/(A105*A$1)</f>
        <v>0.73961290322580642</v>
      </c>
      <c r="AJ106" s="6"/>
    </row>
    <row r="107" spans="1:36" x14ac:dyDescent="0.3">
      <c r="A107" s="2"/>
      <c r="B107" s="33"/>
      <c r="C107" s="34" t="s">
        <v>17</v>
      </c>
      <c r="D107" s="37">
        <f>+IFERROR(D109/D105,0)</f>
        <v>84.403658536585368</v>
      </c>
      <c r="E107" s="37">
        <f t="shared" ref="E107:AD107" si="113">+IFERROR(E109/E105,0)</f>
        <v>85.950222222222223</v>
      </c>
      <c r="F107" s="37">
        <f t="shared" si="113"/>
        <v>85.542352941176475</v>
      </c>
      <c r="G107" s="37">
        <f t="shared" si="113"/>
        <v>85.707692307692298</v>
      </c>
      <c r="H107" s="37">
        <f t="shared" si="113"/>
        <v>86.685714285714283</v>
      </c>
      <c r="I107" s="37">
        <f t="shared" si="113"/>
        <v>93.963813559322034</v>
      </c>
      <c r="J107" s="37">
        <f t="shared" si="113"/>
        <v>85.60040322580646</v>
      </c>
      <c r="K107" s="37">
        <f t="shared" si="113"/>
        <v>83.79946666666666</v>
      </c>
      <c r="L107" s="37">
        <f t="shared" si="113"/>
        <v>84.769722222222228</v>
      </c>
      <c r="M107" s="37">
        <f t="shared" si="113"/>
        <v>85.794624999999996</v>
      </c>
      <c r="N107" s="37">
        <f t="shared" si="113"/>
        <v>86.05825242718447</v>
      </c>
      <c r="O107" s="37">
        <f t="shared" si="113"/>
        <v>98.967479674796749</v>
      </c>
      <c r="P107" s="37">
        <f t="shared" si="113"/>
        <v>97.073770491803273</v>
      </c>
      <c r="Q107" s="37">
        <f t="shared" si="113"/>
        <v>86.929577464788736</v>
      </c>
      <c r="R107" s="37">
        <f t="shared" si="113"/>
        <v>84.85448717948718</v>
      </c>
      <c r="S107" s="37">
        <f t="shared" si="113"/>
        <v>84.465411764705891</v>
      </c>
      <c r="T107" s="37">
        <f t="shared" si="113"/>
        <v>83.392405063291136</v>
      </c>
      <c r="U107" s="37">
        <f t="shared" si="113"/>
        <v>87.817040816326525</v>
      </c>
      <c r="V107" s="37">
        <f t="shared" si="113"/>
        <v>95.148760330578511</v>
      </c>
      <c r="W107" s="37">
        <f t="shared" si="113"/>
        <v>97.170731707317074</v>
      </c>
      <c r="X107" s="37">
        <f t="shared" si="113"/>
        <v>76.016666666666666</v>
      </c>
      <c r="Y107" s="37">
        <f t="shared" si="113"/>
        <v>87.934516129032247</v>
      </c>
      <c r="Z107" s="37">
        <f t="shared" si="113"/>
        <v>87.345624999999998</v>
      </c>
      <c r="AA107" s="37">
        <f t="shared" si="113"/>
        <v>89.085470085470092</v>
      </c>
      <c r="AB107" s="37">
        <f t="shared" si="113"/>
        <v>84.734693877551024</v>
      </c>
      <c r="AC107" s="37">
        <f t="shared" si="113"/>
        <v>99.221311475409834</v>
      </c>
      <c r="AD107" s="37">
        <f t="shared" si="113"/>
        <v>102.62903225806451</v>
      </c>
      <c r="AE107" s="37">
        <f>+IFERROR(AE109/AE105,0)</f>
        <v>90.350649350649348</v>
      </c>
      <c r="AF107" s="37">
        <f>+IFERROR(AF109/AF105,0)</f>
        <v>84.290909090909096</v>
      </c>
      <c r="AG107" s="37">
        <f>+IFERROR(AG109/AG105,0)</f>
        <v>86.05263157894737</v>
      </c>
      <c r="AH107" s="37">
        <f>+IFERROR(AH109/AH105,0)</f>
        <v>91.788732394366193</v>
      </c>
      <c r="AI107" s="38">
        <f>+AI109/AI105</f>
        <v>89.479267271458468</v>
      </c>
      <c r="AJ107" s="6"/>
    </row>
    <row r="108" spans="1:36" x14ac:dyDescent="0.3">
      <c r="A108" s="2"/>
      <c r="B108" s="33"/>
      <c r="C108" s="34" t="s">
        <v>18</v>
      </c>
      <c r="D108" s="37">
        <f t="shared" ref="D108:AD108" si="114">+D106*D107</f>
        <v>55.368800000000007</v>
      </c>
      <c r="E108" s="37">
        <f t="shared" si="114"/>
        <v>61.884160000000001</v>
      </c>
      <c r="F108" s="37">
        <f t="shared" si="114"/>
        <v>58.168800000000005</v>
      </c>
      <c r="G108" s="37">
        <f t="shared" si="114"/>
        <v>62.395199999999988</v>
      </c>
      <c r="H108" s="37">
        <f t="shared" si="114"/>
        <v>63.107199999999999</v>
      </c>
      <c r="I108" s="37">
        <f t="shared" si="114"/>
        <v>88.70183999999999</v>
      </c>
      <c r="J108" s="37">
        <f t="shared" si="114"/>
        <v>84.915600000000012</v>
      </c>
      <c r="K108" s="37">
        <f t="shared" si="114"/>
        <v>50.279679999999992</v>
      </c>
      <c r="L108" s="37">
        <f t="shared" si="114"/>
        <v>48.827359999999999</v>
      </c>
      <c r="M108" s="37">
        <f t="shared" si="114"/>
        <v>54.908560000000001</v>
      </c>
      <c r="N108" s="37">
        <f t="shared" si="114"/>
        <v>70.912000000000006</v>
      </c>
      <c r="O108" s="37">
        <f t="shared" si="114"/>
        <v>97.384</v>
      </c>
      <c r="P108" s="37">
        <f t="shared" si="114"/>
        <v>94.744</v>
      </c>
      <c r="Q108" s="37">
        <f t="shared" si="114"/>
        <v>49.375999999999998</v>
      </c>
      <c r="R108" s="37">
        <f t="shared" si="114"/>
        <v>52.949199999999998</v>
      </c>
      <c r="S108" s="37">
        <f t="shared" si="114"/>
        <v>57.43648000000001</v>
      </c>
      <c r="T108" s="37">
        <f t="shared" si="114"/>
        <v>52.704000000000001</v>
      </c>
      <c r="U108" s="37">
        <f t="shared" si="114"/>
        <v>68.848559999999992</v>
      </c>
      <c r="V108" s="37">
        <f t="shared" si="114"/>
        <v>92.103999999999999</v>
      </c>
      <c r="W108" s="37">
        <f t="shared" si="114"/>
        <v>95.616</v>
      </c>
      <c r="X108" s="37">
        <f t="shared" si="114"/>
        <v>36.488</v>
      </c>
      <c r="Y108" s="37">
        <f t="shared" si="114"/>
        <v>43.615519999999997</v>
      </c>
      <c r="Z108" s="37">
        <f t="shared" si="114"/>
        <v>78.261679999999998</v>
      </c>
      <c r="AA108" s="37">
        <f t="shared" si="114"/>
        <v>83.384000000000015</v>
      </c>
      <c r="AB108" s="37">
        <f t="shared" si="114"/>
        <v>66.432000000000002</v>
      </c>
      <c r="AC108" s="37">
        <f t="shared" si="114"/>
        <v>96.839999999999989</v>
      </c>
      <c r="AD108" s="37">
        <f t="shared" si="114"/>
        <v>101.80799999999999</v>
      </c>
      <c r="AE108" s="37">
        <f>+AE106*AE107</f>
        <v>55.655999999999999</v>
      </c>
      <c r="AF108" s="37">
        <f>+AF106*AF107</f>
        <v>37.088000000000001</v>
      </c>
      <c r="AG108" s="37">
        <f>+AG106*AG107</f>
        <v>39.24</v>
      </c>
      <c r="AH108" s="37">
        <f>+AH106*AH107</f>
        <v>52.135999999999996</v>
      </c>
      <c r="AI108" s="38">
        <f>+AI107*AI106</f>
        <v>66.180020645161278</v>
      </c>
      <c r="AJ108" s="6"/>
    </row>
    <row r="109" spans="1:36" x14ac:dyDescent="0.3">
      <c r="A109" s="2"/>
      <c r="B109" s="14"/>
      <c r="C109" s="15" t="s">
        <v>19</v>
      </c>
      <c r="D109" s="21">
        <v>6921.1</v>
      </c>
      <c r="E109" s="21">
        <v>7735.52</v>
      </c>
      <c r="F109" s="21">
        <v>7271.1</v>
      </c>
      <c r="G109" s="21">
        <v>7799.4</v>
      </c>
      <c r="H109" s="21">
        <v>7888.4</v>
      </c>
      <c r="I109" s="21">
        <v>11087.73</v>
      </c>
      <c r="J109" s="21">
        <v>10614.45</v>
      </c>
      <c r="K109" s="21">
        <v>6284.96</v>
      </c>
      <c r="L109" s="21">
        <v>6103.42</v>
      </c>
      <c r="M109" s="21">
        <v>6863.57</v>
      </c>
      <c r="N109" s="21">
        <v>8864</v>
      </c>
      <c r="O109" s="21">
        <v>12173</v>
      </c>
      <c r="P109" s="21">
        <v>11843</v>
      </c>
      <c r="Q109" s="21">
        <v>6172</v>
      </c>
      <c r="R109" s="21">
        <v>6618.65</v>
      </c>
      <c r="S109" s="21">
        <v>7179.56</v>
      </c>
      <c r="T109" s="21">
        <v>6588</v>
      </c>
      <c r="U109" s="21">
        <v>8606.07</v>
      </c>
      <c r="V109" s="21">
        <v>11513</v>
      </c>
      <c r="W109" s="21">
        <v>11952</v>
      </c>
      <c r="X109" s="21">
        <v>4561</v>
      </c>
      <c r="Y109" s="21">
        <v>5451.94</v>
      </c>
      <c r="Z109" s="21">
        <v>9782.7099999999991</v>
      </c>
      <c r="AA109" s="21">
        <v>10423</v>
      </c>
      <c r="AB109" s="21">
        <v>8304</v>
      </c>
      <c r="AC109" s="21">
        <v>12105</v>
      </c>
      <c r="AD109" s="21">
        <v>12726</v>
      </c>
      <c r="AE109" s="21">
        <v>6957</v>
      </c>
      <c r="AF109" s="132">
        <v>4636</v>
      </c>
      <c r="AG109" s="132">
        <v>4905</v>
      </c>
      <c r="AH109" s="21">
        <v>6517</v>
      </c>
      <c r="AI109" s="22">
        <f>SUM(D109:AH109)</f>
        <v>256447.58</v>
      </c>
      <c r="AJ109" s="6"/>
    </row>
    <row r="110" spans="1:36" ht="15" thickBot="1" x14ac:dyDescent="0.35">
      <c r="A110" s="23"/>
      <c r="B110" s="40"/>
      <c r="C110" s="41" t="s">
        <v>20</v>
      </c>
      <c r="D110" s="49">
        <f>1008.82/D109</f>
        <v>0.14576006704136626</v>
      </c>
      <c r="E110" s="50">
        <f>699.63/E109</f>
        <v>9.0443822781144642E-2</v>
      </c>
      <c r="F110" s="101">
        <f>697.99/F109</f>
        <v>9.5995103904498627E-2</v>
      </c>
      <c r="G110" s="50">
        <f>1221.32/G109</f>
        <v>0.15659153268200118</v>
      </c>
      <c r="H110" s="50">
        <f>765.63/H109</f>
        <v>9.7057704984534254E-2</v>
      </c>
      <c r="I110" s="50">
        <f>395.95/I109</f>
        <v>3.5710645912193029E-2</v>
      </c>
      <c r="J110" s="50">
        <f>1211.21/J109</f>
        <v>0.11410953935437068</v>
      </c>
      <c r="K110" s="50">
        <f>841.95/K109</f>
        <v>0.1339626664290624</v>
      </c>
      <c r="L110" s="50">
        <f>1007.33/L109</f>
        <v>0.16504353297003976</v>
      </c>
      <c r="M110" s="50">
        <f>1222.07/M109</f>
        <v>0.17805165533388601</v>
      </c>
      <c r="N110" s="50">
        <f>1154.1/N109</f>
        <v>0.13020081227436822</v>
      </c>
      <c r="O110" s="50">
        <f>857.01/O109</f>
        <v>7.0402530189764237E-2</v>
      </c>
      <c r="P110" s="50">
        <f>399.02/P109</f>
        <v>3.3692476568437053E-2</v>
      </c>
      <c r="Q110" s="50">
        <f>782.9/Q109</f>
        <v>0.12684705119896306</v>
      </c>
      <c r="R110" s="50">
        <f>1483.45/R109</f>
        <v>0.22413180935689303</v>
      </c>
      <c r="S110" s="50">
        <f>1170.42/S109</f>
        <v>0.1630211322142304</v>
      </c>
      <c r="T110" s="50">
        <f>922.23/T109</f>
        <v>0.13998633879781422</v>
      </c>
      <c r="U110" s="50">
        <f>922.23/U109</f>
        <v>0.10716041119814271</v>
      </c>
      <c r="V110" s="50">
        <f>834.51/V109</f>
        <v>7.2484148354034564E-2</v>
      </c>
      <c r="W110" s="50">
        <f>267.43/W109</f>
        <v>2.2375334672021418E-2</v>
      </c>
      <c r="X110" s="50">
        <f>638.98/X109</f>
        <v>0.14009647007235257</v>
      </c>
      <c r="Y110" s="50">
        <f>981.4/Y109</f>
        <v>0.18000931778412824</v>
      </c>
      <c r="Z110" s="50">
        <f>1296.09/Z109</f>
        <v>0.13248782801493655</v>
      </c>
      <c r="AA110" s="50">
        <f>1154.92/AA109</f>
        <v>0.11080495059004127</v>
      </c>
      <c r="AB110" s="50">
        <f>1412.22/AB109</f>
        <v>0.17006502890173411</v>
      </c>
      <c r="AC110" s="50">
        <f>946.73/AC109</f>
        <v>7.8209830648492365E-2</v>
      </c>
      <c r="AD110" s="50">
        <f>450.13/AD109</f>
        <v>3.5370894232280368E-2</v>
      </c>
      <c r="AE110" s="50">
        <f>1611.91/AE109</f>
        <v>0.2316961333908294</v>
      </c>
      <c r="AF110" s="50">
        <f>1154.92/AF109</f>
        <v>0.24911993097497845</v>
      </c>
      <c r="AG110" s="50">
        <f>726.3/AG109</f>
        <v>0.14807339449541285</v>
      </c>
      <c r="AH110" s="50"/>
      <c r="AI110" s="51">
        <f>AVERAGE(D110:AG110)</f>
        <v>0.12596540317743171</v>
      </c>
      <c r="AJ110" s="6"/>
    </row>
    <row r="111" spans="1:36" ht="15" thickTop="1" x14ac:dyDescent="0.3">
      <c r="A111" s="2">
        <v>141</v>
      </c>
      <c r="B111" s="103" t="s">
        <v>45</v>
      </c>
      <c r="C111" s="104" t="s">
        <v>15</v>
      </c>
      <c r="D111" s="126">
        <v>36</v>
      </c>
      <c r="E111" s="118">
        <v>38</v>
      </c>
      <c r="F111" s="118">
        <v>44</v>
      </c>
      <c r="G111" s="118">
        <v>44</v>
      </c>
      <c r="H111" s="118">
        <v>64</v>
      </c>
      <c r="I111" s="118">
        <v>69</v>
      </c>
      <c r="J111" s="118">
        <v>43</v>
      </c>
      <c r="K111" s="118">
        <v>45</v>
      </c>
      <c r="L111" s="118">
        <v>54</v>
      </c>
      <c r="M111" s="118">
        <v>59</v>
      </c>
      <c r="N111" s="118">
        <v>61</v>
      </c>
      <c r="O111" s="118">
        <v>64</v>
      </c>
      <c r="P111" s="118">
        <v>70</v>
      </c>
      <c r="Q111" s="118">
        <v>69</v>
      </c>
      <c r="R111" s="118">
        <v>73</v>
      </c>
      <c r="S111" s="118">
        <v>75</v>
      </c>
      <c r="T111" s="118">
        <v>69</v>
      </c>
      <c r="U111" s="118">
        <v>67</v>
      </c>
      <c r="V111" s="118">
        <v>75</v>
      </c>
      <c r="W111" s="118">
        <v>77</v>
      </c>
      <c r="X111" s="118">
        <v>65</v>
      </c>
      <c r="Y111" s="118">
        <v>60</v>
      </c>
      <c r="Z111" s="123">
        <v>74</v>
      </c>
      <c r="AA111" s="118">
        <v>68</v>
      </c>
      <c r="AB111" s="118">
        <v>72</v>
      </c>
      <c r="AC111" s="118">
        <v>75</v>
      </c>
      <c r="AD111" s="118">
        <v>77</v>
      </c>
      <c r="AE111" s="118">
        <v>67</v>
      </c>
      <c r="AF111" s="134">
        <v>66</v>
      </c>
      <c r="AG111" s="134">
        <v>72</v>
      </c>
      <c r="AH111" s="134">
        <v>73</v>
      </c>
      <c r="AI111" s="111">
        <f>SUM(D111:AH111)</f>
        <v>1965</v>
      </c>
      <c r="AJ111" s="6"/>
    </row>
    <row r="112" spans="1:36" x14ac:dyDescent="0.3">
      <c r="A112" s="23"/>
      <c r="B112" s="40"/>
      <c r="C112" s="34" t="s">
        <v>16</v>
      </c>
      <c r="D112" s="42">
        <f>D111/$A$111</f>
        <v>0.25531914893617019</v>
      </c>
      <c r="E112" s="42">
        <f t="shared" ref="E112:J112" si="115">E111/$A$111</f>
        <v>0.26950354609929078</v>
      </c>
      <c r="F112" s="42">
        <f t="shared" si="115"/>
        <v>0.31205673758865249</v>
      </c>
      <c r="G112" s="42">
        <f t="shared" si="115"/>
        <v>0.31205673758865249</v>
      </c>
      <c r="H112" s="42">
        <f t="shared" si="115"/>
        <v>0.45390070921985815</v>
      </c>
      <c r="I112" s="42">
        <f t="shared" si="115"/>
        <v>0.48936170212765956</v>
      </c>
      <c r="J112" s="42">
        <f t="shared" si="115"/>
        <v>0.30496453900709219</v>
      </c>
      <c r="K112" s="42">
        <f t="shared" ref="K112:AH112" si="116">K111/$A$111</f>
        <v>0.31914893617021278</v>
      </c>
      <c r="L112" s="42">
        <f t="shared" si="116"/>
        <v>0.38297872340425532</v>
      </c>
      <c r="M112" s="42">
        <f t="shared" si="116"/>
        <v>0.41843971631205673</v>
      </c>
      <c r="N112" s="42">
        <f t="shared" si="116"/>
        <v>0.43262411347517732</v>
      </c>
      <c r="O112" s="42">
        <f t="shared" si="116"/>
        <v>0.45390070921985815</v>
      </c>
      <c r="P112" s="42">
        <f t="shared" si="116"/>
        <v>0.49645390070921985</v>
      </c>
      <c r="Q112" s="42">
        <f t="shared" si="116"/>
        <v>0.48936170212765956</v>
      </c>
      <c r="R112" s="42">
        <f t="shared" si="116"/>
        <v>0.51773049645390068</v>
      </c>
      <c r="S112" s="42">
        <f t="shared" si="116"/>
        <v>0.53191489361702127</v>
      </c>
      <c r="T112" s="42">
        <f t="shared" si="116"/>
        <v>0.48936170212765956</v>
      </c>
      <c r="U112" s="42">
        <f t="shared" si="116"/>
        <v>0.47517730496453903</v>
      </c>
      <c r="V112" s="42">
        <f t="shared" si="116"/>
        <v>0.53191489361702127</v>
      </c>
      <c r="W112" s="42">
        <f t="shared" si="116"/>
        <v>0.54609929078014185</v>
      </c>
      <c r="X112" s="42">
        <f t="shared" si="116"/>
        <v>0.46099290780141844</v>
      </c>
      <c r="Y112" s="42">
        <f t="shared" si="116"/>
        <v>0.42553191489361702</v>
      </c>
      <c r="Z112" s="42">
        <f t="shared" si="116"/>
        <v>0.52482269503546097</v>
      </c>
      <c r="AA112" s="42">
        <f t="shared" si="116"/>
        <v>0.48226950354609927</v>
      </c>
      <c r="AB112" s="42">
        <f t="shared" si="116"/>
        <v>0.51063829787234039</v>
      </c>
      <c r="AC112" s="42">
        <f t="shared" si="116"/>
        <v>0.53191489361702127</v>
      </c>
      <c r="AD112" s="42">
        <f t="shared" si="116"/>
        <v>0.54609929078014185</v>
      </c>
      <c r="AE112" s="42">
        <f t="shared" si="116"/>
        <v>0.47517730496453903</v>
      </c>
      <c r="AF112" s="42">
        <f t="shared" si="116"/>
        <v>0.46808510638297873</v>
      </c>
      <c r="AG112" s="42">
        <f t="shared" si="116"/>
        <v>0.51063829787234039</v>
      </c>
      <c r="AH112" s="42">
        <f t="shared" si="116"/>
        <v>0.51773049645390068</v>
      </c>
      <c r="AI112" s="113">
        <f>+AI111/(A111*A$1)</f>
        <v>0.44955387783115991</v>
      </c>
      <c r="AJ112" s="6"/>
    </row>
    <row r="113" spans="1:36" x14ac:dyDescent="0.3">
      <c r="A113" s="23"/>
      <c r="B113" s="40"/>
      <c r="C113" s="34" t="s">
        <v>17</v>
      </c>
      <c r="D113" s="127">
        <f>+IFERROR(D115/D111,0)</f>
        <v>65.283055555555563</v>
      </c>
      <c r="E113" s="127">
        <f t="shared" ref="E113:J113" si="117">+IFERROR(E115/E111,0)</f>
        <v>74.316842105263163</v>
      </c>
      <c r="F113" s="127">
        <f t="shared" si="117"/>
        <v>77.95159090909091</v>
      </c>
      <c r="G113" s="127">
        <f t="shared" si="117"/>
        <v>71.493409090909097</v>
      </c>
      <c r="H113" s="127">
        <f t="shared" si="117"/>
        <v>79.573906249999993</v>
      </c>
      <c r="I113" s="127">
        <f t="shared" si="117"/>
        <v>83.118550724637686</v>
      </c>
      <c r="J113" s="127">
        <f t="shared" si="117"/>
        <v>75.184651162790701</v>
      </c>
      <c r="K113" s="127">
        <f t="shared" ref="K113:AH113" si="118">+IFERROR(K115/K111,0)</f>
        <v>75.438888888888883</v>
      </c>
      <c r="L113" s="127">
        <f t="shared" si="118"/>
        <v>76.765370370370363</v>
      </c>
      <c r="M113" s="127">
        <f t="shared" si="118"/>
        <v>75.130169491525422</v>
      </c>
      <c r="N113" s="127">
        <f t="shared" si="118"/>
        <v>78.360655737704917</v>
      </c>
      <c r="O113" s="127">
        <f t="shared" si="118"/>
        <v>82.5625</v>
      </c>
      <c r="P113" s="127">
        <f t="shared" si="118"/>
        <v>78.442857142857136</v>
      </c>
      <c r="Q113" s="127">
        <f t="shared" si="118"/>
        <v>80.79710144927536</v>
      </c>
      <c r="R113" s="127">
        <f t="shared" si="118"/>
        <v>82.708630136986301</v>
      </c>
      <c r="S113" s="127">
        <f t="shared" si="118"/>
        <v>84.864266666666666</v>
      </c>
      <c r="T113" s="127">
        <f t="shared" si="118"/>
        <v>77.472463768115944</v>
      </c>
      <c r="U113" s="127">
        <f t="shared" si="118"/>
        <v>85.944179104477612</v>
      </c>
      <c r="V113" s="127">
        <f t="shared" si="118"/>
        <v>88.066666666666663</v>
      </c>
      <c r="W113" s="127">
        <f t="shared" si="118"/>
        <v>91.896103896103895</v>
      </c>
      <c r="X113" s="127">
        <f t="shared" si="118"/>
        <v>83.015384615384619</v>
      </c>
      <c r="Y113" s="127">
        <f t="shared" si="118"/>
        <v>89.210166666666666</v>
      </c>
      <c r="Z113" s="127">
        <f t="shared" si="118"/>
        <v>86.560945945945946</v>
      </c>
      <c r="AA113" s="127">
        <f t="shared" si="118"/>
        <v>85.941176470588232</v>
      </c>
      <c r="AB113" s="127">
        <f t="shared" si="118"/>
        <v>88.291666666666671</v>
      </c>
      <c r="AC113" s="127">
        <f t="shared" si="118"/>
        <v>89.32</v>
      </c>
      <c r="AD113" s="127">
        <f t="shared" si="118"/>
        <v>90.376623376623371</v>
      </c>
      <c r="AE113" s="127">
        <f t="shared" si="118"/>
        <v>85.671641791044777</v>
      </c>
      <c r="AF113" s="127">
        <f t="shared" si="118"/>
        <v>89.49969696969697</v>
      </c>
      <c r="AG113" s="127">
        <f t="shared" si="118"/>
        <v>89.777777777777771</v>
      </c>
      <c r="AH113" s="127">
        <f t="shared" si="118"/>
        <v>90.726027397260268</v>
      </c>
      <c r="AI113" s="112">
        <f>+AI115/AI111</f>
        <v>83.383170483460574</v>
      </c>
      <c r="AJ113" s="6"/>
    </row>
    <row r="114" spans="1:36" x14ac:dyDescent="0.3">
      <c r="A114" s="23"/>
      <c r="B114" s="40"/>
      <c r="C114" s="34" t="s">
        <v>18</v>
      </c>
      <c r="D114" s="127">
        <f>+D112*D113</f>
        <v>16.668014184397165</v>
      </c>
      <c r="E114" s="127">
        <f t="shared" ref="E114:J114" si="119">+E112*E113</f>
        <v>20.028652482269504</v>
      </c>
      <c r="F114" s="127">
        <f t="shared" si="119"/>
        <v>24.32531914893617</v>
      </c>
      <c r="G114" s="127">
        <f t="shared" si="119"/>
        <v>22.310000000000002</v>
      </c>
      <c r="H114" s="127">
        <f t="shared" si="119"/>
        <v>36.118652482269496</v>
      </c>
      <c r="I114" s="127">
        <f t="shared" si="119"/>
        <v>40.675035460992909</v>
      </c>
      <c r="J114" s="127">
        <f t="shared" si="119"/>
        <v>22.928652482269506</v>
      </c>
      <c r="K114" s="127">
        <f t="shared" ref="K114:AH114" si="120">+K112*K113</f>
        <v>24.076241134751772</v>
      </c>
      <c r="L114" s="127">
        <f t="shared" si="120"/>
        <v>29.399503546099286</v>
      </c>
      <c r="M114" s="127">
        <f t="shared" si="120"/>
        <v>31.437446808510636</v>
      </c>
      <c r="N114" s="127">
        <f t="shared" si="120"/>
        <v>33.900709219858157</v>
      </c>
      <c r="O114" s="127">
        <f t="shared" si="120"/>
        <v>37.475177304964539</v>
      </c>
      <c r="P114" s="127">
        <f t="shared" si="120"/>
        <v>38.943262411347511</v>
      </c>
      <c r="Q114" s="127">
        <f t="shared" si="120"/>
        <v>39.539007092198581</v>
      </c>
      <c r="R114" s="127">
        <f t="shared" si="120"/>
        <v>42.820780141843969</v>
      </c>
      <c r="S114" s="127">
        <f t="shared" si="120"/>
        <v>45.140567375886526</v>
      </c>
      <c r="T114" s="127">
        <f t="shared" si="120"/>
        <v>37.912056737588649</v>
      </c>
      <c r="U114" s="127">
        <f t="shared" si="120"/>
        <v>40.838723404255319</v>
      </c>
      <c r="V114" s="127">
        <f t="shared" si="120"/>
        <v>46.843971631205669</v>
      </c>
      <c r="W114" s="127">
        <f t="shared" si="120"/>
        <v>50.184397163120565</v>
      </c>
      <c r="X114" s="127">
        <f t="shared" si="120"/>
        <v>38.269503546099294</v>
      </c>
      <c r="Y114" s="127">
        <f t="shared" si="120"/>
        <v>37.961773049645387</v>
      </c>
      <c r="Z114" s="127">
        <f t="shared" si="120"/>
        <v>45.429148936170208</v>
      </c>
      <c r="AA114" s="127">
        <f t="shared" si="120"/>
        <v>41.446808510638292</v>
      </c>
      <c r="AB114" s="127">
        <f t="shared" si="120"/>
        <v>45.085106382978722</v>
      </c>
      <c r="AC114" s="127">
        <f t="shared" si="120"/>
        <v>47.510638297872333</v>
      </c>
      <c r="AD114" s="127">
        <f t="shared" si="120"/>
        <v>49.354609929078009</v>
      </c>
      <c r="AE114" s="127">
        <f t="shared" si="120"/>
        <v>40.709219858156033</v>
      </c>
      <c r="AF114" s="127">
        <f t="shared" si="120"/>
        <v>41.893475177304964</v>
      </c>
      <c r="AG114" s="127">
        <f t="shared" si="120"/>
        <v>45.843971631205669</v>
      </c>
      <c r="AH114" s="127">
        <f t="shared" si="120"/>
        <v>46.971631205673752</v>
      </c>
      <c r="AI114" s="112">
        <f>+AI113*AI112</f>
        <v>37.485227636696415</v>
      </c>
      <c r="AJ114" s="6"/>
    </row>
    <row r="115" spans="1:36" x14ac:dyDescent="0.3">
      <c r="A115" s="23"/>
      <c r="B115" s="33"/>
      <c r="C115" s="34" t="s">
        <v>19</v>
      </c>
      <c r="D115" s="20">
        <v>2350.19</v>
      </c>
      <c r="E115" s="20">
        <v>2824.04</v>
      </c>
      <c r="F115" s="20">
        <v>3429.87</v>
      </c>
      <c r="G115" s="20">
        <v>3145.71</v>
      </c>
      <c r="H115" s="20">
        <v>5092.7299999999996</v>
      </c>
      <c r="I115" s="20">
        <v>5735.18</v>
      </c>
      <c r="J115" s="20">
        <v>3232.94</v>
      </c>
      <c r="K115" s="20">
        <v>3394.75</v>
      </c>
      <c r="L115" s="20">
        <v>4145.33</v>
      </c>
      <c r="M115" s="20">
        <v>4432.68</v>
      </c>
      <c r="N115" s="20">
        <v>4780</v>
      </c>
      <c r="O115" s="20">
        <v>5284</v>
      </c>
      <c r="P115" s="20">
        <v>5491</v>
      </c>
      <c r="Q115" s="20">
        <v>5575</v>
      </c>
      <c r="R115" s="20">
        <v>6037.73</v>
      </c>
      <c r="S115" s="20">
        <v>6364.82</v>
      </c>
      <c r="T115" s="20">
        <v>5345.6</v>
      </c>
      <c r="U115" s="20">
        <v>5758.26</v>
      </c>
      <c r="V115" s="20">
        <v>6605</v>
      </c>
      <c r="W115" s="20">
        <v>7076</v>
      </c>
      <c r="X115" s="20">
        <v>5396</v>
      </c>
      <c r="Y115" s="20">
        <v>5352.61</v>
      </c>
      <c r="Z115" s="20">
        <v>6405.51</v>
      </c>
      <c r="AA115" s="20">
        <v>5844</v>
      </c>
      <c r="AB115" s="20">
        <v>6357</v>
      </c>
      <c r="AC115" s="20">
        <v>6699</v>
      </c>
      <c r="AD115" s="20">
        <v>6959</v>
      </c>
      <c r="AE115" s="20">
        <v>5740</v>
      </c>
      <c r="AF115" s="20">
        <v>5906.98</v>
      </c>
      <c r="AG115" s="20">
        <v>6464</v>
      </c>
      <c r="AH115" s="20">
        <v>6623</v>
      </c>
      <c r="AI115" s="111">
        <f>SUM(D115:AH115)</f>
        <v>163847.93000000002</v>
      </c>
      <c r="AJ115" s="6"/>
    </row>
    <row r="116" spans="1:36" ht="15" thickBot="1" x14ac:dyDescent="0.35">
      <c r="A116" s="23"/>
      <c r="B116" s="105"/>
      <c r="C116" s="106" t="s">
        <v>20</v>
      </c>
      <c r="D116" s="42">
        <f>1291.2/D115</f>
        <v>0.54940238874303782</v>
      </c>
      <c r="E116" s="43"/>
      <c r="F116" s="124">
        <f>1195.72/F115</f>
        <v>0.34861962698294691</v>
      </c>
      <c r="G116" s="43">
        <f>104.4/G115</f>
        <v>3.3188056114517868E-2</v>
      </c>
      <c r="H116" s="43">
        <f>90.2/H115</f>
        <v>1.7711522110930682E-2</v>
      </c>
      <c r="I116" s="43"/>
      <c r="J116" s="43">
        <f>983.58/J115</f>
        <v>0.30423701027547684</v>
      </c>
      <c r="K116" s="43">
        <f>1160.83/K115</f>
        <v>0.34194859709846082</v>
      </c>
      <c r="L116" s="43">
        <f>1113.56/L115</f>
        <v>0.26863000050659414</v>
      </c>
      <c r="M116" s="43">
        <f>243.81/M115</f>
        <v>5.5002842524161454E-2</v>
      </c>
      <c r="N116" s="43">
        <f>1217.65/N115</f>
        <v>0.25473849372384938</v>
      </c>
      <c r="O116" s="43">
        <f>104.65/O115</f>
        <v>1.9805071915215747E-2</v>
      </c>
      <c r="P116" s="43">
        <f>188.7/P115</f>
        <v>3.4365325077399381E-2</v>
      </c>
      <c r="Q116" s="43">
        <f>188.7/Q115</f>
        <v>3.3847533632286993E-2</v>
      </c>
      <c r="R116" s="43">
        <f>386.84/R115</f>
        <v>6.4070437068235911E-2</v>
      </c>
      <c r="S116" s="43">
        <f>1112.66/S115</f>
        <v>0.17481405601415281</v>
      </c>
      <c r="T116" s="43">
        <f>350.28/T115</f>
        <v>6.5526788386710555E-2</v>
      </c>
      <c r="U116" s="43">
        <f>1243.09/U115</f>
        <v>0.21587944969487308</v>
      </c>
      <c r="V116" s="43">
        <f>322.5/V115</f>
        <v>4.8826646479939437E-2</v>
      </c>
      <c r="W116" s="43">
        <f>282.47/W115</f>
        <v>3.9919446014697574E-2</v>
      </c>
      <c r="X116" s="43">
        <f>304.05/X115</f>
        <v>5.6347294292068202E-2</v>
      </c>
      <c r="Y116" s="43">
        <f>99.2/Y115</f>
        <v>1.8533014734867664E-2</v>
      </c>
      <c r="Z116" s="43">
        <f>1173.34/Z115</f>
        <v>0.18317667133452292</v>
      </c>
      <c r="AA116" s="43">
        <f>1157.01/AA115</f>
        <v>0.19798254620123204</v>
      </c>
      <c r="AB116" s="43">
        <f>196.83/AB115</f>
        <v>3.0962718263331763E-2</v>
      </c>
      <c r="AC116" s="43">
        <f>192.67/AC115</f>
        <v>2.8761009105836691E-2</v>
      </c>
      <c r="AD116" s="43">
        <f>185.8/AD115</f>
        <v>2.6699238396321313E-2</v>
      </c>
      <c r="AE116" s="43">
        <f>300/AE115</f>
        <v>5.2264808362369339E-2</v>
      </c>
      <c r="AF116" s="43">
        <f>1157.01/AF115</f>
        <v>0.1958716636927838</v>
      </c>
      <c r="AG116" s="43">
        <f>291.38/AG115</f>
        <v>4.5077351485148513E-2</v>
      </c>
      <c r="AH116" s="43"/>
      <c r="AI116" s="44">
        <f>AVERAGE(D116:AG116)</f>
        <v>0.13236462886542746</v>
      </c>
      <c r="AJ116" s="6"/>
    </row>
    <row r="117" spans="1:36" ht="15" thickTop="1" x14ac:dyDescent="0.3">
      <c r="A117" s="2">
        <v>98</v>
      </c>
      <c r="B117" s="14" t="s">
        <v>46</v>
      </c>
      <c r="C117" s="15" t="s">
        <v>15</v>
      </c>
      <c r="D117" s="11">
        <v>84</v>
      </c>
      <c r="E117" s="12">
        <v>94</v>
      </c>
      <c r="F117" s="70">
        <v>81</v>
      </c>
      <c r="G117" s="12">
        <v>87</v>
      </c>
      <c r="H117" s="12">
        <v>92</v>
      </c>
      <c r="I117" s="12">
        <v>95</v>
      </c>
      <c r="J117" s="12">
        <v>67</v>
      </c>
      <c r="K117" s="12">
        <v>79</v>
      </c>
      <c r="L117" s="12">
        <v>92</v>
      </c>
      <c r="M117" s="12">
        <v>83</v>
      </c>
      <c r="N117" s="12">
        <v>80</v>
      </c>
      <c r="O117" s="12">
        <v>96</v>
      </c>
      <c r="P117" s="12">
        <v>97</v>
      </c>
      <c r="Q117" s="12">
        <v>83</v>
      </c>
      <c r="R117" s="12">
        <v>78</v>
      </c>
      <c r="S117" s="12">
        <v>77</v>
      </c>
      <c r="T117" s="12">
        <v>90</v>
      </c>
      <c r="U117" s="12">
        <v>96</v>
      </c>
      <c r="V117" s="12">
        <v>97</v>
      </c>
      <c r="W117" s="12">
        <v>97</v>
      </c>
      <c r="X117" s="12">
        <v>61</v>
      </c>
      <c r="Y117" s="12">
        <v>76</v>
      </c>
      <c r="Z117" s="12">
        <v>95</v>
      </c>
      <c r="AA117" s="12">
        <v>93</v>
      </c>
      <c r="AB117" s="12">
        <v>89</v>
      </c>
      <c r="AC117" s="12">
        <v>95</v>
      </c>
      <c r="AD117" s="12">
        <v>98</v>
      </c>
      <c r="AE117" s="12">
        <v>45</v>
      </c>
      <c r="AF117" s="131">
        <v>67</v>
      </c>
      <c r="AG117" s="131">
        <v>73</v>
      </c>
      <c r="AH117" s="12">
        <v>76</v>
      </c>
      <c r="AI117" s="13">
        <f>SUM(D117:AH117)</f>
        <v>2613</v>
      </c>
      <c r="AJ117" s="6"/>
    </row>
    <row r="118" spans="1:36" x14ac:dyDescent="0.3">
      <c r="A118" s="2"/>
      <c r="B118" s="14"/>
      <c r="C118" s="15" t="s">
        <v>16</v>
      </c>
      <c r="D118" s="16">
        <f t="shared" ref="D118:AD118" si="121">+D117/$A117</f>
        <v>0.8571428571428571</v>
      </c>
      <c r="E118" s="16">
        <f t="shared" si="121"/>
        <v>0.95918367346938771</v>
      </c>
      <c r="F118" s="16">
        <f t="shared" si="121"/>
        <v>0.82653061224489799</v>
      </c>
      <c r="G118" s="16">
        <f t="shared" si="121"/>
        <v>0.88775510204081631</v>
      </c>
      <c r="H118" s="16">
        <f t="shared" si="121"/>
        <v>0.93877551020408168</v>
      </c>
      <c r="I118" s="16">
        <f t="shared" si="121"/>
        <v>0.96938775510204078</v>
      </c>
      <c r="J118" s="16">
        <f t="shared" si="121"/>
        <v>0.68367346938775508</v>
      </c>
      <c r="K118" s="16">
        <f t="shared" si="121"/>
        <v>0.80612244897959184</v>
      </c>
      <c r="L118" s="16">
        <f t="shared" si="121"/>
        <v>0.93877551020408168</v>
      </c>
      <c r="M118" s="16">
        <f t="shared" si="121"/>
        <v>0.84693877551020413</v>
      </c>
      <c r="N118" s="16">
        <f t="shared" si="121"/>
        <v>0.81632653061224492</v>
      </c>
      <c r="O118" s="16">
        <f t="shared" si="121"/>
        <v>0.97959183673469385</v>
      </c>
      <c r="P118" s="16">
        <f t="shared" si="121"/>
        <v>0.98979591836734693</v>
      </c>
      <c r="Q118" s="16">
        <f t="shared" si="121"/>
        <v>0.84693877551020413</v>
      </c>
      <c r="R118" s="16">
        <f t="shared" si="121"/>
        <v>0.79591836734693877</v>
      </c>
      <c r="S118" s="16">
        <f t="shared" si="121"/>
        <v>0.7857142857142857</v>
      </c>
      <c r="T118" s="16">
        <f t="shared" si="121"/>
        <v>0.91836734693877553</v>
      </c>
      <c r="U118" s="16">
        <f t="shared" si="121"/>
        <v>0.97959183673469385</v>
      </c>
      <c r="V118" s="16">
        <f t="shared" si="121"/>
        <v>0.98979591836734693</v>
      </c>
      <c r="W118" s="16">
        <f t="shared" si="121"/>
        <v>0.98979591836734693</v>
      </c>
      <c r="X118" s="16">
        <f t="shared" si="121"/>
        <v>0.62244897959183676</v>
      </c>
      <c r="Y118" s="16">
        <f t="shared" si="121"/>
        <v>0.77551020408163263</v>
      </c>
      <c r="Z118" s="16">
        <f t="shared" si="121"/>
        <v>0.96938775510204078</v>
      </c>
      <c r="AA118" s="16">
        <f t="shared" si="121"/>
        <v>0.94897959183673475</v>
      </c>
      <c r="AB118" s="16">
        <f t="shared" si="121"/>
        <v>0.90816326530612246</v>
      </c>
      <c r="AC118" s="16">
        <f t="shared" si="121"/>
        <v>0.96938775510204078</v>
      </c>
      <c r="AD118" s="16">
        <f t="shared" si="121"/>
        <v>1</v>
      </c>
      <c r="AE118" s="16">
        <f>+AE117/$A117</f>
        <v>0.45918367346938777</v>
      </c>
      <c r="AF118" s="16">
        <f>+AF117/$A117</f>
        <v>0.68367346938775508</v>
      </c>
      <c r="AG118" s="16">
        <f>+AG117/$A117</f>
        <v>0.74489795918367352</v>
      </c>
      <c r="AH118" s="16">
        <f>+AH117/$A117</f>
        <v>0.77551020408163263</v>
      </c>
      <c r="AI118" s="17">
        <f>+AI117/(A117*A$1)</f>
        <v>0.86010533245556287</v>
      </c>
      <c r="AJ118" s="6"/>
    </row>
    <row r="119" spans="1:36" x14ac:dyDescent="0.3">
      <c r="A119" s="2"/>
      <c r="B119" s="14"/>
      <c r="C119" s="15" t="s">
        <v>17</v>
      </c>
      <c r="D119" s="18">
        <f t="shared" ref="D119:K119" si="122">+IFERROR(D121/D117,0)</f>
        <v>86.111666666666665</v>
      </c>
      <c r="E119" s="18">
        <f t="shared" si="122"/>
        <v>78.230319148936161</v>
      </c>
      <c r="F119" s="18">
        <f t="shared" si="122"/>
        <v>84.976790123456794</v>
      </c>
      <c r="G119" s="18">
        <f t="shared" si="122"/>
        <v>88.620459770114934</v>
      </c>
      <c r="H119" s="18">
        <f t="shared" si="122"/>
        <v>107.58141304347826</v>
      </c>
      <c r="I119" s="18">
        <f t="shared" si="122"/>
        <v>98.833684210526329</v>
      </c>
      <c r="J119" s="18">
        <f t="shared" si="122"/>
        <v>85.567910447761193</v>
      </c>
      <c r="K119" s="18">
        <f t="shared" si="122"/>
        <v>86.288481012658224</v>
      </c>
      <c r="L119" s="18">
        <f t="shared" ref="L119:AD119" si="123">+IFERROR(L121/L117,0)</f>
        <v>88.563478260869573</v>
      </c>
      <c r="M119" s="18">
        <f t="shared" si="123"/>
        <v>87.672168674698796</v>
      </c>
      <c r="N119" s="18">
        <f t="shared" si="123"/>
        <v>86.362499999999997</v>
      </c>
      <c r="O119" s="18">
        <f t="shared" si="123"/>
        <v>100.033125</v>
      </c>
      <c r="P119" s="18">
        <f t="shared" si="123"/>
        <v>110.99309278350515</v>
      </c>
      <c r="Q119" s="18">
        <f t="shared" si="123"/>
        <v>87.170361445783143</v>
      </c>
      <c r="R119" s="18">
        <f t="shared" si="123"/>
        <v>85.848461538461535</v>
      </c>
      <c r="S119" s="18">
        <f t="shared" si="123"/>
        <v>89.028441558441557</v>
      </c>
      <c r="T119" s="18">
        <f t="shared" si="123"/>
        <v>90.97988888888888</v>
      </c>
      <c r="U119" s="18">
        <f t="shared" si="123"/>
        <v>92.820625000000007</v>
      </c>
      <c r="V119" s="18">
        <f t="shared" si="123"/>
        <v>104.9381443298969</v>
      </c>
      <c r="W119" s="18">
        <f t="shared" si="123"/>
        <v>117.45360824742268</v>
      </c>
      <c r="X119" s="18">
        <f t="shared" si="123"/>
        <v>87.573770491803273</v>
      </c>
      <c r="Y119" s="18">
        <f t="shared" si="123"/>
        <v>95.723684210526315</v>
      </c>
      <c r="Z119" s="18">
        <f t="shared" si="123"/>
        <v>94.404315789473685</v>
      </c>
      <c r="AA119" s="18">
        <f t="shared" si="123"/>
        <v>94.204301075268816</v>
      </c>
      <c r="AB119" s="18">
        <f t="shared" si="123"/>
        <v>91.876404494382029</v>
      </c>
      <c r="AC119" s="18">
        <f t="shared" si="123"/>
        <v>109.48421052631579</v>
      </c>
      <c r="AD119" s="18">
        <f t="shared" si="123"/>
        <v>122.14285714285714</v>
      </c>
      <c r="AE119" s="18">
        <f>+IFERROR(AE121/AE117,0)</f>
        <v>83.822222222222223</v>
      </c>
      <c r="AF119" s="18">
        <f>+IFERROR(AF121/AF117,0)</f>
        <v>82.59119402985074</v>
      </c>
      <c r="AG119" s="18">
        <f>+IFERROR(AG121/AG117,0)</f>
        <v>91.397260273972606</v>
      </c>
      <c r="AH119" s="18">
        <f>+IFERROR(AH121/AH117,0)</f>
        <v>101.63157894736842</v>
      </c>
      <c r="AI119" s="19">
        <f>+AI121/AI117</f>
        <v>94.823306544202069</v>
      </c>
      <c r="AJ119" s="6"/>
    </row>
    <row r="120" spans="1:36" x14ac:dyDescent="0.3">
      <c r="A120" s="2"/>
      <c r="B120" s="14"/>
      <c r="C120" s="15" t="s">
        <v>18</v>
      </c>
      <c r="D120" s="18">
        <f t="shared" ref="D120:K120" si="124">+D118*D119</f>
        <v>73.809999999999988</v>
      </c>
      <c r="E120" s="18">
        <f t="shared" si="124"/>
        <v>75.03724489795917</v>
      </c>
      <c r="F120" s="18">
        <f t="shared" si="124"/>
        <v>70.23591836734694</v>
      </c>
      <c r="G120" s="18">
        <f t="shared" si="124"/>
        <v>78.673265306122445</v>
      </c>
      <c r="H120" s="18">
        <f t="shared" si="124"/>
        <v>100.99479591836736</v>
      </c>
      <c r="I120" s="18">
        <f t="shared" si="124"/>
        <v>95.808163265306135</v>
      </c>
      <c r="J120" s="18">
        <f t="shared" si="124"/>
        <v>58.500510204081628</v>
      </c>
      <c r="K120" s="18">
        <f t="shared" si="124"/>
        <v>69.559081632653061</v>
      </c>
      <c r="L120" s="18">
        <f t="shared" ref="L120:AD120" si="125">+L118*L119</f>
        <v>83.141224489795931</v>
      </c>
      <c r="M120" s="18">
        <f t="shared" si="125"/>
        <v>74.252959183673468</v>
      </c>
      <c r="N120" s="18">
        <f t="shared" si="125"/>
        <v>70.5</v>
      </c>
      <c r="O120" s="18">
        <f t="shared" si="125"/>
        <v>97.991632653061217</v>
      </c>
      <c r="P120" s="18">
        <f t="shared" si="125"/>
        <v>109.86051020408162</v>
      </c>
      <c r="Q120" s="18">
        <f t="shared" si="125"/>
        <v>73.827959183673485</v>
      </c>
      <c r="R120" s="18">
        <f t="shared" si="125"/>
        <v>68.328367346938776</v>
      </c>
      <c r="S120" s="18">
        <f t="shared" si="125"/>
        <v>69.950918367346929</v>
      </c>
      <c r="T120" s="18">
        <f t="shared" si="125"/>
        <v>83.552959183673465</v>
      </c>
      <c r="U120" s="18">
        <f t="shared" si="125"/>
        <v>90.926326530612243</v>
      </c>
      <c r="V120" s="18">
        <f t="shared" si="125"/>
        <v>103.8673469387755</v>
      </c>
      <c r="W120" s="18">
        <f t="shared" si="125"/>
        <v>116.25510204081633</v>
      </c>
      <c r="X120" s="18">
        <f t="shared" si="125"/>
        <v>54.510204081632651</v>
      </c>
      <c r="Y120" s="18">
        <f t="shared" si="125"/>
        <v>74.234693877551024</v>
      </c>
      <c r="Z120" s="18">
        <f t="shared" si="125"/>
        <v>91.514387755102035</v>
      </c>
      <c r="AA120" s="18">
        <f t="shared" si="125"/>
        <v>89.397959183673478</v>
      </c>
      <c r="AB120" s="18">
        <f t="shared" si="125"/>
        <v>83.438775510204096</v>
      </c>
      <c r="AC120" s="18">
        <f t="shared" si="125"/>
        <v>106.13265306122449</v>
      </c>
      <c r="AD120" s="18">
        <f t="shared" si="125"/>
        <v>122.14285714285714</v>
      </c>
      <c r="AE120" s="18">
        <f>+AE118*AE119</f>
        <v>38.489795918367349</v>
      </c>
      <c r="AF120" s="18">
        <f>+AF118*AF119</f>
        <v>56.465408163265302</v>
      </c>
      <c r="AG120" s="18">
        <f>+AG118*AG119</f>
        <v>68.081632653061234</v>
      </c>
      <c r="AH120" s="18">
        <f>+AH118*AH119</f>
        <v>78.816326530612244</v>
      </c>
      <c r="AI120" s="19">
        <f>+AI119*AI118</f>
        <v>81.558031599736665</v>
      </c>
      <c r="AJ120" s="6"/>
    </row>
    <row r="121" spans="1:36" x14ac:dyDescent="0.3">
      <c r="A121" s="23"/>
      <c r="B121" s="33"/>
      <c r="C121" s="34" t="s">
        <v>19</v>
      </c>
      <c r="D121" s="20">
        <v>7233.38</v>
      </c>
      <c r="E121" s="20">
        <v>7353.65</v>
      </c>
      <c r="F121" s="20">
        <v>6883.12</v>
      </c>
      <c r="G121" s="20">
        <v>7709.98</v>
      </c>
      <c r="H121" s="20">
        <v>9897.49</v>
      </c>
      <c r="I121" s="20">
        <v>9389.2000000000007</v>
      </c>
      <c r="J121" s="20">
        <v>5733.05</v>
      </c>
      <c r="K121" s="20">
        <v>6816.79</v>
      </c>
      <c r="L121" s="20">
        <v>8147.84</v>
      </c>
      <c r="M121" s="20">
        <v>7276.79</v>
      </c>
      <c r="N121" s="20">
        <v>6909</v>
      </c>
      <c r="O121" s="20">
        <v>9603.18</v>
      </c>
      <c r="P121" s="20">
        <v>10766.33</v>
      </c>
      <c r="Q121" s="20">
        <v>7235.14</v>
      </c>
      <c r="R121" s="20">
        <v>6696.18</v>
      </c>
      <c r="S121" s="20">
        <v>6855.19</v>
      </c>
      <c r="T121" s="20">
        <v>8188.19</v>
      </c>
      <c r="U121" s="20">
        <v>8910.7800000000007</v>
      </c>
      <c r="V121" s="20">
        <v>10179</v>
      </c>
      <c r="W121" s="20">
        <v>11393</v>
      </c>
      <c r="X121" s="20">
        <v>5342</v>
      </c>
      <c r="Y121" s="20">
        <v>7275</v>
      </c>
      <c r="Z121" s="20">
        <v>8968.41</v>
      </c>
      <c r="AA121" s="20">
        <v>8761</v>
      </c>
      <c r="AB121" s="20">
        <v>8177</v>
      </c>
      <c r="AC121" s="20">
        <v>10401</v>
      </c>
      <c r="AD121" s="20">
        <v>11970</v>
      </c>
      <c r="AE121" s="20">
        <v>3772</v>
      </c>
      <c r="AF121" s="20">
        <v>5533.61</v>
      </c>
      <c r="AG121" s="20">
        <v>6672</v>
      </c>
      <c r="AH121" s="20">
        <v>7724</v>
      </c>
      <c r="AI121" s="111">
        <f>SUM(D121:AH121)</f>
        <v>247773.3</v>
      </c>
      <c r="AJ121" s="6"/>
    </row>
    <row r="122" spans="1:36" ht="15" thickBot="1" x14ac:dyDescent="0.35">
      <c r="A122" s="23"/>
      <c r="B122" s="80"/>
      <c r="C122" s="81" t="s">
        <v>20</v>
      </c>
      <c r="D122" s="82">
        <f>1108.78/D121</f>
        <v>0.15328656865808238</v>
      </c>
      <c r="E122" s="83">
        <f>1029.56/E121</f>
        <v>0.14000666335765233</v>
      </c>
      <c r="F122" s="83">
        <f>1380.77/F121</f>
        <v>0.20060234312346725</v>
      </c>
      <c r="G122" s="83">
        <f>714.34/G121</f>
        <v>9.2651342805039713E-2</v>
      </c>
      <c r="H122" s="83">
        <f>1167.75/H121</f>
        <v>0.11798445868599008</v>
      </c>
      <c r="I122" s="83">
        <f>1102.77/I121</f>
        <v>0.11745090103523195</v>
      </c>
      <c r="J122" s="83">
        <f>798.14/J121</f>
        <v>0.13921734504321434</v>
      </c>
      <c r="K122" s="83">
        <f>923.16/K121</f>
        <v>0.13542444464329984</v>
      </c>
      <c r="L122" s="83">
        <f>823.43/L121</f>
        <v>0.10106114013039037</v>
      </c>
      <c r="M122" s="83">
        <f>833.55/M121</f>
        <v>0.11454913498946651</v>
      </c>
      <c r="N122" s="83">
        <f>970.8/N121</f>
        <v>0.14051237516283108</v>
      </c>
      <c r="O122" s="83">
        <f>1196.94/O121</f>
        <v>0.12463996301225219</v>
      </c>
      <c r="P122" s="83">
        <f>699.46/P121</f>
        <v>6.4967356564400308E-2</v>
      </c>
      <c r="Q122" s="83">
        <f>815.98/Q121</f>
        <v>0.11278012588560829</v>
      </c>
      <c r="R122" s="83">
        <f>1072.42/R121</f>
        <v>0.16015399824974838</v>
      </c>
      <c r="S122" s="83">
        <f>921.6/S121</f>
        <v>0.13443828690379114</v>
      </c>
      <c r="T122" s="83">
        <f>264/T121</f>
        <v>3.2241557658041646E-2</v>
      </c>
      <c r="U122" s="83">
        <f>264/U121</f>
        <v>2.962703601704901E-2</v>
      </c>
      <c r="V122" s="83">
        <f>1264.13/V121</f>
        <v>0.12418999901758523</v>
      </c>
      <c r="W122" s="83">
        <f>604.55/W121</f>
        <v>5.3063284472921968E-2</v>
      </c>
      <c r="X122" s="83">
        <f>463.09/X121</f>
        <v>8.6688506177461613E-2</v>
      </c>
      <c r="Y122" s="83">
        <f>1017.41/Y121</f>
        <v>0.13985017182130582</v>
      </c>
      <c r="Z122" s="83">
        <f>1415.87/Z121</f>
        <v>0.15787302320032201</v>
      </c>
      <c r="AA122" s="83">
        <f>1413.6/AA121</f>
        <v>0.16135144389909828</v>
      </c>
      <c r="AB122" s="83">
        <f>1259.17/AB121</f>
        <v>0.15398923810688517</v>
      </c>
      <c r="AC122" s="83">
        <f>1242.65/AC121</f>
        <v>0.11947408902990098</v>
      </c>
      <c r="AD122" s="83">
        <f>848.72/AD121</f>
        <v>7.0903926482873858E-2</v>
      </c>
      <c r="AE122" s="83">
        <f>1009.35/AE121</f>
        <v>0.26759013785790031</v>
      </c>
      <c r="AF122" s="83">
        <f>1413.6/AF121</f>
        <v>0.25545710666273913</v>
      </c>
      <c r="AG122" s="83">
        <f>1103.77/AG121</f>
        <v>0.16543315347721821</v>
      </c>
      <c r="AH122" s="83"/>
      <c r="AI122" s="84">
        <f>AVERAGE(D122:AG122)</f>
        <v>0.12891530407105897</v>
      </c>
      <c r="AJ122" s="6"/>
    </row>
    <row r="123" spans="1:36" ht="15.6" thickTop="1" thickBot="1" x14ac:dyDescent="0.35">
      <c r="A123" s="2"/>
      <c r="B123" s="2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128"/>
      <c r="AG123" s="128"/>
      <c r="AH123" s="4"/>
      <c r="AI123" s="4"/>
      <c r="AJ123" s="85">
        <f>+AI121+AI109+AI103+AI97+AI91+AI85+AI79+AI73+AI67+AI62+AI53+AI45+AI39+AI33+AI27+AI20+AI14+AI115</f>
        <v>4166975.4399999995</v>
      </c>
    </row>
    <row r="124" spans="1:36" ht="15" thickTop="1" x14ac:dyDescent="0.3">
      <c r="A124" s="2"/>
      <c r="B124" s="2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128"/>
      <c r="AG124" s="128"/>
      <c r="AH124" s="4"/>
      <c r="AI124" s="4"/>
      <c r="AJ124" s="86"/>
    </row>
    <row r="125" spans="1:36" ht="28.8" x14ac:dyDescent="0.3">
      <c r="A125" s="2"/>
      <c r="B125" s="2"/>
      <c r="C125" s="3"/>
      <c r="D125" s="3">
        <v>1</v>
      </c>
      <c r="E125" s="4">
        <v>2</v>
      </c>
      <c r="F125" s="4">
        <v>3</v>
      </c>
      <c r="G125" s="4">
        <v>4</v>
      </c>
      <c r="H125" s="4">
        <v>5</v>
      </c>
      <c r="I125" s="4">
        <v>6</v>
      </c>
      <c r="J125" s="4">
        <v>7</v>
      </c>
      <c r="K125" s="4">
        <v>8</v>
      </c>
      <c r="L125" s="4">
        <v>9</v>
      </c>
      <c r="M125" s="4">
        <v>10</v>
      </c>
      <c r="N125" s="4">
        <v>11</v>
      </c>
      <c r="O125" s="4">
        <v>12</v>
      </c>
      <c r="P125" s="4">
        <v>13</v>
      </c>
      <c r="Q125" s="4">
        <v>14</v>
      </c>
      <c r="R125" s="4">
        <v>15</v>
      </c>
      <c r="S125" s="4">
        <v>16</v>
      </c>
      <c r="T125" s="4">
        <v>17</v>
      </c>
      <c r="U125" s="4">
        <v>18</v>
      </c>
      <c r="V125" s="4">
        <v>19</v>
      </c>
      <c r="W125" s="4">
        <v>20</v>
      </c>
      <c r="X125" s="4">
        <v>21</v>
      </c>
      <c r="Y125" s="4">
        <v>22</v>
      </c>
      <c r="Z125" s="4">
        <v>23</v>
      </c>
      <c r="AA125" s="4">
        <v>24</v>
      </c>
      <c r="AB125" s="4">
        <v>25</v>
      </c>
      <c r="AC125" s="4">
        <v>26</v>
      </c>
      <c r="AD125" s="4">
        <v>27</v>
      </c>
      <c r="AE125" s="4">
        <v>28</v>
      </c>
      <c r="AF125" s="128">
        <v>29</v>
      </c>
      <c r="AG125" s="128">
        <v>30</v>
      </c>
      <c r="AH125" s="4">
        <v>31</v>
      </c>
      <c r="AI125" s="87" t="s">
        <v>47</v>
      </c>
      <c r="AJ125" s="87" t="s">
        <v>48</v>
      </c>
    </row>
    <row r="126" spans="1:36" x14ac:dyDescent="0.3">
      <c r="A126" s="2"/>
      <c r="B126" s="2" t="s">
        <v>59</v>
      </c>
      <c r="C126" s="3"/>
      <c r="D126" s="20">
        <f>+D121+D115+D109+D103+D97+D91+D85+D79+D73+D67+D62+D55+D45+D39+D33+D27+D20+D14</f>
        <v>114623.50999999998</v>
      </c>
      <c r="E126" s="20">
        <f t="shared" ref="E126:Y126" si="126">+E121+E115+E109+E103+E97+E91+E85+E79+E73+E67+E62+E55+E45+E39+E33+E27+E20+E14</f>
        <v>117829.61</v>
      </c>
      <c r="F126" s="20">
        <f t="shared" si="126"/>
        <v>122917.56999999999</v>
      </c>
      <c r="G126" s="20">
        <f t="shared" si="126"/>
        <v>130495.9</v>
      </c>
      <c r="H126" s="20">
        <f t="shared" si="126"/>
        <v>137863.53999999998</v>
      </c>
      <c r="I126" s="20">
        <f t="shared" si="126"/>
        <v>147506.49000000002</v>
      </c>
      <c r="J126" s="20">
        <f t="shared" si="126"/>
        <v>112811.34</v>
      </c>
      <c r="K126" s="20">
        <f t="shared" si="126"/>
        <v>116217.00000000001</v>
      </c>
      <c r="L126" s="20">
        <f t="shared" si="126"/>
        <v>126765.45</v>
      </c>
      <c r="M126" s="20">
        <f t="shared" si="126"/>
        <v>128354.98999999999</v>
      </c>
      <c r="N126" s="20">
        <f t="shared" si="126"/>
        <v>132118</v>
      </c>
      <c r="O126" s="20">
        <f t="shared" si="126"/>
        <v>158761.15</v>
      </c>
      <c r="P126" s="20">
        <f t="shared" si="126"/>
        <v>166812.37000000002</v>
      </c>
      <c r="Q126" s="20">
        <f t="shared" si="126"/>
        <v>119556.14</v>
      </c>
      <c r="R126" s="20">
        <f t="shared" si="126"/>
        <v>129791.56999999998</v>
      </c>
      <c r="S126" s="20">
        <f t="shared" si="126"/>
        <v>134517.78</v>
      </c>
      <c r="T126" s="20">
        <f t="shared" si="126"/>
        <v>142856.24</v>
      </c>
      <c r="U126" s="20">
        <f t="shared" si="126"/>
        <v>143916.46999999997</v>
      </c>
      <c r="V126" s="20">
        <f t="shared" si="126"/>
        <v>174275.35</v>
      </c>
      <c r="W126" s="20">
        <f t="shared" si="126"/>
        <v>178301.25</v>
      </c>
      <c r="X126" s="20">
        <f t="shared" si="126"/>
        <v>113992.63</v>
      </c>
      <c r="Y126" s="20">
        <f t="shared" si="126"/>
        <v>127051.5</v>
      </c>
      <c r="Z126" s="20">
        <f>+Z121+Z115+Z109+Z103+Z97+Z91+Z85+Z79+Z73+Z67+Z62+Z55+Z45+Z39+Z33+Z27+Z20+Z14</f>
        <v>138426.22</v>
      </c>
      <c r="AA126" s="20">
        <f>+AA121+AA115+AA109+AA103+AA97+AA91+AA85+AA79+AA73+AA67+AA62+AA55+AA45+AA39+AA33+AA27+AA20+AA14</f>
        <v>145337.99</v>
      </c>
      <c r="AB126" s="20">
        <f>+AB121+AB115+AB109+AB103+AB97+AB91+AB85+AB79+AB73+AB67+AB62+AB55+AB45+AB39+AB33+AB27+AB20+AB14</f>
        <v>141152</v>
      </c>
      <c r="AC126" s="20">
        <f t="shared" ref="AC126:AH126" si="127">+AC121+AC115+AC109+AC103+AC97+AC91+AC85+AC79+AC73+AC67+AC62+AC55+AC45+AC39+AC33+AC27+AC20+AC14</f>
        <v>163152</v>
      </c>
      <c r="AD126" s="20">
        <f t="shared" si="127"/>
        <v>184053</v>
      </c>
      <c r="AE126" s="20">
        <f t="shared" si="127"/>
        <v>105809.09</v>
      </c>
      <c r="AF126" s="20">
        <f t="shared" si="127"/>
        <v>116549.62000000001</v>
      </c>
      <c r="AG126" s="20">
        <f t="shared" si="127"/>
        <v>126650</v>
      </c>
      <c r="AH126" s="20">
        <f t="shared" si="127"/>
        <v>135017.18</v>
      </c>
      <c r="AI126" s="93">
        <f>AVERAGE(D126:AG126)</f>
        <v>136615.52566666668</v>
      </c>
      <c r="AJ126" s="119">
        <f t="shared" ref="AJ126:AJ135" si="128">+AI126/AI127-1</f>
        <v>0.35935546158959442</v>
      </c>
    </row>
    <row r="127" spans="1:36" x14ac:dyDescent="0.3">
      <c r="A127" s="2"/>
      <c r="B127" s="2" t="s">
        <v>60</v>
      </c>
      <c r="C127" s="3"/>
      <c r="D127" s="20">
        <v>73863.600000000006</v>
      </c>
      <c r="E127" s="20">
        <v>79060.419999999984</v>
      </c>
      <c r="F127" s="20">
        <v>81003.360000000001</v>
      </c>
      <c r="G127" s="20">
        <v>76954.900000000009</v>
      </c>
      <c r="H127" s="20">
        <v>91299.05799999999</v>
      </c>
      <c r="I127" s="20">
        <v>88235.790000000008</v>
      </c>
      <c r="J127" s="20">
        <v>58618.97</v>
      </c>
      <c r="K127" s="20">
        <v>71658.139999999985</v>
      </c>
      <c r="L127" s="20">
        <v>78494.25</v>
      </c>
      <c r="M127" s="20">
        <v>86823.1</v>
      </c>
      <c r="N127" s="20">
        <v>84585.727999999988</v>
      </c>
      <c r="O127" s="20">
        <v>79436.500000000015</v>
      </c>
      <c r="P127" s="20">
        <v>107050.59999999999</v>
      </c>
      <c r="Q127" s="20">
        <v>110143.86999999998</v>
      </c>
      <c r="R127" s="20">
        <v>122240.58</v>
      </c>
      <c r="S127" s="20">
        <v>121024.60999999999</v>
      </c>
      <c r="T127" s="20">
        <v>116009.29</v>
      </c>
      <c r="U127" s="20">
        <v>109786.48000000001</v>
      </c>
      <c r="V127" s="20">
        <v>112968.72</v>
      </c>
      <c r="W127" s="20">
        <v>112812.02</v>
      </c>
      <c r="X127" s="20">
        <v>88597.29</v>
      </c>
      <c r="Y127" s="20">
        <v>111025.8</v>
      </c>
      <c r="Z127" s="20">
        <v>132492.99</v>
      </c>
      <c r="AA127" s="20">
        <v>121294.78</v>
      </c>
      <c r="AB127" s="20">
        <v>144013.08000000002</v>
      </c>
      <c r="AC127" s="20">
        <v>131690.88999999998</v>
      </c>
      <c r="AD127" s="20">
        <v>122800.08999999998</v>
      </c>
      <c r="AE127" s="20">
        <v>100021.31000000001</v>
      </c>
      <c r="AF127" s="20"/>
      <c r="AG127" s="20"/>
      <c r="AH127" s="20"/>
      <c r="AI127" s="93">
        <f>AVERAGE(D127:AH127)</f>
        <v>100500.22199999998</v>
      </c>
      <c r="AJ127" s="119">
        <f t="shared" si="128"/>
        <v>0.28245466838401168</v>
      </c>
    </row>
    <row r="128" spans="1:36" x14ac:dyDescent="0.3">
      <c r="B128" s="2" t="s">
        <v>61</v>
      </c>
      <c r="C128" s="3"/>
      <c r="D128" s="20">
        <v>82854.86</v>
      </c>
      <c r="E128" s="20">
        <v>80638.539999999994</v>
      </c>
      <c r="F128" s="20">
        <v>60554.259999999995</v>
      </c>
      <c r="G128" s="20">
        <v>64807.009999999995</v>
      </c>
      <c r="H128" s="20">
        <v>76514.759999999995</v>
      </c>
      <c r="I128" s="20">
        <v>83320.000000000015</v>
      </c>
      <c r="J128" s="20">
        <v>71398.990000000005</v>
      </c>
      <c r="K128" s="20">
        <v>79576.290000000008</v>
      </c>
      <c r="L128" s="20">
        <v>79602.19</v>
      </c>
      <c r="M128" s="20">
        <v>62180.97</v>
      </c>
      <c r="N128" s="20">
        <v>72936.51999999999</v>
      </c>
      <c r="O128" s="20">
        <v>77463.539999999994</v>
      </c>
      <c r="P128" s="20">
        <v>82155.279999999984</v>
      </c>
      <c r="Q128" s="20">
        <v>87161.51999999999</v>
      </c>
      <c r="R128" s="20">
        <v>100886.34999999999</v>
      </c>
      <c r="S128" s="20">
        <v>107066.53999999998</v>
      </c>
      <c r="T128" s="20">
        <v>74252.77</v>
      </c>
      <c r="U128" s="20">
        <v>74107.56</v>
      </c>
      <c r="V128" s="20">
        <v>83657.62</v>
      </c>
      <c r="W128" s="20">
        <v>75423.94</v>
      </c>
      <c r="X128" s="20">
        <v>70802.810000000012</v>
      </c>
      <c r="Y128" s="20">
        <v>77494.189999999988</v>
      </c>
      <c r="Z128" s="20">
        <v>84626.680000000008</v>
      </c>
      <c r="AA128" s="20">
        <v>65300.72</v>
      </c>
      <c r="AB128" s="20">
        <v>77262.150000000009</v>
      </c>
      <c r="AC128" s="20">
        <v>78740.91</v>
      </c>
      <c r="AD128" s="20">
        <v>81055.740000000005</v>
      </c>
      <c r="AE128" s="20">
        <v>80039.549999999988</v>
      </c>
      <c r="AF128" s="20">
        <v>84612.52</v>
      </c>
      <c r="AG128" s="20">
        <v>87320.98</v>
      </c>
      <c r="AH128" s="20">
        <v>65515.239999999991</v>
      </c>
      <c r="AI128" s="93">
        <f>AVERAGE(D128:AH128)</f>
        <v>78365.516129032258</v>
      </c>
      <c r="AJ128" s="119">
        <f t="shared" si="128"/>
        <v>0.15847839426499988</v>
      </c>
    </row>
    <row r="129" spans="2:36" x14ac:dyDescent="0.3">
      <c r="B129" s="2" t="s">
        <v>51</v>
      </c>
      <c r="C129" s="3"/>
      <c r="D129" s="20">
        <v>67602.77</v>
      </c>
      <c r="E129" s="20">
        <v>66458.939999999988</v>
      </c>
      <c r="F129" s="20">
        <v>83823.130000000019</v>
      </c>
      <c r="G129" s="20">
        <v>97534.23000000001</v>
      </c>
      <c r="H129" s="20">
        <v>93973.470000000016</v>
      </c>
      <c r="I129" s="20">
        <v>60633.320000000007</v>
      </c>
      <c r="J129" s="20">
        <v>71392.59</v>
      </c>
      <c r="K129" s="20">
        <v>74964.61</v>
      </c>
      <c r="L129" s="20">
        <v>77754.549999999988</v>
      </c>
      <c r="M129" s="20">
        <v>72153.59</v>
      </c>
      <c r="N129" s="20">
        <v>97852.160000000003</v>
      </c>
      <c r="O129" s="20">
        <v>96924.62</v>
      </c>
      <c r="P129" s="20">
        <v>57639.839999999997</v>
      </c>
      <c r="Q129" s="20">
        <v>66461.450000000012</v>
      </c>
      <c r="R129" s="20">
        <v>63997.119999999995</v>
      </c>
      <c r="S129" s="20">
        <v>66648.78</v>
      </c>
      <c r="T129" s="20">
        <v>67478.63</v>
      </c>
      <c r="U129" s="20">
        <v>74443.569999999992</v>
      </c>
      <c r="V129" s="20">
        <v>78196.569999999992</v>
      </c>
      <c r="W129" s="20">
        <v>55414.229999999996</v>
      </c>
      <c r="X129" s="20">
        <v>55682.65</v>
      </c>
      <c r="Y129" s="20">
        <v>49132.170000000006</v>
      </c>
      <c r="Z129" s="20">
        <v>45279.17</v>
      </c>
      <c r="AA129" s="20">
        <v>43029.96</v>
      </c>
      <c r="AB129" s="20">
        <v>52906.930000000008</v>
      </c>
      <c r="AC129" s="20">
        <v>59619.35</v>
      </c>
      <c r="AD129" s="20">
        <v>49546.95</v>
      </c>
      <c r="AE129" s="20">
        <v>55525.320000000007</v>
      </c>
      <c r="AF129" s="20">
        <v>56721.73</v>
      </c>
      <c r="AG129" s="20">
        <v>60370.54</v>
      </c>
      <c r="AH129" s="20">
        <v>77838.62000000001</v>
      </c>
      <c r="AI129" s="93">
        <v>67645.211612903237</v>
      </c>
      <c r="AJ129" s="119">
        <f t="shared" si="128"/>
        <v>-0.12070281664214377</v>
      </c>
    </row>
    <row r="130" spans="2:36" x14ac:dyDescent="0.3">
      <c r="B130" s="2" t="s">
        <v>52</v>
      </c>
      <c r="C130" s="3"/>
      <c r="D130" s="20">
        <v>70065</v>
      </c>
      <c r="E130" s="20">
        <v>66144.81</v>
      </c>
      <c r="F130" s="20">
        <v>75735.520000000019</v>
      </c>
      <c r="G130" s="20">
        <v>86485.090000000011</v>
      </c>
      <c r="H130" s="20">
        <v>83527.02</v>
      </c>
      <c r="I130" s="20">
        <v>96226.680000000008</v>
      </c>
      <c r="J130" s="20">
        <v>112884.18999999997</v>
      </c>
      <c r="K130" s="20">
        <v>66614.469999999987</v>
      </c>
      <c r="L130" s="20">
        <v>79859.41</v>
      </c>
      <c r="M130" s="20">
        <v>85053.95</v>
      </c>
      <c r="N130" s="20">
        <v>89977.71</v>
      </c>
      <c r="O130" s="20">
        <v>86370.739999999991</v>
      </c>
      <c r="P130" s="20">
        <v>109352.45999999999</v>
      </c>
      <c r="Q130" s="20">
        <v>106708.48999999999</v>
      </c>
      <c r="R130" s="20">
        <v>61864.179999999993</v>
      </c>
      <c r="S130" s="20">
        <v>72865.290000000008</v>
      </c>
      <c r="T130" s="20">
        <v>74909.69</v>
      </c>
      <c r="U130" s="20">
        <v>77430.179999999993</v>
      </c>
      <c r="V130" s="20">
        <v>78790.110000000015</v>
      </c>
      <c r="W130" s="20">
        <v>96551.599999999991</v>
      </c>
      <c r="X130" s="20">
        <v>90910.9</v>
      </c>
      <c r="Y130" s="20">
        <v>53908.470000000008</v>
      </c>
      <c r="Z130" s="20">
        <v>55233.39</v>
      </c>
      <c r="AA130" s="20">
        <v>56637.599999999999</v>
      </c>
      <c r="AB130" s="20">
        <v>54914.99</v>
      </c>
      <c r="AC130" s="20">
        <v>61969.72</v>
      </c>
      <c r="AD130" s="20">
        <v>74137.399999999994</v>
      </c>
      <c r="AE130" s="20">
        <v>72565.25</v>
      </c>
      <c r="AF130" s="20">
        <v>48777.47</v>
      </c>
      <c r="AG130" s="20">
        <v>61456.729999999996</v>
      </c>
      <c r="AH130" s="20"/>
      <c r="AI130" s="93">
        <v>76931</v>
      </c>
      <c r="AJ130" s="119">
        <f t="shared" si="128"/>
        <v>-0.15140564912971455</v>
      </c>
    </row>
    <row r="131" spans="2:36" x14ac:dyDescent="0.3">
      <c r="B131" s="2" t="s">
        <v>62</v>
      </c>
      <c r="C131" s="3"/>
      <c r="D131" s="20">
        <v>90900.959999999977</v>
      </c>
      <c r="E131" s="20">
        <v>110402.01</v>
      </c>
      <c r="F131" s="20">
        <v>105326.36999999998</v>
      </c>
      <c r="G131" s="20">
        <v>66581.670000000013</v>
      </c>
      <c r="H131" s="20">
        <v>74482.51999999999</v>
      </c>
      <c r="I131" s="20">
        <v>77418.439999999988</v>
      </c>
      <c r="J131" s="20">
        <v>79867.890000000014</v>
      </c>
      <c r="K131" s="20">
        <v>93534.050000000017</v>
      </c>
      <c r="L131" s="20">
        <v>130042.68000000001</v>
      </c>
      <c r="M131" s="20">
        <v>140749.15999999997</v>
      </c>
      <c r="N131" s="20">
        <v>73838.139999999985</v>
      </c>
      <c r="O131" s="20">
        <v>74852.73</v>
      </c>
      <c r="P131" s="20">
        <v>77689.62999999999</v>
      </c>
      <c r="Q131" s="20">
        <v>82940.800000000003</v>
      </c>
      <c r="R131" s="20">
        <v>91217.34</v>
      </c>
      <c r="S131" s="20">
        <v>120190.80000000002</v>
      </c>
      <c r="T131" s="20">
        <v>120174.86</v>
      </c>
      <c r="U131" s="20">
        <v>68984.239999999991</v>
      </c>
      <c r="V131" s="20">
        <v>78411.680000000008</v>
      </c>
      <c r="W131" s="20">
        <v>83139.08</v>
      </c>
      <c r="X131" s="20">
        <v>81866.12000000001</v>
      </c>
      <c r="Y131" s="20">
        <v>85785.35</v>
      </c>
      <c r="Z131" s="20">
        <v>117856.4</v>
      </c>
      <c r="AA131" s="20">
        <v>127161.93999999999</v>
      </c>
      <c r="AB131" s="20">
        <v>68498.410000000018</v>
      </c>
      <c r="AC131" s="20">
        <v>76958.27</v>
      </c>
      <c r="AD131" s="20">
        <v>80332.850000000006</v>
      </c>
      <c r="AE131" s="20">
        <v>80516.19</v>
      </c>
      <c r="AF131" s="20">
        <v>70980.319999999992</v>
      </c>
      <c r="AG131" s="20">
        <v>83606.89</v>
      </c>
      <c r="AH131" s="20">
        <v>96058.549999999988</v>
      </c>
      <c r="AI131" s="93">
        <v>90656.978709677423</v>
      </c>
      <c r="AJ131" s="119">
        <f t="shared" si="128"/>
        <v>4.1842966451314689E-2</v>
      </c>
    </row>
    <row r="132" spans="2:36" x14ac:dyDescent="0.3">
      <c r="B132" s="2" t="s">
        <v>54</v>
      </c>
      <c r="C132" s="3"/>
      <c r="D132" s="20">
        <v>84754.189999999988</v>
      </c>
      <c r="E132" s="20">
        <v>77509.83</v>
      </c>
      <c r="F132" s="20">
        <v>86097.87000000001</v>
      </c>
      <c r="G132" s="20">
        <v>114711.41999999998</v>
      </c>
      <c r="H132" s="20">
        <v>144350.47</v>
      </c>
      <c r="I132" s="20">
        <v>103110.33000000002</v>
      </c>
      <c r="J132" s="20">
        <v>63647.21</v>
      </c>
      <c r="K132" s="20">
        <v>76126.25</v>
      </c>
      <c r="L132" s="20">
        <v>82670.789999999979</v>
      </c>
      <c r="M132" s="20">
        <v>80723.710000000006</v>
      </c>
      <c r="N132" s="20">
        <v>91710.989999999991</v>
      </c>
      <c r="O132" s="20">
        <v>97999.8</v>
      </c>
      <c r="P132" s="20">
        <v>73673.760000000009</v>
      </c>
      <c r="Q132" s="20">
        <v>81090.11</v>
      </c>
      <c r="R132" s="20">
        <v>95424.680000000008</v>
      </c>
      <c r="S132" s="20">
        <v>88123.109999999986</v>
      </c>
      <c r="T132" s="20">
        <v>86107.98000000001</v>
      </c>
      <c r="U132" s="20">
        <v>94430.400000000009</v>
      </c>
      <c r="V132" s="20">
        <v>108674.07999999999</v>
      </c>
      <c r="W132" s="20">
        <v>63410.119999999995</v>
      </c>
      <c r="X132" s="20">
        <v>71808.240000000005</v>
      </c>
      <c r="Y132" s="20">
        <v>72142.2</v>
      </c>
      <c r="Z132" s="20">
        <v>82430.219999999987</v>
      </c>
      <c r="AA132" s="20">
        <v>78378.259999999995</v>
      </c>
      <c r="AB132" s="20">
        <v>98445.599999999977</v>
      </c>
      <c r="AC132" s="20">
        <v>111067.27900000001</v>
      </c>
      <c r="AD132" s="20">
        <v>65574.12000000001</v>
      </c>
      <c r="AE132" s="20">
        <v>68571.259999999995</v>
      </c>
      <c r="AF132" s="20">
        <v>77694.38</v>
      </c>
      <c r="AG132" s="20">
        <v>90020.51</v>
      </c>
      <c r="AH132" s="20"/>
      <c r="AI132" s="93">
        <v>87015.972299999994</v>
      </c>
      <c r="AJ132" s="119">
        <f t="shared" si="128"/>
        <v>-5.286343324641285E-3</v>
      </c>
    </row>
    <row r="133" spans="2:36" x14ac:dyDescent="0.3">
      <c r="B133" s="2" t="s">
        <v>55</v>
      </c>
      <c r="C133" s="3"/>
      <c r="D133" s="20">
        <v>100183.41</v>
      </c>
      <c r="E133" s="20">
        <v>64601.049999999996</v>
      </c>
      <c r="F133" s="20">
        <v>68269.820000000007</v>
      </c>
      <c r="G133" s="20">
        <v>72258.659999999989</v>
      </c>
      <c r="H133" s="20">
        <v>72333.430000000008</v>
      </c>
      <c r="I133" s="20">
        <v>87807.180000000008</v>
      </c>
      <c r="J133" s="20">
        <v>108556.6</v>
      </c>
      <c r="K133" s="20">
        <v>115466.53999999998</v>
      </c>
      <c r="L133" s="20">
        <v>66024.539999999994</v>
      </c>
      <c r="M133" s="20">
        <v>67539.360000000001</v>
      </c>
      <c r="N133" s="20">
        <v>74683.11</v>
      </c>
      <c r="O133" s="20">
        <v>70834.399999999994</v>
      </c>
      <c r="P133" s="20">
        <v>77578</v>
      </c>
      <c r="Q133" s="20">
        <v>95943.329999999987</v>
      </c>
      <c r="R133" s="20">
        <v>104559.17000000001</v>
      </c>
      <c r="S133" s="20">
        <v>77145.600000000006</v>
      </c>
      <c r="T133" s="20">
        <v>83957.91</v>
      </c>
      <c r="U133" s="20">
        <v>88179.42</v>
      </c>
      <c r="V133" s="20">
        <v>90305.080000000016</v>
      </c>
      <c r="W133" s="20">
        <v>90852.430000000022</v>
      </c>
      <c r="X133" s="20">
        <v>94160.400000000009</v>
      </c>
      <c r="Y133" s="20">
        <v>100448.5</v>
      </c>
      <c r="Z133" s="20">
        <v>58556.94</v>
      </c>
      <c r="AA133" s="20">
        <v>74305.420000000013</v>
      </c>
      <c r="AB133" s="20">
        <v>110828.91999999998</v>
      </c>
      <c r="AC133" s="20">
        <v>131833.35</v>
      </c>
      <c r="AD133" s="20">
        <v>108369.62000000001</v>
      </c>
      <c r="AE133" s="20">
        <v>100972.90000000002</v>
      </c>
      <c r="AF133" s="20">
        <v>102375.05999999997</v>
      </c>
      <c r="AG133" s="20">
        <v>73325.179999999993</v>
      </c>
      <c r="AH133" s="20">
        <v>79575.48000000001</v>
      </c>
      <c r="AI133" s="93">
        <v>87478.413225806449</v>
      </c>
      <c r="AJ133" s="119">
        <f t="shared" si="128"/>
        <v>0.15589313615477463</v>
      </c>
    </row>
    <row r="134" spans="2:36" x14ac:dyDescent="0.3">
      <c r="B134" s="2" t="s">
        <v>56</v>
      </c>
      <c r="C134" s="3"/>
      <c r="D134" s="20">
        <v>73444.495945945935</v>
      </c>
      <c r="E134" s="20">
        <v>70000.913513513515</v>
      </c>
      <c r="F134" s="20">
        <v>82405.333783783775</v>
      </c>
      <c r="G134" s="20">
        <v>81409.199189189181</v>
      </c>
      <c r="H134" s="20">
        <v>56865.548378378378</v>
      </c>
      <c r="I134" s="20">
        <v>62159.099054054052</v>
      </c>
      <c r="J134" s="20">
        <v>68168.310270270274</v>
      </c>
      <c r="K134" s="20">
        <v>72491.048378378386</v>
      </c>
      <c r="L134" s="20">
        <v>79462.536621621635</v>
      </c>
      <c r="M134" s="20">
        <v>82286.569999999992</v>
      </c>
      <c r="N134" s="20">
        <v>87756.881891891884</v>
      </c>
      <c r="O134" s="20">
        <v>60813.235405405416</v>
      </c>
      <c r="P134" s="20">
        <v>67185.838918918933</v>
      </c>
      <c r="Q134" s="20">
        <v>71968.58</v>
      </c>
      <c r="R134" s="20">
        <v>77449.497972972982</v>
      </c>
      <c r="S134" s="20">
        <v>77877.45608108108</v>
      </c>
      <c r="T134" s="20">
        <v>92299.417837837827</v>
      </c>
      <c r="U134" s="20">
        <v>95235.570540540561</v>
      </c>
      <c r="V134" s="20">
        <v>66435.505135135143</v>
      </c>
      <c r="W134" s="20">
        <v>71817.671216216215</v>
      </c>
      <c r="X134" s="20">
        <v>77909.038648648653</v>
      </c>
      <c r="Y134" s="20">
        <v>76039.610000000015</v>
      </c>
      <c r="Z134" s="20">
        <v>83017.246891891889</v>
      </c>
      <c r="AA134" s="20">
        <v>97788.939054054033</v>
      </c>
      <c r="AB134" s="20">
        <v>100716.69608108109</v>
      </c>
      <c r="AC134" s="20">
        <v>60620.706621621626</v>
      </c>
      <c r="AD134" s="20">
        <v>65791.327972972969</v>
      </c>
      <c r="AE134" s="20">
        <v>67384.328513513508</v>
      </c>
      <c r="AF134" s="20">
        <v>68441.759459459456</v>
      </c>
      <c r="AG134" s="20">
        <v>70813.988918918913</v>
      </c>
      <c r="AH134" s="20">
        <v>80034.929999999993</v>
      </c>
      <c r="AI134" s="93">
        <v>75680.363945074118</v>
      </c>
      <c r="AJ134" s="119">
        <f t="shared" si="128"/>
        <v>0.17129975883137716</v>
      </c>
    </row>
    <row r="135" spans="2:36" x14ac:dyDescent="0.3">
      <c r="B135" s="2" t="s">
        <v>57</v>
      </c>
      <c r="C135" s="3"/>
      <c r="D135" s="20">
        <v>33656.116941360997</v>
      </c>
      <c r="E135" s="20">
        <v>59686.468693291514</v>
      </c>
      <c r="F135" s="20">
        <v>58711.559712837836</v>
      </c>
      <c r="G135" s="20">
        <v>58839.028445945951</v>
      </c>
      <c r="H135" s="20">
        <v>60982.806381515446</v>
      </c>
      <c r="I135" s="20">
        <v>61858.128717422784</v>
      </c>
      <c r="J135" s="20">
        <v>51575.66097852317</v>
      </c>
      <c r="K135" s="20">
        <v>56701.234278474905</v>
      </c>
      <c r="L135" s="20">
        <v>57605.917512065636</v>
      </c>
      <c r="M135" s="20">
        <v>61577.438005550182</v>
      </c>
      <c r="N135" s="20">
        <v>58640.260154440148</v>
      </c>
      <c r="O135" s="20">
        <v>68436.549682673736</v>
      </c>
      <c r="P135" s="20">
        <v>73227.321708494215</v>
      </c>
      <c r="Q135" s="20">
        <v>51023.233935810807</v>
      </c>
      <c r="R135" s="20">
        <v>64623.597294884159</v>
      </c>
      <c r="S135" s="20">
        <v>67981.496738658287</v>
      </c>
      <c r="T135" s="20">
        <v>67756.304453426652</v>
      </c>
      <c r="U135" s="20">
        <v>68129.117726833982</v>
      </c>
      <c r="V135" s="20">
        <v>82579.69435328187</v>
      </c>
      <c r="W135" s="20">
        <v>86104.767290057935</v>
      </c>
      <c r="X135" s="20">
        <v>54908.009784025096</v>
      </c>
      <c r="Y135" s="20">
        <v>64694.263143098447</v>
      </c>
      <c r="Z135" s="20">
        <v>68642.409522200775</v>
      </c>
      <c r="AA135" s="20">
        <v>76101.53125241313</v>
      </c>
      <c r="AB135" s="20">
        <v>72255.067227316613</v>
      </c>
      <c r="AC135" s="20">
        <v>87091.800108590745</v>
      </c>
      <c r="AD135" s="20">
        <v>88778.279335183397</v>
      </c>
      <c r="AE135" s="20">
        <v>58176.199035955593</v>
      </c>
      <c r="AF135" s="20">
        <v>63073.101497345568</v>
      </c>
      <c r="AG135" s="20">
        <v>54951.444955357139</v>
      </c>
      <c r="AH135" s="20"/>
      <c r="AI135" s="93">
        <v>64612.293628901214</v>
      </c>
      <c r="AJ135" s="119">
        <f t="shared" si="128"/>
        <v>0.39263580344961979</v>
      </c>
    </row>
    <row r="136" spans="2:36" x14ac:dyDescent="0.3">
      <c r="B136" s="2" t="s">
        <v>49</v>
      </c>
      <c r="C136" s="3"/>
      <c r="D136" s="20">
        <v>38972.550000000003</v>
      </c>
      <c r="E136" s="20">
        <v>39174.61</v>
      </c>
      <c r="F136" s="20">
        <v>34707.620000000003</v>
      </c>
      <c r="G136" s="20">
        <v>40887.170000000006</v>
      </c>
      <c r="H136" s="20">
        <v>44251.140000000007</v>
      </c>
      <c r="I136" s="20">
        <v>46034.819999999992</v>
      </c>
      <c r="J136" s="20">
        <v>39862.78</v>
      </c>
      <c r="K136" s="20">
        <v>41413.649999999994</v>
      </c>
      <c r="L136" s="20">
        <v>42345.120000000003</v>
      </c>
      <c r="M136" s="20">
        <v>33456.019999999997</v>
      </c>
      <c r="N136" s="20">
        <v>43313.859999999993</v>
      </c>
      <c r="O136" s="20">
        <v>43531.740000000005</v>
      </c>
      <c r="P136" s="20">
        <v>51145.510000000009</v>
      </c>
      <c r="Q136" s="20">
        <v>50218.990000000005</v>
      </c>
      <c r="R136" s="20">
        <v>46705.89</v>
      </c>
      <c r="S136" s="20">
        <v>47389.38</v>
      </c>
      <c r="T136" s="20">
        <v>38041.599999999999</v>
      </c>
      <c r="U136" s="20">
        <v>45036.49</v>
      </c>
      <c r="V136" s="20">
        <v>57478.16</v>
      </c>
      <c r="W136" s="20">
        <v>49952.299999999996</v>
      </c>
      <c r="X136" s="20">
        <v>46827.219999999994</v>
      </c>
      <c r="Y136" s="20">
        <v>53260.289999999994</v>
      </c>
      <c r="Z136" s="20">
        <v>59358.32</v>
      </c>
      <c r="AA136" s="20">
        <v>48776.539999999994</v>
      </c>
      <c r="AB136" s="20">
        <v>36573.770000000004</v>
      </c>
      <c r="AC136" s="20">
        <v>44737.770000000004</v>
      </c>
      <c r="AD136" s="20">
        <v>47850.439999999995</v>
      </c>
      <c r="AE136" s="20">
        <v>53364.35</v>
      </c>
      <c r="AF136" s="20">
        <v>57628.400000000009</v>
      </c>
      <c r="AG136" s="20">
        <v>63124.35</v>
      </c>
      <c r="AH136" s="20">
        <v>52845.420000000006</v>
      </c>
      <c r="AI136" s="93">
        <v>46395.686129032256</v>
      </c>
      <c r="AJ136" s="23"/>
    </row>
  </sheetData>
  <mergeCells count="4">
    <mergeCell ref="B22:C22"/>
    <mergeCell ref="B47:C47"/>
    <mergeCell ref="B48:C48"/>
    <mergeCell ref="B57:C57"/>
  </mergeCells>
  <conditionalFormatting sqref="D14:AH14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H4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H4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AH6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AH6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AH7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9:AH7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AC91 AE91:AH91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:AC91 AE91:AH9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H1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H4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:AH62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:AH6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H1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:AH2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H4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7:AH6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9:AH7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H91 AC9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AH62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H45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AH6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9">
      <colorScale>
        <cfvo type="min"/>
        <cfvo type="max"/>
        <color rgb="FFF8696B"/>
        <color rgb="FFFCFCFF"/>
      </colorScale>
    </cfRule>
  </conditionalFormatting>
  <conditionalFormatting sqref="D79:AH7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:AC91 AE91:AH91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H4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H12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3:AH7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3:AH7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H7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H7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max"/>
        <color rgb="FFF8696B"/>
        <color rgb="FFFCFCFF"/>
      </colorScale>
    </cfRule>
  </conditionalFormatting>
  <conditionalFormatting sqref="D85:AH8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5:AH8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:AG8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AH8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AH9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AH9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:AH9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H9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AH10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AH10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:AH10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AH10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:AB13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:AB1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Y13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Y13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Y130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Y13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Y13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X1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X13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X13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X130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X13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3:AH1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:AH13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3:AH1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H13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:AG13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5:AG13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36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3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AH13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1:AH13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0:AG13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0:AG13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3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7:AE1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5:AH1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5:AH1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:AH11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5:AH1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5:AH1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2:AH6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2:AH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H6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9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9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9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9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1:AH1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1:AH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:AH1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1:AH1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1:AH1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H3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H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H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AH3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D20:AH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H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:AH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AH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rgb="FFF8696B"/>
        <color rgb="FFFCFCFF"/>
      </colorScale>
    </cfRule>
  </conditionalFormatting>
  <conditionalFormatting sqref="D55:AH5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H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AH5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H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AH5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H5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H3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H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9:AH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AH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D109:AH1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H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H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AH10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March!D129:AH129</xm:f>
              <xm:sqref>C129</xm:sqref>
            </x14:sparkline>
            <x14:sparkline>
              <xm:f>March!D128:AH128</xm:f>
              <xm:sqref>C128</xm:sqref>
            </x14:sparkline>
            <x14:sparkline>
              <xm:f>March!D127:AH127</xm:f>
              <xm:sqref>C127</xm:sqref>
            </x14:sparkline>
            <x14:sparkline>
              <xm:f>March!D126:AH126</xm:f>
              <xm:sqref>C126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March!D130:AH130</xm:f>
              <xm:sqref>C130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March!D133:AH133</xm:f>
              <xm:sqref>C133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March!D134:AH134</xm:f>
              <xm:sqref>C134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March!D135:AH135</xm:f>
              <xm:sqref>C135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March!D136:AH136</xm:f>
              <xm:sqref>C136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March!D132:AG132</xm:f>
              <xm:sqref>C132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March!D131:AH131</xm:f>
              <xm:sqref>C131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March!D121:AG121</xm:f>
              <xm:sqref>B121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March!D109:AG109</xm:f>
              <xm:sqref>B109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March!D103:AG103</xm:f>
              <xm:sqref>B103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March!D97:AG97</xm:f>
              <xm:sqref>B97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March!D85:AG85</xm:f>
              <xm:sqref>B85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March!D79:AG79</xm:f>
              <xm:sqref>B79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March!D72:AG72</xm:f>
              <xm:sqref>B72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March!D67:AG67</xm:f>
              <xm:sqref>B67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March!D62:AG62</xm:f>
              <xm:sqref>B62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March!D55:AG55</xm:f>
              <xm:sqref>B55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March!D45:AG45</xm:f>
              <xm:sqref>B45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March!D39:AG39</xm:f>
              <xm:sqref>B39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March!D33:AG33</xm:f>
              <xm:sqref>B33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March!D27:AG27</xm:f>
              <xm:sqref>B27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March!D20:AG20</xm:f>
              <xm:sqref>B20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March!D14:AG14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March!D91:AG91</xm:f>
              <xm:sqref>B91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March!D115:AG115</xm:f>
              <xm:sqref>B115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topLeftCell="A115" workbookViewId="0">
      <pane xSplit="3" topLeftCell="Q1" activePane="topRight" state="frozen"/>
      <selection pane="topRight" activeCell="D126" sqref="D126:AE126"/>
    </sheetView>
  </sheetViews>
  <sheetFormatPr defaultColWidth="8.88671875" defaultRowHeight="14.4" x14ac:dyDescent="0.3"/>
  <cols>
    <col min="2" max="2" width="30.44140625" bestFit="1" customWidth="1"/>
    <col min="3" max="3" width="16.33203125" bestFit="1" customWidth="1"/>
    <col min="4" max="17" width="11.44140625" bestFit="1" customWidth="1"/>
    <col min="18" max="19" width="12.44140625" bestFit="1" customWidth="1"/>
    <col min="20" max="29" width="11.44140625" bestFit="1" customWidth="1"/>
    <col min="30" max="30" width="12.109375" bestFit="1" customWidth="1"/>
    <col min="31" max="31" width="11.44140625" bestFit="1" customWidth="1"/>
    <col min="32" max="34" width="11.44140625" hidden="1" customWidth="1"/>
    <col min="35" max="35" width="12.44140625" bestFit="1" customWidth="1"/>
    <col min="36" max="36" width="13.33203125" bestFit="1" customWidth="1"/>
  </cols>
  <sheetData>
    <row r="1" spans="1:36" x14ac:dyDescent="0.3">
      <c r="A1" s="1">
        <v>28</v>
      </c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>
        <f>+AI14+AI20+AI27+AI33+AI39+AI45+AI53+AI62+AI67+AI73+AI79+AI85+AI91+AI97+AI103+AI109+AI121+AI115</f>
        <v>2730205.5960000004</v>
      </c>
      <c r="AJ1" s="6">
        <f>+AI1/$A$1</f>
        <v>97507.342714285725</v>
      </c>
    </row>
    <row r="2" spans="1:36" x14ac:dyDescent="0.3">
      <c r="A2" s="2"/>
      <c r="B2" s="2"/>
      <c r="C2" s="3"/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2</v>
      </c>
      <c r="Y2" s="4" t="s">
        <v>3</v>
      </c>
      <c r="Z2" s="4" t="s">
        <v>4</v>
      </c>
      <c r="AA2" s="4" t="s">
        <v>5</v>
      </c>
      <c r="AB2" s="4" t="s">
        <v>6</v>
      </c>
      <c r="AC2" s="4" t="s">
        <v>7</v>
      </c>
      <c r="AD2" s="4" t="s">
        <v>8</v>
      </c>
      <c r="AE2" s="4" t="s">
        <v>2</v>
      </c>
      <c r="AF2" s="4" t="s">
        <v>3</v>
      </c>
      <c r="AG2" s="4" t="s">
        <v>4</v>
      </c>
      <c r="AH2" s="4" t="s">
        <v>5</v>
      </c>
      <c r="AI2" s="4" t="s">
        <v>9</v>
      </c>
      <c r="AJ2" s="6">
        <f>+AJ1*28</f>
        <v>2730205.5960000004</v>
      </c>
    </row>
    <row r="3" spans="1:36" ht="15" thickBot="1" x14ac:dyDescent="0.35">
      <c r="A3" s="2"/>
      <c r="B3" s="2" t="s">
        <v>10</v>
      </c>
      <c r="C3" s="3" t="s">
        <v>11</v>
      </c>
      <c r="D3" s="7">
        <v>1</v>
      </c>
      <c r="E3" s="8">
        <f>+D3+1</f>
        <v>2</v>
      </c>
      <c r="F3" s="8">
        <f t="shared" ref="F3:AE3" si="0">+E3+1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8">
        <f t="shared" si="0"/>
        <v>8</v>
      </c>
      <c r="L3" s="8">
        <f t="shared" si="0"/>
        <v>9</v>
      </c>
      <c r="M3" s="8">
        <f t="shared" si="0"/>
        <v>10</v>
      </c>
      <c r="N3" s="8">
        <f t="shared" si="0"/>
        <v>11</v>
      </c>
      <c r="O3" s="8">
        <f t="shared" si="0"/>
        <v>12</v>
      </c>
      <c r="P3" s="8">
        <f t="shared" si="0"/>
        <v>13</v>
      </c>
      <c r="Q3" s="8">
        <f t="shared" si="0"/>
        <v>14</v>
      </c>
      <c r="R3" s="8">
        <f t="shared" si="0"/>
        <v>15</v>
      </c>
      <c r="S3" s="8">
        <f t="shared" si="0"/>
        <v>16</v>
      </c>
      <c r="T3" s="8">
        <f t="shared" si="0"/>
        <v>17</v>
      </c>
      <c r="U3" s="8">
        <f t="shared" si="0"/>
        <v>18</v>
      </c>
      <c r="V3" s="8">
        <f t="shared" si="0"/>
        <v>19</v>
      </c>
      <c r="W3" s="8">
        <f t="shared" si="0"/>
        <v>20</v>
      </c>
      <c r="X3" s="8">
        <f t="shared" si="0"/>
        <v>21</v>
      </c>
      <c r="Y3" s="8">
        <f t="shared" si="0"/>
        <v>22</v>
      </c>
      <c r="Z3" s="8">
        <f t="shared" si="0"/>
        <v>23</v>
      </c>
      <c r="AA3" s="8">
        <f t="shared" si="0"/>
        <v>24</v>
      </c>
      <c r="AB3" s="8">
        <f t="shared" si="0"/>
        <v>25</v>
      </c>
      <c r="AC3" s="8">
        <f t="shared" si="0"/>
        <v>26</v>
      </c>
      <c r="AD3" s="8">
        <f t="shared" si="0"/>
        <v>27</v>
      </c>
      <c r="AE3" s="8">
        <f t="shared" si="0"/>
        <v>28</v>
      </c>
      <c r="AF3" s="8">
        <f>+AE3+1</f>
        <v>29</v>
      </c>
      <c r="AG3" s="8">
        <f>+AF3+1</f>
        <v>30</v>
      </c>
      <c r="AH3" s="8">
        <f>+AG3+1</f>
        <v>31</v>
      </c>
      <c r="AI3" s="4" t="s">
        <v>12</v>
      </c>
      <c r="AJ3" s="6"/>
    </row>
    <row r="4" spans="1:36" ht="15" thickTop="1" x14ac:dyDescent="0.3">
      <c r="A4" s="2">
        <f>+A10+A16+A23+A29+A35+A41+A49+A58+A63+A69+A75+A81+A87+A93+A99+A105+A117+A111</f>
        <v>2079</v>
      </c>
      <c r="B4" s="28" t="s">
        <v>14</v>
      </c>
      <c r="C4" s="29" t="s">
        <v>15</v>
      </c>
      <c r="D4" s="30">
        <f>+D10+D16+D23+D29+D35+D41+D49+D58+D63+D69+D75+D81+D87+D93+D99+D105+D117</f>
        <v>940</v>
      </c>
      <c r="E4" s="30">
        <f t="shared" ref="E4:R4" si="1">+E10+E16+E23+E29+E35+E41+E49+E58+E63+E69+E75+E81+E87+E93+E99+E105+E117</f>
        <v>990</v>
      </c>
      <c r="F4" s="30">
        <f t="shared" si="1"/>
        <v>1000</v>
      </c>
      <c r="G4" s="30">
        <f t="shared" si="1"/>
        <v>969</v>
      </c>
      <c r="H4" s="30">
        <f t="shared" si="1"/>
        <v>1116</v>
      </c>
      <c r="I4" s="30">
        <f t="shared" si="1"/>
        <v>1091</v>
      </c>
      <c r="J4" s="30">
        <f t="shared" si="1"/>
        <v>734</v>
      </c>
      <c r="K4" s="30">
        <f t="shared" si="1"/>
        <v>853</v>
      </c>
      <c r="L4" s="30">
        <f t="shared" si="1"/>
        <v>974</v>
      </c>
      <c r="M4" s="30">
        <f t="shared" si="1"/>
        <v>1054</v>
      </c>
      <c r="N4" s="30">
        <f t="shared" si="1"/>
        <v>1097</v>
      </c>
      <c r="O4" s="30">
        <f t="shared" si="1"/>
        <v>1007</v>
      </c>
      <c r="P4" s="30">
        <f t="shared" si="1"/>
        <v>1250</v>
      </c>
      <c r="Q4" s="30">
        <f t="shared" si="1"/>
        <v>1287</v>
      </c>
      <c r="R4" s="30">
        <f t="shared" si="1"/>
        <v>1409</v>
      </c>
      <c r="S4" s="30">
        <f>+S10+S16+S23+S29+S35+S41+S49+S58+S63+S69+S75+S81+S87+S93+S99+S105+S117</f>
        <v>1359</v>
      </c>
      <c r="T4" s="30">
        <f>+T10+T16+T23+T29+T35+T41+T49+T58+T63+T69+T75+T81+T87+T93+T99+T105+T117</f>
        <v>1301</v>
      </c>
      <c r="U4" s="30">
        <f t="shared" ref="U4:AH4" si="2">+U10+U16+U23+U29+U35+U41+U49+U58+U63+U69+U75+U81+U87+U93+U99+U105+U117</f>
        <v>1241</v>
      </c>
      <c r="V4" s="30">
        <f>+V10+V16+V23+V29+V35+V41+V49+V58+V63+V69+V75+V81+V87+V93+V99+V105+V117</f>
        <v>1255</v>
      </c>
      <c r="W4" s="30">
        <f>+V10+W16+W23+W29+W35+W41+W49+W58+W63+W69+W75+W81+W87+W93+W99+W105+W117</f>
        <v>1295</v>
      </c>
      <c r="X4" s="30">
        <f>+W10+X16+X23+X29+X35+X41+X49+X58+X63+X69+X75+X81+X87+X93+X99+X105+X117</f>
        <v>1100</v>
      </c>
      <c r="Y4" s="30">
        <f>+X10+Y16+Y23+Y29+Y35+Y41+Y49+Y58+Y63+Y69+Y75+Y81+Y87+Y93+Y99+Y105+Y117</f>
        <v>1299</v>
      </c>
      <c r="Z4" s="30">
        <f>+Z10+Z16+Z23+Z29+Z35+Z41+Z49+Z58+Z63+Z69+Z75+Z81+Z87+Z93+Z99+Z105+Z117+Z111</f>
        <v>1357</v>
      </c>
      <c r="AA4" s="30">
        <f t="shared" si="2"/>
        <v>1417</v>
      </c>
      <c r="AB4" s="30">
        <f t="shared" si="2"/>
        <v>1447</v>
      </c>
      <c r="AC4" s="30">
        <f t="shared" si="2"/>
        <v>1378</v>
      </c>
      <c r="AD4" s="30">
        <f t="shared" si="2"/>
        <v>1431</v>
      </c>
      <c r="AE4" s="30">
        <f t="shared" si="2"/>
        <v>1172</v>
      </c>
      <c r="AF4" s="30">
        <f t="shared" si="2"/>
        <v>0</v>
      </c>
      <c r="AG4" s="30">
        <f t="shared" si="2"/>
        <v>0</v>
      </c>
      <c r="AH4" s="30">
        <f t="shared" si="2"/>
        <v>0</v>
      </c>
      <c r="AI4" s="89">
        <f>SUM(D4:AG4)</f>
        <v>32823</v>
      </c>
      <c r="AJ4" s="6"/>
    </row>
    <row r="5" spans="1:36" x14ac:dyDescent="0.3">
      <c r="A5" s="2"/>
      <c r="B5" s="33"/>
      <c r="C5" s="34" t="s">
        <v>16</v>
      </c>
      <c r="D5" s="35">
        <f>+D4/$A$4</f>
        <v>0.45214045214045212</v>
      </c>
      <c r="E5" s="35">
        <f t="shared" ref="E5:R5" si="3">+E4/$A$4</f>
        <v>0.47619047619047616</v>
      </c>
      <c r="F5" s="35">
        <f t="shared" si="3"/>
        <v>0.48100048100048098</v>
      </c>
      <c r="G5" s="35">
        <f t="shared" si="3"/>
        <v>0.46608946608946611</v>
      </c>
      <c r="H5" s="35">
        <f t="shared" si="3"/>
        <v>0.53679653679653683</v>
      </c>
      <c r="I5" s="35">
        <f t="shared" si="3"/>
        <v>0.52477152477152478</v>
      </c>
      <c r="J5" s="35">
        <f t="shared" si="3"/>
        <v>0.35305435305435307</v>
      </c>
      <c r="K5" s="35">
        <f t="shared" si="3"/>
        <v>0.41029341029341032</v>
      </c>
      <c r="L5" s="35">
        <f t="shared" si="3"/>
        <v>0.46849446849446852</v>
      </c>
      <c r="M5" s="35">
        <f t="shared" si="3"/>
        <v>0.50697450697450697</v>
      </c>
      <c r="N5" s="35">
        <f t="shared" si="3"/>
        <v>0.5276575276575276</v>
      </c>
      <c r="O5" s="35">
        <f t="shared" si="3"/>
        <v>0.48436748436748439</v>
      </c>
      <c r="P5" s="35">
        <f t="shared" si="3"/>
        <v>0.60125060125060126</v>
      </c>
      <c r="Q5" s="35">
        <f t="shared" si="3"/>
        <v>0.61904761904761907</v>
      </c>
      <c r="R5" s="35">
        <f t="shared" si="3"/>
        <v>0.67772967772967774</v>
      </c>
      <c r="S5" s="35">
        <f>+S4/$A$4</f>
        <v>0.65367965367965364</v>
      </c>
      <c r="T5" s="35">
        <f>+T4/$A$4</f>
        <v>0.62578162578162577</v>
      </c>
      <c r="U5" s="35">
        <f t="shared" ref="U5:AH5" si="4">+U4/$A$4</f>
        <v>0.59692159692159696</v>
      </c>
      <c r="V5" s="35">
        <f t="shared" si="4"/>
        <v>0.60365560365560367</v>
      </c>
      <c r="W5" s="35">
        <f t="shared" si="4"/>
        <v>0.62289562289562295</v>
      </c>
      <c r="X5" s="35">
        <f t="shared" si="4"/>
        <v>0.52910052910052907</v>
      </c>
      <c r="Y5" s="35">
        <f t="shared" si="4"/>
        <v>0.62481962481962483</v>
      </c>
      <c r="Z5" s="35">
        <f t="shared" si="4"/>
        <v>0.6527176527176527</v>
      </c>
      <c r="AA5" s="35">
        <f t="shared" si="4"/>
        <v>0.68157768157768162</v>
      </c>
      <c r="AB5" s="35">
        <f t="shared" si="4"/>
        <v>0.69600769600769596</v>
      </c>
      <c r="AC5" s="35">
        <f t="shared" si="4"/>
        <v>0.66281866281866286</v>
      </c>
      <c r="AD5" s="35">
        <f t="shared" si="4"/>
        <v>0.68831168831168832</v>
      </c>
      <c r="AE5" s="35">
        <f t="shared" si="4"/>
        <v>0.56373256373256375</v>
      </c>
      <c r="AF5" s="35">
        <f t="shared" si="4"/>
        <v>0</v>
      </c>
      <c r="AG5" s="35">
        <f t="shared" si="4"/>
        <v>0</v>
      </c>
      <c r="AH5" s="35">
        <f t="shared" si="4"/>
        <v>0</v>
      </c>
      <c r="AI5" s="36">
        <f>AI4/(A4*A$1)</f>
        <v>0.56385281385281383</v>
      </c>
      <c r="AJ5" s="6"/>
    </row>
    <row r="6" spans="1:36" x14ac:dyDescent="0.3">
      <c r="A6" s="2"/>
      <c r="B6" s="33"/>
      <c r="C6" s="34" t="s">
        <v>17</v>
      </c>
      <c r="D6" s="37">
        <f>+IFERROR(D8/D4,0)</f>
        <v>77.76925531914894</v>
      </c>
      <c r="E6" s="37">
        <f t="shared" ref="E6:R6" si="5">+IFERROR(E8/E4,0)</f>
        <v>79.090828282828269</v>
      </c>
      <c r="F6" s="37">
        <f t="shared" si="5"/>
        <v>80.459650000000011</v>
      </c>
      <c r="G6" s="37">
        <f t="shared" si="5"/>
        <v>78.381754385964925</v>
      </c>
      <c r="H6" s="37">
        <f t="shared" si="5"/>
        <v>81.339299283154119</v>
      </c>
      <c r="I6" s="37">
        <f t="shared" si="5"/>
        <v>80.319156736938595</v>
      </c>
      <c r="J6" s="37">
        <f t="shared" si="5"/>
        <v>79.579986376021793</v>
      </c>
      <c r="K6" s="37">
        <f t="shared" si="5"/>
        <v>83.26760844079719</v>
      </c>
      <c r="L6" s="37">
        <f t="shared" si="5"/>
        <v>80.274127310061601</v>
      </c>
      <c r="M6" s="37">
        <f t="shared" si="5"/>
        <v>80.989753320683121</v>
      </c>
      <c r="N6" s="37">
        <f t="shared" si="5"/>
        <v>76.011237921604376</v>
      </c>
      <c r="O6" s="37">
        <f t="shared" si="5"/>
        <v>78.48006951340615</v>
      </c>
      <c r="P6" s="37">
        <f t="shared" si="5"/>
        <v>84.182512000000003</v>
      </c>
      <c r="Q6" s="37">
        <f t="shared" si="5"/>
        <v>83.950031080031067</v>
      </c>
      <c r="R6" s="37">
        <f t="shared" si="5"/>
        <v>86.697338537970197</v>
      </c>
      <c r="S6" s="37">
        <f>+IFERROR(S8/S4,0)</f>
        <v>89.046166298749071</v>
      </c>
      <c r="T6" s="37">
        <f>+IFERROR(T8/T4,0)</f>
        <v>85.87539584934666</v>
      </c>
      <c r="U6" s="37">
        <f t="shared" ref="U6:AH6" si="6">+IFERROR(U8/U4,0)</f>
        <v>86.248791297340873</v>
      </c>
      <c r="V6" s="37">
        <f t="shared" si="6"/>
        <v>89.512262948207166</v>
      </c>
      <c r="W6" s="37">
        <f t="shared" si="6"/>
        <v>86.638316602316593</v>
      </c>
      <c r="X6" s="37">
        <f t="shared" si="6"/>
        <v>79.888245454545441</v>
      </c>
      <c r="Y6" s="37">
        <f t="shared" si="6"/>
        <v>84.163425712086223</v>
      </c>
      <c r="Z6" s="37">
        <f t="shared" si="6"/>
        <v>83.444716285924841</v>
      </c>
      <c r="AA6" s="37">
        <f t="shared" si="6"/>
        <v>85.02944248412139</v>
      </c>
      <c r="AB6" s="37">
        <f t="shared" si="6"/>
        <v>83.264602626123022</v>
      </c>
      <c r="AC6" s="37">
        <f t="shared" si="6"/>
        <v>85.388301886792448</v>
      </c>
      <c r="AD6" s="37">
        <f t="shared" si="6"/>
        <v>85.259853249475896</v>
      </c>
      <c r="AE6" s="37">
        <f t="shared" si="6"/>
        <v>83.140622866894205</v>
      </c>
      <c r="AF6" s="37">
        <f t="shared" si="6"/>
        <v>0</v>
      </c>
      <c r="AG6" s="37">
        <f t="shared" si="6"/>
        <v>0</v>
      </c>
      <c r="AH6" s="37">
        <f t="shared" si="6"/>
        <v>0</v>
      </c>
      <c r="AI6" s="38">
        <f>AI8/AI4</f>
        <v>83.169693081071216</v>
      </c>
      <c r="AJ6" s="6"/>
    </row>
    <row r="7" spans="1:36" x14ac:dyDescent="0.3">
      <c r="A7" s="2"/>
      <c r="B7" s="33"/>
      <c r="C7" s="34" t="s">
        <v>18</v>
      </c>
      <c r="D7" s="37">
        <f>+IFERROR(D6*D5,0)</f>
        <v>35.162626262626262</v>
      </c>
      <c r="E7" s="37">
        <f t="shared" ref="E7:R7" si="7">+IFERROR(E6*E5,0)</f>
        <v>37.662299182299172</v>
      </c>
      <c r="F7" s="37">
        <f t="shared" si="7"/>
        <v>38.701130351130352</v>
      </c>
      <c r="G7" s="37">
        <f t="shared" si="7"/>
        <v>36.532910052910061</v>
      </c>
      <c r="H7" s="37">
        <f t="shared" si="7"/>
        <v>43.662654160654164</v>
      </c>
      <c r="I7" s="37">
        <f t="shared" si="7"/>
        <v>42.149206349206352</v>
      </c>
      <c r="J7" s="37">
        <f t="shared" si="7"/>
        <v>28.096060606060604</v>
      </c>
      <c r="K7" s="37">
        <f t="shared" si="7"/>
        <v>34.16415103415104</v>
      </c>
      <c r="L7" s="37">
        <f t="shared" si="7"/>
        <v>37.607984607984612</v>
      </c>
      <c r="M7" s="37">
        <f t="shared" si="7"/>
        <v>41.059740259740266</v>
      </c>
      <c r="N7" s="37">
        <f t="shared" si="7"/>
        <v>40.107901875901874</v>
      </c>
      <c r="O7" s="37">
        <f t="shared" si="7"/>
        <v>38.013193843193839</v>
      </c>
      <c r="P7" s="37">
        <f t="shared" si="7"/>
        <v>50.614785954785958</v>
      </c>
      <c r="Q7" s="37">
        <f t="shared" si="7"/>
        <v>51.969066859066849</v>
      </c>
      <c r="R7" s="37">
        <f t="shared" si="7"/>
        <v>58.757359307359309</v>
      </c>
      <c r="S7" s="37">
        <f>+IFERROR(S6*S5,0)</f>
        <v>58.207667147667138</v>
      </c>
      <c r="T7" s="37">
        <f>+IFERROR(T6*T5,0)</f>
        <v>53.739244829244832</v>
      </c>
      <c r="U7" s="37">
        <f t="shared" ref="U7:AH7" si="8">+IFERROR(U6*U5,0)</f>
        <v>51.483766233766247</v>
      </c>
      <c r="V7" s="37">
        <f t="shared" si="8"/>
        <v>54.034579124579125</v>
      </c>
      <c r="W7" s="37">
        <f t="shared" si="8"/>
        <v>53.966628186628185</v>
      </c>
      <c r="X7" s="37">
        <f t="shared" si="8"/>
        <v>42.268912938912926</v>
      </c>
      <c r="Y7" s="37">
        <f t="shared" si="8"/>
        <v>52.586960076960082</v>
      </c>
      <c r="Z7" s="37">
        <f t="shared" si="8"/>
        <v>54.465839345839349</v>
      </c>
      <c r="AA7" s="37">
        <f t="shared" si="8"/>
        <v>57.954170274170281</v>
      </c>
      <c r="AB7" s="37">
        <f t="shared" si="8"/>
        <v>57.952804232804233</v>
      </c>
      <c r="AC7" s="37">
        <f t="shared" si="8"/>
        <v>56.59696007696008</v>
      </c>
      <c r="AD7" s="37">
        <f t="shared" si="8"/>
        <v>58.685353535353542</v>
      </c>
      <c r="AE7" s="37">
        <f t="shared" si="8"/>
        <v>46.869076479076483</v>
      </c>
      <c r="AF7" s="37">
        <f t="shared" si="8"/>
        <v>0</v>
      </c>
      <c r="AG7" s="37">
        <f t="shared" si="8"/>
        <v>0</v>
      </c>
      <c r="AH7" s="37">
        <f t="shared" si="8"/>
        <v>0</v>
      </c>
      <c r="AI7" s="38">
        <f>AI6*AI5</f>
        <v>46.895465471036907</v>
      </c>
      <c r="AJ7" s="6"/>
    </row>
    <row r="8" spans="1:36" x14ac:dyDescent="0.3">
      <c r="A8" s="2"/>
      <c r="B8" s="33"/>
      <c r="C8" s="34" t="s">
        <v>19</v>
      </c>
      <c r="D8" s="20">
        <f>+IFERROR(D14+D20+D27+D33+D39+D45+D53+D62+D67+D73+D79+D85+D91+D97+D103+D109+D121,0)</f>
        <v>73103.100000000006</v>
      </c>
      <c r="E8" s="20">
        <f t="shared" ref="E8:R8" si="9">+IFERROR(E14+E20+E27+E33+E39+E45+E53+E62+E67+E73+E79+E85+E91+E97+E103+E109+E121,0)</f>
        <v>78299.919999999984</v>
      </c>
      <c r="F8" s="20">
        <f t="shared" si="9"/>
        <v>80459.650000000009</v>
      </c>
      <c r="G8" s="20">
        <f t="shared" si="9"/>
        <v>75951.920000000013</v>
      </c>
      <c r="H8" s="20">
        <f t="shared" si="9"/>
        <v>90774.657999999996</v>
      </c>
      <c r="I8" s="20">
        <f t="shared" si="9"/>
        <v>87628.200000000012</v>
      </c>
      <c r="J8" s="20">
        <f t="shared" si="9"/>
        <v>58411.709999999992</v>
      </c>
      <c r="K8" s="20">
        <f t="shared" si="9"/>
        <v>71027.27</v>
      </c>
      <c r="L8" s="20">
        <f t="shared" si="9"/>
        <v>78187</v>
      </c>
      <c r="M8" s="20">
        <f t="shared" si="9"/>
        <v>85363.200000000012</v>
      </c>
      <c r="N8" s="20">
        <f t="shared" si="9"/>
        <v>83384.327999999994</v>
      </c>
      <c r="O8" s="20">
        <f t="shared" si="9"/>
        <v>79029.429999999993</v>
      </c>
      <c r="P8" s="20">
        <f t="shared" si="9"/>
        <v>105228.14</v>
      </c>
      <c r="Q8" s="20">
        <f t="shared" si="9"/>
        <v>108043.68999999999</v>
      </c>
      <c r="R8" s="20">
        <f t="shared" si="9"/>
        <v>122156.55</v>
      </c>
      <c r="S8" s="20">
        <f>+IFERROR(S14+S20+S27+S33+S39+S45+S53+S62+S67+S73+S79+S85+S91+S97+S103+S109+S121,0)</f>
        <v>121013.73999999999</v>
      </c>
      <c r="T8" s="20">
        <f>+IFERROR(T14+T20+T27+T33+T39+T45+T53+T62+T67+T73+T79+T85+T91+T97+T103+T109+T121,0)</f>
        <v>111723.89</v>
      </c>
      <c r="U8" s="20">
        <f>U14+U20+U27+U33+U39+U45+U53+U62+U67+U73+U79+U85+U91+U97+U103+U109+U121</f>
        <v>107034.75000000001</v>
      </c>
      <c r="V8" s="20">
        <f>+IFERROR(V14+V20+V27+V33+V39+V45+V53+V62+V67+V73+V79+V85+V91+V97+V103+V109+V121,0)</f>
        <v>112337.89</v>
      </c>
      <c r="W8" s="20">
        <f>+IFERROR(V14+W20+W27+W33+W39+W45+W53+W62+W67+W73+W79+W85+W91+W97+W103+W109+W121,0)</f>
        <v>112196.62</v>
      </c>
      <c r="X8" s="20">
        <f>+IFERROR(W14+X20+X27+X33+X39+X45+X53+X62+X67+X73+X79+X85+X91+X97+X103+X109+X121,0)</f>
        <v>87877.069999999978</v>
      </c>
      <c r="Y8" s="20">
        <f>+IFERROR(X14+Y20+Y27+Y33+Y39+Y45+Y53+Y62+Y67+Y73+Y79+Y85+Y91+Y97+Y103+Y109+Y121,0)</f>
        <v>109328.29000000001</v>
      </c>
      <c r="Z8" s="20">
        <f>+IFERROR(Z14+Z20+Z27+Z33+Z39+Z45+Z53+Z62+Z67+Z73+Z79+Z85+Z91+Z97+Z103+Z109+Z121+Z115,0)</f>
        <v>113234.48000000001</v>
      </c>
      <c r="AA8" s="20">
        <f>+IFERROR(AA14+AA20+AA27+AA33+AA39+AA45+AA53+AA62+AA67+AA73+AA79+AA85+AA91+AA97+AA103+AA109+AA115+AA121,0)</f>
        <v>120486.72</v>
      </c>
      <c r="AB8" s="20">
        <f>+IFERROR(AB14+AB20+AB27+AB33+AB39+AB45+AB53+AB62+AB67+AB73+AB79+AB85+AB91+AB97+AB103+AB109+AB115+AB121,0)</f>
        <v>120483.88</v>
      </c>
      <c r="AC8" s="20">
        <f t="shared" ref="AC8:AH8" si="10">+IFERROR(AC14+AC20+AC27+AC33+AC39+AC45+AC53+AC62+AC67+AC73+AC79+AC85+AC91+AC97+AC103+AC109+AC121,0)</f>
        <v>117665.07999999999</v>
      </c>
      <c r="AD8" s="20">
        <f t="shared" si="10"/>
        <v>122006.85</v>
      </c>
      <c r="AE8" s="20">
        <f t="shared" si="10"/>
        <v>97440.810000000012</v>
      </c>
      <c r="AF8" s="20">
        <f t="shared" si="10"/>
        <v>0</v>
      </c>
      <c r="AG8" s="20">
        <f t="shared" si="10"/>
        <v>0</v>
      </c>
      <c r="AH8" s="20">
        <f t="shared" si="10"/>
        <v>0</v>
      </c>
      <c r="AI8" s="39">
        <f>SUM(D8:AH8)</f>
        <v>2729878.8360000006</v>
      </c>
      <c r="AJ8" s="6"/>
    </row>
    <row r="9" spans="1:36" ht="15" thickBot="1" x14ac:dyDescent="0.35">
      <c r="A9" s="23"/>
      <c r="B9" s="48"/>
      <c r="C9" s="41" t="s">
        <v>20</v>
      </c>
      <c r="D9" s="49">
        <f>IFERROR(AVERAGE(D15,D21,D28,D34,D40,D46,D56,D68,D74,D80,D86,D92,D98,D104,D110,D122),0)</f>
        <v>0.28488602092156012</v>
      </c>
      <c r="E9" s="49">
        <f t="shared" ref="E9:T9" si="11">IFERROR(AVERAGE(E15,E21,E28,E34,E40,E46,E56,E68,E74,E80,E86,E92,E98,E104,E110,E122),0)</f>
        <v>0.27386686325307646</v>
      </c>
      <c r="F9" s="49">
        <f t="shared" si="11"/>
        <v>0.26242865868300075</v>
      </c>
      <c r="G9" s="49">
        <f t="shared" si="11"/>
        <v>0.28727549158504423</v>
      </c>
      <c r="H9" s="49">
        <f t="shared" si="11"/>
        <v>0.21889726039924728</v>
      </c>
      <c r="I9" s="49">
        <f t="shared" si="11"/>
        <v>0.1439072630314607</v>
      </c>
      <c r="J9" s="49">
        <f t="shared" si="11"/>
        <v>0.2526835207611659</v>
      </c>
      <c r="K9" s="49">
        <f t="shared" si="11"/>
        <v>0.31634818524188268</v>
      </c>
      <c r="L9" s="49">
        <f t="shared" si="11"/>
        <v>0.24536337869229258</v>
      </c>
      <c r="M9" s="49">
        <f t="shared" si="11"/>
        <v>0.22469224230410872</v>
      </c>
      <c r="N9" s="49">
        <f t="shared" si="11"/>
        <v>0.22942437272612426</v>
      </c>
      <c r="O9" s="49">
        <f t="shared" si="11"/>
        <v>0.21790932987745387</v>
      </c>
      <c r="P9" s="49">
        <f t="shared" si="11"/>
        <v>0.12319210193101823</v>
      </c>
      <c r="Q9" s="49">
        <f t="shared" si="11"/>
        <v>0.10027072791989909</v>
      </c>
      <c r="R9" s="49">
        <f t="shared" si="11"/>
        <v>7.3300576387439337E-2</v>
      </c>
      <c r="S9" s="49">
        <f t="shared" si="11"/>
        <v>0.13070016941163112</v>
      </c>
      <c r="T9" s="49">
        <f t="shared" si="11"/>
        <v>0.26470828417812498</v>
      </c>
      <c r="U9" s="49">
        <f t="shared" ref="U9:AH9" si="12">IFERROR(AVERAGE(U15,U21,U28,U34,U40,U46,U56,U68,U74,U80,U86,U92,U98,U104,U110,U122),0)</f>
        <v>0.61112802152796608</v>
      </c>
      <c r="V9" s="49">
        <f t="shared" si="12"/>
        <v>0.24874851121349939</v>
      </c>
      <c r="W9" s="49">
        <f t="shared" si="12"/>
        <v>0.59628572697212312</v>
      </c>
      <c r="X9" s="49">
        <f t="shared" si="12"/>
        <v>0.21137934399577388</v>
      </c>
      <c r="Y9" s="49">
        <f t="shared" si="12"/>
        <v>0.2236961706223739</v>
      </c>
      <c r="Z9" s="49">
        <f>IFERROR(AVERAGE(Z15,Z21,Z28,Z34,Z40,Z46,Z56,Z68,Z74,Z80,Z86,Z92,Z98,Z104,Z110,Z115,Z122),0)</f>
        <v>70.568525928415426</v>
      </c>
      <c r="AA9" s="49">
        <f>IFERROR(AVERAGE(AA15,AA21,AA28,AA34,AA40,AA46,AA56,AA68,AA74,AA80,AA86,AA92,AA98,AA104,AA110,AA116,AA122),0)</f>
        <v>0.15532202298949704</v>
      </c>
      <c r="AB9" s="49">
        <f>IFERROR(AVERAGE(AB15,AB22,AB28,AB34,AB40,AB46,AB56,AB68,AB74,AB80,AB86,AB92,AB98,AB104,AB110,AB116,AB122),0)</f>
        <v>0.18276803366840283</v>
      </c>
      <c r="AC9" s="49">
        <f>IFERROR(AVERAGE(AC15,AC22,AC28,AC34,AC40,AC46,AC56,AC68,AC74,AC80,AC86,AC92,AC98,AC104,AC110,AC116,AC122),0)</f>
        <v>0.15486826635071177</v>
      </c>
      <c r="AD9" s="49">
        <f>IFERROR(AVERAGE(AD15,AD22,AD28,AD34,AD40,AD46,AD56,AD68,AD74,AD80,AD86,AD92,AD98,AD104,AD110,AD116,AD122),0)</f>
        <v>9.3959410313166944E-2</v>
      </c>
      <c r="AE9" s="49">
        <f>IFERROR(AVERAGE(AE15,AE22,AE28,AE34,AE40,AE46,AE56,AE68,AE74,AE80,AE86,AE92,AE98,AE104,AE110,AE116,AE122),0)</f>
        <v>7.4341517799244083E-2</v>
      </c>
      <c r="AF9" s="49">
        <f t="shared" si="12"/>
        <v>0</v>
      </c>
      <c r="AG9" s="49">
        <f t="shared" si="12"/>
        <v>0</v>
      </c>
      <c r="AH9" s="49">
        <f t="shared" si="12"/>
        <v>0</v>
      </c>
      <c r="AI9" s="51">
        <f>AVERAGE(D9:AE9)</f>
        <v>2.7418170500418824</v>
      </c>
      <c r="AJ9" s="6"/>
    </row>
    <row r="10" spans="1:36" ht="15" thickTop="1" x14ac:dyDescent="0.3">
      <c r="A10" s="2">
        <v>103</v>
      </c>
      <c r="B10" s="9" t="s">
        <v>21</v>
      </c>
      <c r="C10" s="10" t="s">
        <v>15</v>
      </c>
      <c r="D10" s="11">
        <v>74</v>
      </c>
      <c r="E10" s="12">
        <v>79</v>
      </c>
      <c r="F10" s="12">
        <v>81</v>
      </c>
      <c r="G10" s="12">
        <v>71</v>
      </c>
      <c r="H10" s="12">
        <v>73</v>
      </c>
      <c r="I10" s="12">
        <v>77</v>
      </c>
      <c r="J10" s="12">
        <v>73</v>
      </c>
      <c r="K10" s="12">
        <v>92</v>
      </c>
      <c r="L10" s="12">
        <v>94</v>
      </c>
      <c r="M10" s="12">
        <v>92</v>
      </c>
      <c r="N10" s="12">
        <v>82</v>
      </c>
      <c r="O10" s="12">
        <v>71</v>
      </c>
      <c r="P10" s="12">
        <v>91</v>
      </c>
      <c r="Q10" s="12">
        <v>82</v>
      </c>
      <c r="R10" s="12">
        <v>92</v>
      </c>
      <c r="S10" s="12">
        <v>85</v>
      </c>
      <c r="T10" s="12">
        <v>81</v>
      </c>
      <c r="U10" s="12">
        <v>81</v>
      </c>
      <c r="V10" s="54">
        <v>97</v>
      </c>
      <c r="W10" s="54">
        <v>84</v>
      </c>
      <c r="X10" s="54">
        <v>85</v>
      </c>
      <c r="Y10" s="54">
        <v>101</v>
      </c>
      <c r="Z10" s="88">
        <v>101</v>
      </c>
      <c r="AA10" s="12">
        <v>100</v>
      </c>
      <c r="AB10" s="12">
        <v>98</v>
      </c>
      <c r="AC10" s="12">
        <v>101</v>
      </c>
      <c r="AD10" s="12">
        <v>100</v>
      </c>
      <c r="AE10" s="12">
        <v>89</v>
      </c>
      <c r="AF10" s="12"/>
      <c r="AG10" s="12"/>
      <c r="AH10" s="12"/>
      <c r="AI10" s="13">
        <f>SUM(D10:AH10)</f>
        <v>2427</v>
      </c>
      <c r="AJ10" s="6"/>
    </row>
    <row r="11" spans="1:36" x14ac:dyDescent="0.3">
      <c r="A11" s="2"/>
      <c r="B11" s="14"/>
      <c r="C11" s="15" t="s">
        <v>16</v>
      </c>
      <c r="D11" s="16">
        <f>+D10/$A10</f>
        <v>0.71844660194174759</v>
      </c>
      <c r="E11" s="16">
        <f t="shared" ref="E11:AE11" si="13">+E10/$A10</f>
        <v>0.76699029126213591</v>
      </c>
      <c r="F11" s="16">
        <f t="shared" si="13"/>
        <v>0.78640776699029125</v>
      </c>
      <c r="G11" s="16">
        <f t="shared" si="13"/>
        <v>0.68932038834951459</v>
      </c>
      <c r="H11" s="16">
        <f t="shared" si="13"/>
        <v>0.70873786407766992</v>
      </c>
      <c r="I11" s="16">
        <f t="shared" si="13"/>
        <v>0.74757281553398058</v>
      </c>
      <c r="J11" s="16">
        <f t="shared" si="13"/>
        <v>0.70873786407766992</v>
      </c>
      <c r="K11" s="16">
        <f t="shared" si="13"/>
        <v>0.89320388349514568</v>
      </c>
      <c r="L11" s="16">
        <f t="shared" si="13"/>
        <v>0.91262135922330101</v>
      </c>
      <c r="M11" s="16">
        <f t="shared" si="13"/>
        <v>0.89320388349514568</v>
      </c>
      <c r="N11" s="16">
        <f t="shared" si="13"/>
        <v>0.79611650485436891</v>
      </c>
      <c r="O11" s="16">
        <f t="shared" si="13"/>
        <v>0.68932038834951459</v>
      </c>
      <c r="P11" s="16">
        <f t="shared" si="13"/>
        <v>0.88349514563106801</v>
      </c>
      <c r="Q11" s="16">
        <f t="shared" si="13"/>
        <v>0.79611650485436891</v>
      </c>
      <c r="R11" s="16">
        <f t="shared" si="13"/>
        <v>0.89320388349514568</v>
      </c>
      <c r="S11" s="16">
        <f t="shared" si="13"/>
        <v>0.82524271844660191</v>
      </c>
      <c r="T11" s="16">
        <f t="shared" si="13"/>
        <v>0.78640776699029125</v>
      </c>
      <c r="U11" s="16">
        <f t="shared" si="13"/>
        <v>0.78640776699029125</v>
      </c>
      <c r="V11" s="98">
        <f t="shared" ref="V11:AD11" si="14">+V10/$A10</f>
        <v>0.94174757281553401</v>
      </c>
      <c r="W11" s="98">
        <f t="shared" si="14"/>
        <v>0.81553398058252424</v>
      </c>
      <c r="X11" s="98">
        <f t="shared" si="14"/>
        <v>0.82524271844660191</v>
      </c>
      <c r="Y11" s="98">
        <f t="shared" si="14"/>
        <v>0.98058252427184467</v>
      </c>
      <c r="Z11" s="98">
        <f t="shared" si="14"/>
        <v>0.98058252427184467</v>
      </c>
      <c r="AA11" s="98">
        <f t="shared" si="14"/>
        <v>0.970873786407767</v>
      </c>
      <c r="AB11" s="98">
        <f t="shared" si="14"/>
        <v>0.95145631067961167</v>
      </c>
      <c r="AC11" s="98">
        <f t="shared" si="14"/>
        <v>0.98058252427184467</v>
      </c>
      <c r="AD11" s="98">
        <f t="shared" si="14"/>
        <v>0.970873786407767</v>
      </c>
      <c r="AE11" s="16">
        <f t="shared" si="13"/>
        <v>0.86407766990291257</v>
      </c>
      <c r="AF11" s="16"/>
      <c r="AG11" s="16"/>
      <c r="AH11" s="16"/>
      <c r="AI11" s="17">
        <f>+AI10/(A10*A$1)</f>
        <v>0.84153952843273228</v>
      </c>
      <c r="AJ11" s="6"/>
    </row>
    <row r="12" spans="1:36" x14ac:dyDescent="0.3">
      <c r="A12" s="2"/>
      <c r="B12" s="14"/>
      <c r="C12" s="15" t="s">
        <v>17</v>
      </c>
      <c r="D12" s="18">
        <f t="shared" ref="D12:AE12" si="15">+IFERROR(D14/D10,0)</f>
        <v>97.984324324324319</v>
      </c>
      <c r="E12" s="18">
        <f t="shared" si="15"/>
        <v>97.813164556962022</v>
      </c>
      <c r="F12" s="18">
        <f t="shared" si="15"/>
        <v>96.264814814814812</v>
      </c>
      <c r="G12" s="18">
        <f t="shared" si="15"/>
        <v>92.532676056338019</v>
      </c>
      <c r="H12" s="18">
        <f t="shared" si="15"/>
        <v>90.934246575342456</v>
      </c>
      <c r="I12" s="18">
        <f t="shared" si="15"/>
        <v>94.49974025974025</v>
      </c>
      <c r="J12" s="18">
        <f t="shared" si="15"/>
        <v>99.89260273972603</v>
      </c>
      <c r="K12" s="18">
        <f t="shared" si="15"/>
        <v>100.77228260869565</v>
      </c>
      <c r="L12" s="18">
        <f t="shared" si="15"/>
        <v>100.69968085106383</v>
      </c>
      <c r="M12" s="18">
        <f t="shared" si="15"/>
        <v>100.26152173913043</v>
      </c>
      <c r="N12" s="18">
        <f t="shared" si="15"/>
        <v>75.731707317073173</v>
      </c>
      <c r="O12" s="18">
        <f t="shared" si="15"/>
        <v>92.727887323943662</v>
      </c>
      <c r="P12" s="18">
        <f t="shared" si="15"/>
        <v>93.166703296703304</v>
      </c>
      <c r="Q12" s="18">
        <f t="shared" si="15"/>
        <v>94.910487804878045</v>
      </c>
      <c r="R12" s="18">
        <f t="shared" si="15"/>
        <v>96.658586956521745</v>
      </c>
      <c r="S12" s="18">
        <f t="shared" si="15"/>
        <v>95.999294117647054</v>
      </c>
      <c r="T12" s="18">
        <f t="shared" si="15"/>
        <v>98.885925925925932</v>
      </c>
      <c r="U12" s="18">
        <f t="shared" si="15"/>
        <v>98.885925925925932</v>
      </c>
      <c r="V12" s="99">
        <f t="shared" ref="V12:AD12" si="16">+IFERROR(V14/V10,0)</f>
        <v>102.82876288659793</v>
      </c>
      <c r="W12" s="99">
        <f t="shared" si="16"/>
        <v>95.5625</v>
      </c>
      <c r="X12" s="99">
        <f t="shared" si="16"/>
        <v>102.61752941176471</v>
      </c>
      <c r="Y12" s="99">
        <f t="shared" si="16"/>
        <v>101.99158415841583</v>
      </c>
      <c r="Z12" s="99">
        <f t="shared" si="16"/>
        <v>102.43613861386137</v>
      </c>
      <c r="AA12" s="99">
        <f t="shared" si="16"/>
        <v>102.33850000000001</v>
      </c>
      <c r="AB12" s="99">
        <f t="shared" si="16"/>
        <v>105.41561224489796</v>
      </c>
      <c r="AC12" s="99">
        <f t="shared" si="16"/>
        <v>101.24534653465348</v>
      </c>
      <c r="AD12" s="99">
        <f t="shared" si="16"/>
        <v>99.836500000000001</v>
      </c>
      <c r="AE12" s="18">
        <f t="shared" si="15"/>
        <v>104.47134831460674</v>
      </c>
      <c r="AF12" s="18"/>
      <c r="AG12" s="18"/>
      <c r="AH12" s="18"/>
      <c r="AI12" s="19">
        <f>+AI14/AI10</f>
        <v>98.097618459002888</v>
      </c>
      <c r="AJ12" s="6"/>
    </row>
    <row r="13" spans="1:36" x14ac:dyDescent="0.3">
      <c r="A13" s="2"/>
      <c r="B13" s="14"/>
      <c r="C13" s="15" t="s">
        <v>18</v>
      </c>
      <c r="D13" s="18">
        <f>+D11*D12</f>
        <v>70.396504854368928</v>
      </c>
      <c r="E13" s="18">
        <f t="shared" ref="E13:AE13" si="17">+E11*E12</f>
        <v>75.021747572815528</v>
      </c>
      <c r="F13" s="18">
        <f t="shared" si="17"/>
        <v>75.703398058252418</v>
      </c>
      <c r="G13" s="18">
        <f t="shared" si="17"/>
        <v>63.784660194174755</v>
      </c>
      <c r="H13" s="18">
        <f t="shared" si="17"/>
        <v>64.448543689320388</v>
      </c>
      <c r="I13" s="18">
        <f t="shared" si="17"/>
        <v>70.645436893203879</v>
      </c>
      <c r="J13" s="18">
        <f t="shared" si="17"/>
        <v>70.797669902912631</v>
      </c>
      <c r="K13" s="18">
        <f t="shared" si="17"/>
        <v>90.010194174757288</v>
      </c>
      <c r="L13" s="18">
        <f t="shared" si="17"/>
        <v>91.900679611650489</v>
      </c>
      <c r="M13" s="18">
        <f t="shared" si="17"/>
        <v>89.553980582524275</v>
      </c>
      <c r="N13" s="18">
        <f t="shared" si="17"/>
        <v>60.291262135922331</v>
      </c>
      <c r="O13" s="18">
        <f t="shared" si="17"/>
        <v>63.919223300970877</v>
      </c>
      <c r="P13" s="18">
        <f t="shared" si="17"/>
        <v>82.312330097087383</v>
      </c>
      <c r="Q13" s="18">
        <f t="shared" si="17"/>
        <v>75.559805825242719</v>
      </c>
      <c r="R13" s="18">
        <f t="shared" si="17"/>
        <v>86.335825242718457</v>
      </c>
      <c r="S13" s="18">
        <f t="shared" si="17"/>
        <v>79.222718446601931</v>
      </c>
      <c r="T13" s="18">
        <f t="shared" si="17"/>
        <v>77.764660194174766</v>
      </c>
      <c r="U13" s="18">
        <f t="shared" si="17"/>
        <v>77.764660194174766</v>
      </c>
      <c r="V13" s="99">
        <f t="shared" ref="V13:AD13" si="18">+V11*V12</f>
        <v>96.838737864077657</v>
      </c>
      <c r="W13" s="99">
        <f t="shared" si="18"/>
        <v>77.934466019417471</v>
      </c>
      <c r="X13" s="99">
        <f t="shared" si="18"/>
        <v>84.684368932038836</v>
      </c>
      <c r="Y13" s="99">
        <f t="shared" si="18"/>
        <v>100.01116504854369</v>
      </c>
      <c r="Z13" s="99">
        <f t="shared" si="18"/>
        <v>100.44708737864076</v>
      </c>
      <c r="AA13" s="99">
        <f t="shared" si="18"/>
        <v>99.357766990291267</v>
      </c>
      <c r="AB13" s="99">
        <f t="shared" si="18"/>
        <v>100.29834951456311</v>
      </c>
      <c r="AC13" s="99">
        <f t="shared" si="18"/>
        <v>99.279417475728167</v>
      </c>
      <c r="AD13" s="99">
        <f t="shared" si="18"/>
        <v>96.928640776699027</v>
      </c>
      <c r="AE13" s="18">
        <f t="shared" si="17"/>
        <v>90.271359223300962</v>
      </c>
      <c r="AF13" s="18"/>
      <c r="AG13" s="18"/>
      <c r="AH13" s="18"/>
      <c r="AI13" s="19">
        <f>+AI12*AI11</f>
        <v>82.55302357836338</v>
      </c>
      <c r="AJ13" s="6"/>
    </row>
    <row r="14" spans="1:36" x14ac:dyDescent="0.3">
      <c r="A14" s="2"/>
      <c r="B14" s="14"/>
      <c r="C14" s="15" t="s">
        <v>19</v>
      </c>
      <c r="D14" s="20">
        <v>7250.84</v>
      </c>
      <c r="E14" s="21">
        <v>7727.24</v>
      </c>
      <c r="F14" s="21">
        <v>7797.45</v>
      </c>
      <c r="G14" s="21">
        <v>6569.82</v>
      </c>
      <c r="H14" s="21">
        <v>6638.2</v>
      </c>
      <c r="I14" s="21">
        <v>7276.48</v>
      </c>
      <c r="J14" s="21">
        <v>7292.16</v>
      </c>
      <c r="K14" s="21">
        <v>9271.0499999999993</v>
      </c>
      <c r="L14" s="21">
        <v>9465.77</v>
      </c>
      <c r="M14" s="21">
        <v>9224.06</v>
      </c>
      <c r="N14" s="21">
        <v>6210</v>
      </c>
      <c r="O14" s="21">
        <v>6583.68</v>
      </c>
      <c r="P14" s="21">
        <v>8478.17</v>
      </c>
      <c r="Q14" s="21">
        <v>7782.66</v>
      </c>
      <c r="R14" s="21">
        <v>8892.59</v>
      </c>
      <c r="S14" s="21">
        <v>8159.94</v>
      </c>
      <c r="T14" s="21">
        <v>8009.76</v>
      </c>
      <c r="U14" s="21">
        <v>8009.76</v>
      </c>
      <c r="V14" s="100">
        <v>9974.39</v>
      </c>
      <c r="W14" s="100">
        <v>8027.25</v>
      </c>
      <c r="X14" s="100">
        <v>8722.49</v>
      </c>
      <c r="Y14" s="100">
        <v>10301.15</v>
      </c>
      <c r="Z14" s="114">
        <v>10346.049999999999</v>
      </c>
      <c r="AA14" s="21">
        <v>10233.85</v>
      </c>
      <c r="AB14" s="21">
        <v>10330.73</v>
      </c>
      <c r="AC14" s="21">
        <v>10225.780000000001</v>
      </c>
      <c r="AD14" s="21">
        <v>9983.65</v>
      </c>
      <c r="AE14" s="21">
        <v>9297.9500000000007</v>
      </c>
      <c r="AF14" s="21"/>
      <c r="AG14" s="21"/>
      <c r="AH14" s="21"/>
      <c r="AI14" s="22">
        <f>SUM(D14:AH14)</f>
        <v>238082.92</v>
      </c>
      <c r="AJ14" s="6"/>
    </row>
    <row r="15" spans="1:36" ht="15" thickBot="1" x14ac:dyDescent="0.35">
      <c r="A15" s="23"/>
      <c r="B15" s="24"/>
      <c r="C15" s="15" t="s">
        <v>20</v>
      </c>
      <c r="D15" s="25">
        <f>1394.09/D14</f>
        <v>0.19226599952557219</v>
      </c>
      <c r="E15" s="26">
        <f>1342.76/E14</f>
        <v>0.17376967714216202</v>
      </c>
      <c r="F15" s="26">
        <f>1095.1/F14</f>
        <v>0.14044335006957401</v>
      </c>
      <c r="G15" s="26">
        <f>1513.84/G14</f>
        <v>0.23042336015294179</v>
      </c>
      <c r="H15" s="26">
        <f>1446.98/H14</f>
        <v>0.21797776505679251</v>
      </c>
      <c r="I15" s="26">
        <f>742.42/I14</f>
        <v>0.10203010246712696</v>
      </c>
      <c r="J15" s="26">
        <f>727.21/J14</f>
        <v>9.9724910040372136E-2</v>
      </c>
      <c r="K15" s="26">
        <f>1387.72/K14</f>
        <v>0.1496831534723683</v>
      </c>
      <c r="L15" s="26">
        <f>1176.96/L14</f>
        <v>0.12433853769952154</v>
      </c>
      <c r="M15" s="26">
        <f>1124.08/M14</f>
        <v>0.12186390808385895</v>
      </c>
      <c r="N15" s="26">
        <f>1121.56/N14</f>
        <v>0.18060547504025765</v>
      </c>
      <c r="O15" s="26">
        <f>1387.17/O14</f>
        <v>0.21069827209098863</v>
      </c>
      <c r="P15" s="26">
        <f>785.37/P14</f>
        <v>9.2634377465891815E-2</v>
      </c>
      <c r="Q15" s="26">
        <f>1064.64/Q14</f>
        <v>0.13679641664932043</v>
      </c>
      <c r="R15" s="26">
        <f>1156.46/R14</f>
        <v>0.13004760142995461</v>
      </c>
      <c r="S15" s="26">
        <f>1090.37/S14</f>
        <v>0.13362475704478219</v>
      </c>
      <c r="T15" s="26">
        <f>1259.88/T14</f>
        <v>0.15729310241505365</v>
      </c>
      <c r="U15" s="26">
        <f>1159.8/U14</f>
        <v>0.14479834601785821</v>
      </c>
      <c r="V15" s="78">
        <f>1421.96/V14</f>
        <v>0.14256109897447364</v>
      </c>
      <c r="W15" s="78">
        <f>728.23/W14</f>
        <v>9.0719735899592022E-2</v>
      </c>
      <c r="X15" s="78">
        <f>-750.7/X14</f>
        <v>-8.6064873677126605E-2</v>
      </c>
      <c r="Y15" s="78">
        <f>1339.2/Y14</f>
        <v>0.1300049023652699</v>
      </c>
      <c r="Z15" s="78">
        <f>1035.49/Z14</f>
        <v>0.1000855398920361</v>
      </c>
      <c r="AA15" s="26">
        <f>1052.92/AA14</f>
        <v>0.10288601064115656</v>
      </c>
      <c r="AB15" s="26">
        <f>1187.63/AB14</f>
        <v>0.11496089821338862</v>
      </c>
      <c r="AC15" s="26">
        <f>1061.18/AC14</f>
        <v>0.10377496875543968</v>
      </c>
      <c r="AD15" s="26">
        <f>634.71/AD14</f>
        <v>6.3574945035132446E-2</v>
      </c>
      <c r="AE15" s="26">
        <f>631.52/AE14</f>
        <v>6.7920348033706349E-2</v>
      </c>
      <c r="AF15" s="26"/>
      <c r="AG15" s="26"/>
      <c r="AH15" s="26"/>
      <c r="AI15" s="27">
        <f>AVERAGE(D15:AG15)</f>
        <v>0.12748009592848095</v>
      </c>
      <c r="AJ15" s="6"/>
    </row>
    <row r="16" spans="1:36" ht="15" thickTop="1" x14ac:dyDescent="0.3">
      <c r="A16" s="2">
        <v>118</v>
      </c>
      <c r="B16" s="28" t="s">
        <v>25</v>
      </c>
      <c r="C16" s="29" t="s">
        <v>15</v>
      </c>
      <c r="D16" s="30">
        <v>59</v>
      </c>
      <c r="E16" s="31">
        <v>48</v>
      </c>
      <c r="F16" s="31">
        <v>50</v>
      </c>
      <c r="G16" s="31">
        <v>64</v>
      </c>
      <c r="H16" s="31">
        <v>82</v>
      </c>
      <c r="I16" s="31">
        <v>89</v>
      </c>
      <c r="J16" s="31">
        <v>46</v>
      </c>
      <c r="K16" s="31">
        <v>51</v>
      </c>
      <c r="L16" s="31">
        <v>49</v>
      </c>
      <c r="M16" s="31">
        <v>51</v>
      </c>
      <c r="N16" s="31">
        <v>52</v>
      </c>
      <c r="O16" s="31">
        <v>52</v>
      </c>
      <c r="P16" s="31">
        <v>58</v>
      </c>
      <c r="Q16" s="31">
        <v>54</v>
      </c>
      <c r="R16" s="31">
        <v>108</v>
      </c>
      <c r="S16" s="31">
        <v>108</v>
      </c>
      <c r="T16" s="31">
        <v>108</v>
      </c>
      <c r="U16" s="31">
        <v>101</v>
      </c>
      <c r="V16" s="31">
        <v>88</v>
      </c>
      <c r="W16" s="31">
        <v>87</v>
      </c>
      <c r="X16" s="31">
        <v>84</v>
      </c>
      <c r="Y16" s="31">
        <v>100</v>
      </c>
      <c r="Z16" s="31">
        <v>103</v>
      </c>
      <c r="AA16" s="31">
        <v>104</v>
      </c>
      <c r="AB16" s="31">
        <v>105</v>
      </c>
      <c r="AC16" s="31">
        <v>112</v>
      </c>
      <c r="AD16" s="31">
        <v>115</v>
      </c>
      <c r="AE16" s="31">
        <v>101</v>
      </c>
      <c r="AF16" s="31"/>
      <c r="AG16" s="31"/>
      <c r="AH16" s="31"/>
      <c r="AI16" s="32">
        <f>SUM(D16:AH16)</f>
        <v>2229</v>
      </c>
      <c r="AJ16" s="6"/>
    </row>
    <row r="17" spans="1:36" x14ac:dyDescent="0.3">
      <c r="A17" s="2"/>
      <c r="B17" s="33"/>
      <c r="C17" s="34" t="s">
        <v>16</v>
      </c>
      <c r="D17" s="35">
        <f>+D16/$A16</f>
        <v>0.5</v>
      </c>
      <c r="E17" s="35">
        <f t="shared" ref="E17:AE17" si="19">+E16/$A16</f>
        <v>0.40677966101694918</v>
      </c>
      <c r="F17" s="35">
        <f t="shared" si="19"/>
        <v>0.42372881355932202</v>
      </c>
      <c r="G17" s="35">
        <f t="shared" si="19"/>
        <v>0.5423728813559322</v>
      </c>
      <c r="H17" s="35">
        <f t="shared" si="19"/>
        <v>0.69491525423728817</v>
      </c>
      <c r="I17" s="35">
        <f t="shared" si="19"/>
        <v>0.75423728813559321</v>
      </c>
      <c r="J17" s="35">
        <f t="shared" si="19"/>
        <v>0.38983050847457629</v>
      </c>
      <c r="K17" s="35">
        <f t="shared" si="19"/>
        <v>0.43220338983050849</v>
      </c>
      <c r="L17" s="35">
        <f t="shared" si="19"/>
        <v>0.4152542372881356</v>
      </c>
      <c r="M17" s="35">
        <f t="shared" si="19"/>
        <v>0.43220338983050849</v>
      </c>
      <c r="N17" s="35">
        <f t="shared" si="19"/>
        <v>0.44067796610169491</v>
      </c>
      <c r="O17" s="35">
        <f t="shared" si="19"/>
        <v>0.44067796610169491</v>
      </c>
      <c r="P17" s="35">
        <f t="shared" si="19"/>
        <v>0.49152542372881358</v>
      </c>
      <c r="Q17" s="35">
        <f t="shared" si="19"/>
        <v>0.4576271186440678</v>
      </c>
      <c r="R17" s="35">
        <f t="shared" si="19"/>
        <v>0.9152542372881356</v>
      </c>
      <c r="S17" s="35">
        <f t="shared" si="19"/>
        <v>0.9152542372881356</v>
      </c>
      <c r="T17" s="35">
        <f t="shared" si="19"/>
        <v>0.9152542372881356</v>
      </c>
      <c r="U17" s="35">
        <f t="shared" si="19"/>
        <v>0.85593220338983056</v>
      </c>
      <c r="V17" s="35">
        <f t="shared" si="19"/>
        <v>0.74576271186440679</v>
      </c>
      <c r="W17" s="35">
        <f t="shared" si="19"/>
        <v>0.73728813559322037</v>
      </c>
      <c r="X17" s="35">
        <f t="shared" si="19"/>
        <v>0.71186440677966101</v>
      </c>
      <c r="Y17" s="35">
        <f t="shared" si="19"/>
        <v>0.84745762711864403</v>
      </c>
      <c r="Z17" s="35">
        <f t="shared" si="19"/>
        <v>0.8728813559322034</v>
      </c>
      <c r="AA17" s="35">
        <f t="shared" si="19"/>
        <v>0.88135593220338981</v>
      </c>
      <c r="AB17" s="35">
        <f t="shared" si="19"/>
        <v>0.88983050847457623</v>
      </c>
      <c r="AC17" s="35">
        <f t="shared" si="19"/>
        <v>0.94915254237288138</v>
      </c>
      <c r="AD17" s="35">
        <f t="shared" si="19"/>
        <v>0.97457627118644063</v>
      </c>
      <c r="AE17" s="35">
        <f t="shared" si="19"/>
        <v>0.85593220338983056</v>
      </c>
      <c r="AF17" s="35"/>
      <c r="AG17" s="35"/>
      <c r="AH17" s="35"/>
      <c r="AI17" s="36">
        <f>+AI16/(A16*A$1)</f>
        <v>0.67463680387409197</v>
      </c>
      <c r="AJ17" s="6"/>
    </row>
    <row r="18" spans="1:36" x14ac:dyDescent="0.3">
      <c r="A18" s="2"/>
      <c r="B18" s="33"/>
      <c r="C18" s="34" t="s">
        <v>17</v>
      </c>
      <c r="D18" s="37">
        <f t="shared" ref="D18:AE18" si="20">+IFERROR(D20/D16,0)</f>
        <v>79.35881355932203</v>
      </c>
      <c r="E18" s="37">
        <f t="shared" si="20"/>
        <v>72.185000000000002</v>
      </c>
      <c r="F18" s="37">
        <f t="shared" si="20"/>
        <v>66.754799999999989</v>
      </c>
      <c r="G18" s="37">
        <f t="shared" si="20"/>
        <v>80.076562499999994</v>
      </c>
      <c r="H18" s="37">
        <f t="shared" si="20"/>
        <v>86.534756097560987</v>
      </c>
      <c r="I18" s="37">
        <f t="shared" si="20"/>
        <v>84.704494382022474</v>
      </c>
      <c r="J18" s="37">
        <f t="shared" si="20"/>
        <v>73.796086956521734</v>
      </c>
      <c r="K18" s="37">
        <f t="shared" si="20"/>
        <v>78.757254901960778</v>
      </c>
      <c r="L18" s="37">
        <f t="shared" si="20"/>
        <v>76.205918367346939</v>
      </c>
      <c r="M18" s="37">
        <f t="shared" si="20"/>
        <v>75.733529411764707</v>
      </c>
      <c r="N18" s="37">
        <f t="shared" si="20"/>
        <v>71.976923076923086</v>
      </c>
      <c r="O18" s="37">
        <f t="shared" si="20"/>
        <v>70.132115384615389</v>
      </c>
      <c r="P18" s="37">
        <f t="shared" si="20"/>
        <v>72.167413793103449</v>
      </c>
      <c r="Q18" s="37">
        <f t="shared" si="20"/>
        <v>73.41518518518518</v>
      </c>
      <c r="R18" s="37">
        <f t="shared" si="20"/>
        <v>77.396388888888879</v>
      </c>
      <c r="S18" s="37">
        <f t="shared" si="20"/>
        <v>82.31018518518519</v>
      </c>
      <c r="T18" s="37">
        <f t="shared" si="20"/>
        <v>83.342129629629639</v>
      </c>
      <c r="U18" s="37">
        <f t="shared" si="20"/>
        <v>78.425346534653471</v>
      </c>
      <c r="V18" s="37">
        <f t="shared" si="20"/>
        <v>86.285909090909087</v>
      </c>
      <c r="W18" s="37">
        <f t="shared" si="20"/>
        <v>86.14</v>
      </c>
      <c r="X18" s="37">
        <f t="shared" si="20"/>
        <v>78.900238095238095</v>
      </c>
      <c r="Y18" s="37">
        <f t="shared" si="20"/>
        <v>78.811000000000007</v>
      </c>
      <c r="Z18" s="37">
        <f t="shared" si="20"/>
        <v>79.028932038834952</v>
      </c>
      <c r="AA18" s="37">
        <f t="shared" si="20"/>
        <v>79.253461538461551</v>
      </c>
      <c r="AB18" s="37">
        <f t="shared" si="20"/>
        <v>79.197428571428574</v>
      </c>
      <c r="AC18" s="37">
        <f t="shared" si="20"/>
        <v>80.083214285714277</v>
      </c>
      <c r="AD18" s="37">
        <f t="shared" si="20"/>
        <v>79.828869565217389</v>
      </c>
      <c r="AE18" s="37">
        <f t="shared" si="20"/>
        <v>80.943762376237615</v>
      </c>
      <c r="AF18" s="37"/>
      <c r="AG18" s="37"/>
      <c r="AH18" s="37"/>
      <c r="AI18" s="38">
        <f>+AI20/AI16</f>
        <v>79.219869896814743</v>
      </c>
      <c r="AJ18" s="6"/>
    </row>
    <row r="19" spans="1:36" x14ac:dyDescent="0.3">
      <c r="A19" s="2"/>
      <c r="B19" s="33"/>
      <c r="C19" s="34" t="s">
        <v>18</v>
      </c>
      <c r="D19" s="37">
        <f>+D17*D18</f>
        <v>39.679406779661015</v>
      </c>
      <c r="E19" s="37">
        <f t="shared" ref="E19:AE19" si="21">+E17*E18</f>
        <v>29.363389830508478</v>
      </c>
      <c r="F19" s="37">
        <f t="shared" si="21"/>
        <v>28.285932203389823</v>
      </c>
      <c r="G19" s="37">
        <f t="shared" si="21"/>
        <v>43.431355932203388</v>
      </c>
      <c r="H19" s="37">
        <f t="shared" si="21"/>
        <v>60.134322033898314</v>
      </c>
      <c r="I19" s="37">
        <f t="shared" si="21"/>
        <v>63.887288135593224</v>
      </c>
      <c r="J19" s="37">
        <f t="shared" si="21"/>
        <v>28.767966101694913</v>
      </c>
      <c r="K19" s="37">
        <f t="shared" si="21"/>
        <v>34.039152542372882</v>
      </c>
      <c r="L19" s="37">
        <f t="shared" si="21"/>
        <v>31.644830508474577</v>
      </c>
      <c r="M19" s="37">
        <f t="shared" si="21"/>
        <v>32.732288135593222</v>
      </c>
      <c r="N19" s="37">
        <f t="shared" si="21"/>
        <v>31.718644067796614</v>
      </c>
      <c r="O19" s="37">
        <f t="shared" si="21"/>
        <v>30.905677966101695</v>
      </c>
      <c r="P19" s="37">
        <f t="shared" si="21"/>
        <v>35.472118644067798</v>
      </c>
      <c r="Q19" s="37">
        <f t="shared" si="21"/>
        <v>33.596779661016946</v>
      </c>
      <c r="R19" s="37">
        <f t="shared" si="21"/>
        <v>70.837372881355918</v>
      </c>
      <c r="S19" s="37">
        <f t="shared" si="21"/>
        <v>75.334745762711876</v>
      </c>
      <c r="T19" s="37">
        <f t="shared" si="21"/>
        <v>76.279237288135604</v>
      </c>
      <c r="U19" s="37">
        <f t="shared" si="21"/>
        <v>67.126779661016954</v>
      </c>
      <c r="V19" s="37">
        <f t="shared" si="21"/>
        <v>64.348813559322025</v>
      </c>
      <c r="W19" s="37">
        <f t="shared" si="21"/>
        <v>63.510000000000005</v>
      </c>
      <c r="X19" s="37">
        <f t="shared" si="21"/>
        <v>56.166271186440675</v>
      </c>
      <c r="Y19" s="37">
        <f t="shared" si="21"/>
        <v>66.788983050847463</v>
      </c>
      <c r="Z19" s="37">
        <f t="shared" si="21"/>
        <v>68.982881355932207</v>
      </c>
      <c r="AA19" s="37">
        <f t="shared" si="21"/>
        <v>69.850508474576287</v>
      </c>
      <c r="AB19" s="37">
        <f t="shared" si="21"/>
        <v>70.472288135593217</v>
      </c>
      <c r="AC19" s="37">
        <f t="shared" si="21"/>
        <v>76.01118644067796</v>
      </c>
      <c r="AD19" s="37">
        <f t="shared" si="21"/>
        <v>77.799322033898292</v>
      </c>
      <c r="AE19" s="37">
        <f t="shared" si="21"/>
        <v>69.282372881355926</v>
      </c>
      <c r="AF19" s="37"/>
      <c r="AG19" s="37"/>
      <c r="AH19" s="37"/>
      <c r="AI19" s="38">
        <f>+AI18*AI17</f>
        <v>53.444639830508493</v>
      </c>
      <c r="AJ19" s="6"/>
    </row>
    <row r="20" spans="1:36" x14ac:dyDescent="0.3">
      <c r="A20" s="2"/>
      <c r="B20" s="33"/>
      <c r="C20" s="34" t="s">
        <v>19</v>
      </c>
      <c r="D20" s="20">
        <v>4682.17</v>
      </c>
      <c r="E20" s="21">
        <v>3464.88</v>
      </c>
      <c r="F20" s="21">
        <v>3337.74</v>
      </c>
      <c r="G20" s="21">
        <v>5124.8999999999996</v>
      </c>
      <c r="H20" s="21">
        <v>7095.85</v>
      </c>
      <c r="I20" s="21">
        <v>7538.7</v>
      </c>
      <c r="J20" s="21">
        <v>3394.62</v>
      </c>
      <c r="K20" s="21">
        <v>4016.62</v>
      </c>
      <c r="L20" s="21">
        <v>3734.09</v>
      </c>
      <c r="M20" s="21">
        <v>3862.41</v>
      </c>
      <c r="N20" s="21">
        <v>3742.8</v>
      </c>
      <c r="O20" s="21">
        <v>3646.87</v>
      </c>
      <c r="P20" s="21">
        <v>4185.71</v>
      </c>
      <c r="Q20" s="21">
        <v>3964.42</v>
      </c>
      <c r="R20" s="21">
        <v>8358.81</v>
      </c>
      <c r="S20" s="21">
        <v>8889.5</v>
      </c>
      <c r="T20" s="21">
        <v>9000.9500000000007</v>
      </c>
      <c r="U20" s="21">
        <v>7920.96</v>
      </c>
      <c r="V20" s="21">
        <v>7593.16</v>
      </c>
      <c r="W20" s="21">
        <v>7494.18</v>
      </c>
      <c r="X20" s="21">
        <v>6627.62</v>
      </c>
      <c r="Y20" s="21">
        <v>7881.1</v>
      </c>
      <c r="Z20" s="21">
        <v>8139.98</v>
      </c>
      <c r="AA20" s="21">
        <v>8242.36</v>
      </c>
      <c r="AB20" s="21">
        <v>8315.73</v>
      </c>
      <c r="AC20" s="21">
        <v>8969.32</v>
      </c>
      <c r="AD20" s="21">
        <v>9180.32</v>
      </c>
      <c r="AE20" s="21">
        <v>8175.32</v>
      </c>
      <c r="AF20" s="21"/>
      <c r="AG20" s="21"/>
      <c r="AH20" s="21"/>
      <c r="AI20" s="39">
        <f>SUM(D20:AH20)</f>
        <v>176581.09000000005</v>
      </c>
      <c r="AJ20" s="6"/>
    </row>
    <row r="21" spans="1:36" x14ac:dyDescent="0.3">
      <c r="A21" s="23"/>
      <c r="B21" s="40"/>
      <c r="C21" s="41" t="s">
        <v>20</v>
      </c>
      <c r="D21" s="42" t="s">
        <v>81</v>
      </c>
      <c r="E21" s="43">
        <f>1064.24/E20</f>
        <v>0.30715060839047814</v>
      </c>
      <c r="F21" s="43">
        <f>909.91/F20</f>
        <v>0.27261260613468996</v>
      </c>
      <c r="G21" s="43">
        <f>1159.67/G20</f>
        <v>0.22628148841928625</v>
      </c>
      <c r="H21" s="43">
        <f>882.46/H20</f>
        <v>0.1243628317960498</v>
      </c>
      <c r="I21" s="43">
        <f>942.38/I20</f>
        <v>0.12500563757677052</v>
      </c>
      <c r="J21" s="43">
        <f>1029.76/J20</f>
        <v>0.30335059594299213</v>
      </c>
      <c r="K21" s="43">
        <f>879.62/K20</f>
        <v>0.21899507546145766</v>
      </c>
      <c r="L21" s="43">
        <f>1135.14/L20</f>
        <v>0.30399374412507468</v>
      </c>
      <c r="M21" s="43">
        <f>1026.29/M20</f>
        <v>0.26571234022281426</v>
      </c>
      <c r="N21" s="43">
        <f>1099.44/N20</f>
        <v>0.29374799615261304</v>
      </c>
      <c r="O21" s="43">
        <f>1202.76/O20</f>
        <v>0.3298061077033182</v>
      </c>
      <c r="P21" s="43">
        <f>838.38/P20</f>
        <v>0.2002957682209231</v>
      </c>
      <c r="Q21" s="43">
        <f>697.68/Q20</f>
        <v>0.17598539004444533</v>
      </c>
      <c r="R21" s="43">
        <f>734.38/R20</f>
        <v>8.7857003568689807E-2</v>
      </c>
      <c r="S21" s="43">
        <f>1346.61/S20</f>
        <v>0.1514832105292761</v>
      </c>
      <c r="T21" s="43">
        <f>1120.21/T20</f>
        <v>0.12445464089901621</v>
      </c>
      <c r="U21" s="43">
        <f>1889.27/U20</f>
        <v>0.2385152809760433</v>
      </c>
      <c r="V21" s="43">
        <f>1364.75/V20</f>
        <v>0.17973412913727618</v>
      </c>
      <c r="W21" s="43">
        <f>1023.05/W20</f>
        <v>0.13651260044461166</v>
      </c>
      <c r="X21" s="43">
        <f>1210.55/X20</f>
        <v>0.18265229448882103</v>
      </c>
      <c r="Y21" s="43">
        <f>1314.87/Y20</f>
        <v>0.16683838550456154</v>
      </c>
      <c r="Z21" s="43">
        <f>1260.86/Z20</f>
        <v>0.15489718647957365</v>
      </c>
      <c r="AA21" s="43">
        <f>1351.57/AA20</f>
        <v>0.16397852071494085</v>
      </c>
      <c r="AB21" s="43">
        <f>1186.08/AB20</f>
        <v>0.1426308934994282</v>
      </c>
      <c r="AC21" s="43">
        <f>1323.45/AC20</f>
        <v>0.14755299175411291</v>
      </c>
      <c r="AD21" s="43">
        <f>914.95/AD20</f>
        <v>9.9664281855098735E-2</v>
      </c>
      <c r="AE21" s="43">
        <f>1006.04/AE20</f>
        <v>0.12305817998561525</v>
      </c>
      <c r="AF21" s="43"/>
      <c r="AG21" s="43"/>
      <c r="AH21" s="43"/>
      <c r="AI21" s="44">
        <f>SUM(D21:AG21)/A1</f>
        <v>0.18739749250099927</v>
      </c>
      <c r="AJ21" s="6"/>
    </row>
    <row r="22" spans="1:36" ht="15" thickBot="1" x14ac:dyDescent="0.35">
      <c r="A22" s="23"/>
      <c r="B22" s="344" t="s">
        <v>80</v>
      </c>
      <c r="C22" s="345"/>
      <c r="D22" s="42" t="str">
        <f>D21</f>
        <v>time clock is down</v>
      </c>
      <c r="E22" s="43">
        <f t="shared" ref="E22:J22" si="22">E21</f>
        <v>0.30715060839047814</v>
      </c>
      <c r="F22" s="43">
        <f t="shared" si="22"/>
        <v>0.27261260613468996</v>
      </c>
      <c r="G22" s="43">
        <f t="shared" si="22"/>
        <v>0.22628148841928625</v>
      </c>
      <c r="H22" s="43">
        <f t="shared" si="22"/>
        <v>0.1243628317960498</v>
      </c>
      <c r="I22" s="43">
        <f t="shared" si="22"/>
        <v>0.12500563757677052</v>
      </c>
      <c r="J22" s="43">
        <f t="shared" si="22"/>
        <v>0.30335059594299213</v>
      </c>
      <c r="K22" s="43">
        <f t="shared" ref="K22:Q22" si="23">K21</f>
        <v>0.21899507546145766</v>
      </c>
      <c r="L22" s="43">
        <f t="shared" si="23"/>
        <v>0.30399374412507468</v>
      </c>
      <c r="M22" s="43">
        <f t="shared" si="23"/>
        <v>0.26571234022281426</v>
      </c>
      <c r="N22" s="43">
        <f t="shared" si="23"/>
        <v>0.29374799615261304</v>
      </c>
      <c r="O22" s="43">
        <f t="shared" si="23"/>
        <v>0.3298061077033182</v>
      </c>
      <c r="P22" s="43">
        <f t="shared" si="23"/>
        <v>0.2002957682209231</v>
      </c>
      <c r="Q22" s="43">
        <f t="shared" si="23"/>
        <v>0.17598539004444533</v>
      </c>
      <c r="R22" s="43">
        <f t="shared" ref="R22:Y22" si="24">R21</f>
        <v>8.7857003568689807E-2</v>
      </c>
      <c r="S22" s="43">
        <f t="shared" si="24"/>
        <v>0.1514832105292761</v>
      </c>
      <c r="T22" s="43">
        <f t="shared" si="24"/>
        <v>0.12445464089901621</v>
      </c>
      <c r="U22" s="43">
        <f t="shared" si="24"/>
        <v>0.2385152809760433</v>
      </c>
      <c r="V22" s="43">
        <f t="shared" si="24"/>
        <v>0.17973412913727618</v>
      </c>
      <c r="W22" s="43">
        <f t="shared" si="24"/>
        <v>0.13651260044461166</v>
      </c>
      <c r="X22" s="43">
        <f t="shared" si="24"/>
        <v>0.18265229448882103</v>
      </c>
      <c r="Y22" s="43">
        <f t="shared" si="24"/>
        <v>0.16683838550456154</v>
      </c>
      <c r="Z22" s="43">
        <f t="shared" ref="Z22:AE22" si="25">Z21</f>
        <v>0.15489718647957365</v>
      </c>
      <c r="AA22" s="43">
        <f t="shared" si="25"/>
        <v>0.16397852071494085</v>
      </c>
      <c r="AB22" s="43">
        <f t="shared" si="25"/>
        <v>0.1426308934994282</v>
      </c>
      <c r="AC22" s="43">
        <f t="shared" si="25"/>
        <v>0.14755299175411291</v>
      </c>
      <c r="AD22" s="43">
        <f t="shared" si="25"/>
        <v>9.9664281855098735E-2</v>
      </c>
      <c r="AE22" s="43">
        <f t="shared" si="25"/>
        <v>0.12305817998561525</v>
      </c>
      <c r="AF22" s="43"/>
      <c r="AG22" s="43"/>
      <c r="AH22" s="43"/>
      <c r="AI22" s="44">
        <f>AVERAGE(D22:AH22)</f>
        <v>0.19433814037140665</v>
      </c>
      <c r="AJ22" s="6"/>
    </row>
    <row r="23" spans="1:36" ht="15" thickTop="1" x14ac:dyDescent="0.3">
      <c r="A23" s="2">
        <v>99</v>
      </c>
      <c r="B23" s="45" t="s">
        <v>26</v>
      </c>
      <c r="C23" s="46" t="s">
        <v>15</v>
      </c>
      <c r="D23" s="11">
        <v>64</v>
      </c>
      <c r="E23" s="12">
        <v>70</v>
      </c>
      <c r="F23" s="12">
        <v>69</v>
      </c>
      <c r="G23" s="12">
        <v>63</v>
      </c>
      <c r="H23" s="12">
        <v>60</v>
      </c>
      <c r="I23" s="12">
        <v>69</v>
      </c>
      <c r="J23" s="12">
        <v>55</v>
      </c>
      <c r="K23" s="12">
        <v>64</v>
      </c>
      <c r="L23" s="12">
        <v>77</v>
      </c>
      <c r="M23" s="12">
        <v>91</v>
      </c>
      <c r="N23" s="12">
        <v>80</v>
      </c>
      <c r="O23" s="12">
        <v>88</v>
      </c>
      <c r="P23" s="12">
        <v>94</v>
      </c>
      <c r="Q23" s="12">
        <v>96</v>
      </c>
      <c r="R23" s="12">
        <v>91</v>
      </c>
      <c r="S23" s="12">
        <v>94</v>
      </c>
      <c r="T23" s="12">
        <v>94</v>
      </c>
      <c r="U23" s="12">
        <v>90</v>
      </c>
      <c r="V23" s="12">
        <v>86</v>
      </c>
      <c r="W23" s="12">
        <v>91</v>
      </c>
      <c r="X23" s="12">
        <v>79</v>
      </c>
      <c r="Y23" s="12">
        <v>90</v>
      </c>
      <c r="Z23" s="12">
        <v>91</v>
      </c>
      <c r="AA23" s="12">
        <v>90</v>
      </c>
      <c r="AB23" s="12">
        <v>88</v>
      </c>
      <c r="AC23" s="12">
        <v>89</v>
      </c>
      <c r="AD23" s="12">
        <v>88</v>
      </c>
      <c r="AE23" s="12">
        <v>88</v>
      </c>
      <c r="AF23" s="12"/>
      <c r="AG23" s="12"/>
      <c r="AH23" s="12"/>
      <c r="AI23" s="13">
        <f>SUM(D23:AH23)</f>
        <v>2289</v>
      </c>
      <c r="AJ23" s="6"/>
    </row>
    <row r="24" spans="1:36" x14ac:dyDescent="0.3">
      <c r="A24" s="2"/>
      <c r="B24" s="14"/>
      <c r="C24" s="15" t="s">
        <v>16</v>
      </c>
      <c r="D24" s="16">
        <f t="shared" ref="D24:AE24" si="26">+D23/$A23</f>
        <v>0.64646464646464652</v>
      </c>
      <c r="E24" s="16">
        <f t="shared" si="26"/>
        <v>0.70707070707070707</v>
      </c>
      <c r="F24" s="16">
        <f t="shared" si="26"/>
        <v>0.69696969696969702</v>
      </c>
      <c r="G24" s="16">
        <f t="shared" si="26"/>
        <v>0.63636363636363635</v>
      </c>
      <c r="H24" s="16">
        <f t="shared" si="26"/>
        <v>0.60606060606060608</v>
      </c>
      <c r="I24" s="16">
        <f t="shared" si="26"/>
        <v>0.69696969696969702</v>
      </c>
      <c r="J24" s="16">
        <f t="shared" si="26"/>
        <v>0.55555555555555558</v>
      </c>
      <c r="K24" s="16">
        <f t="shared" si="26"/>
        <v>0.64646464646464652</v>
      </c>
      <c r="L24" s="16">
        <f t="shared" si="26"/>
        <v>0.77777777777777779</v>
      </c>
      <c r="M24" s="16">
        <f t="shared" si="26"/>
        <v>0.91919191919191923</v>
      </c>
      <c r="N24" s="16">
        <f t="shared" si="26"/>
        <v>0.80808080808080807</v>
      </c>
      <c r="O24" s="16">
        <f t="shared" si="26"/>
        <v>0.88888888888888884</v>
      </c>
      <c r="P24" s="16">
        <f t="shared" si="26"/>
        <v>0.9494949494949495</v>
      </c>
      <c r="Q24" s="16">
        <f t="shared" si="26"/>
        <v>0.96969696969696972</v>
      </c>
      <c r="R24" s="16">
        <f t="shared" si="26"/>
        <v>0.91919191919191923</v>
      </c>
      <c r="S24" s="16">
        <f t="shared" si="26"/>
        <v>0.9494949494949495</v>
      </c>
      <c r="T24" s="16">
        <f t="shared" si="26"/>
        <v>0.9494949494949495</v>
      </c>
      <c r="U24" s="16">
        <f t="shared" si="26"/>
        <v>0.90909090909090906</v>
      </c>
      <c r="V24" s="16">
        <f t="shared" si="26"/>
        <v>0.86868686868686873</v>
      </c>
      <c r="W24" s="16">
        <f t="shared" si="26"/>
        <v>0.91919191919191923</v>
      </c>
      <c r="X24" s="16">
        <f t="shared" si="26"/>
        <v>0.79797979797979801</v>
      </c>
      <c r="Y24" s="16">
        <f t="shared" si="26"/>
        <v>0.90909090909090906</v>
      </c>
      <c r="Z24" s="16">
        <f t="shared" si="26"/>
        <v>0.91919191919191923</v>
      </c>
      <c r="AA24" s="16">
        <f t="shared" si="26"/>
        <v>0.90909090909090906</v>
      </c>
      <c r="AB24" s="16">
        <f t="shared" si="26"/>
        <v>0.88888888888888884</v>
      </c>
      <c r="AC24" s="16">
        <f t="shared" si="26"/>
        <v>0.89898989898989901</v>
      </c>
      <c r="AD24" s="16">
        <f t="shared" si="26"/>
        <v>0.88888888888888884</v>
      </c>
      <c r="AE24" s="16">
        <f t="shared" si="26"/>
        <v>0.88888888888888884</v>
      </c>
      <c r="AF24" s="16"/>
      <c r="AG24" s="16"/>
      <c r="AH24" s="16"/>
      <c r="AI24" s="17">
        <f>+AI23/(A23*A$1)</f>
        <v>0.8257575757575758</v>
      </c>
      <c r="AJ24" s="6"/>
    </row>
    <row r="25" spans="1:36" x14ac:dyDescent="0.3">
      <c r="A25" s="2"/>
      <c r="B25" s="14"/>
      <c r="C25" s="15" t="s">
        <v>17</v>
      </c>
      <c r="D25" s="18">
        <f t="shared" ref="D25:AE25" si="27">+IFERROR(D27/D23,0)</f>
        <v>84.21875</v>
      </c>
      <c r="E25" s="18">
        <f t="shared" si="27"/>
        <v>86.01228571428571</v>
      </c>
      <c r="F25" s="18">
        <f t="shared" si="27"/>
        <v>84.275652173913045</v>
      </c>
      <c r="G25" s="18">
        <f t="shared" si="27"/>
        <v>79.36349206349206</v>
      </c>
      <c r="H25" s="18">
        <f t="shared" si="27"/>
        <v>76.850833333333341</v>
      </c>
      <c r="I25" s="18">
        <f t="shared" si="27"/>
        <v>81.854637681159417</v>
      </c>
      <c r="J25" s="18">
        <f t="shared" si="27"/>
        <v>100.61618181818183</v>
      </c>
      <c r="K25" s="18">
        <f t="shared" si="27"/>
        <v>79.159531250000001</v>
      </c>
      <c r="L25" s="18">
        <f t="shared" si="27"/>
        <v>78.718831168831173</v>
      </c>
      <c r="M25" s="18">
        <f t="shared" si="27"/>
        <v>83.073186813186808</v>
      </c>
      <c r="N25" s="18">
        <f t="shared" si="27"/>
        <v>79.047125000000008</v>
      </c>
      <c r="O25" s="18">
        <f t="shared" si="27"/>
        <v>83.366590909090917</v>
      </c>
      <c r="P25" s="18">
        <f t="shared" si="27"/>
        <v>86.271808510638294</v>
      </c>
      <c r="Q25" s="18">
        <f t="shared" si="27"/>
        <v>85.181979166666665</v>
      </c>
      <c r="R25" s="18">
        <f t="shared" si="27"/>
        <v>83.966043956043961</v>
      </c>
      <c r="S25" s="18">
        <f t="shared" si="27"/>
        <v>84.026382978723404</v>
      </c>
      <c r="T25" s="18">
        <f t="shared" si="27"/>
        <v>85.799361702127669</v>
      </c>
      <c r="U25" s="18">
        <f t="shared" si="27"/>
        <v>82.667777777777786</v>
      </c>
      <c r="V25" s="18">
        <f t="shared" si="27"/>
        <v>95.294302325581384</v>
      </c>
      <c r="W25" s="18">
        <f t="shared" si="27"/>
        <v>86.305384615384611</v>
      </c>
      <c r="X25" s="18">
        <f t="shared" si="27"/>
        <v>88.341772151898738</v>
      </c>
      <c r="Y25" s="18">
        <f t="shared" si="27"/>
        <v>89.390444444444455</v>
      </c>
      <c r="Z25" s="18">
        <f t="shared" si="27"/>
        <v>87.917252747252746</v>
      </c>
      <c r="AA25" s="18">
        <f t="shared" si="27"/>
        <v>91.911222222222221</v>
      </c>
      <c r="AB25" s="18">
        <f t="shared" si="27"/>
        <v>87.450454545454548</v>
      </c>
      <c r="AC25" s="18">
        <f t="shared" si="27"/>
        <v>90.853932584269657</v>
      </c>
      <c r="AD25" s="18">
        <f t="shared" si="27"/>
        <v>95.704545454545453</v>
      </c>
      <c r="AE25" s="18">
        <f t="shared" si="27"/>
        <v>96.465909090909093</v>
      </c>
      <c r="AF25" s="18"/>
      <c r="AG25" s="18"/>
      <c r="AH25" s="18"/>
      <c r="AI25" s="19">
        <f>+AI27/AI23</f>
        <v>86.385299257317627</v>
      </c>
      <c r="AJ25" s="6"/>
    </row>
    <row r="26" spans="1:36" x14ac:dyDescent="0.3">
      <c r="A26" s="2"/>
      <c r="B26" s="14"/>
      <c r="C26" s="15" t="s">
        <v>18</v>
      </c>
      <c r="D26" s="18">
        <f t="shared" ref="D26:AE26" si="28">+D24*D25</f>
        <v>54.44444444444445</v>
      </c>
      <c r="E26" s="18">
        <f t="shared" si="28"/>
        <v>60.816767676767675</v>
      </c>
      <c r="F26" s="18">
        <f t="shared" si="28"/>
        <v>58.737575757575762</v>
      </c>
      <c r="G26" s="18">
        <f t="shared" si="28"/>
        <v>50.504040404040403</v>
      </c>
      <c r="H26" s="18">
        <f t="shared" si="28"/>
        <v>46.576262626262633</v>
      </c>
      <c r="I26" s="18">
        <f t="shared" si="28"/>
        <v>57.050202020202022</v>
      </c>
      <c r="J26" s="18">
        <f t="shared" si="28"/>
        <v>55.897878787878795</v>
      </c>
      <c r="K26" s="18">
        <f t="shared" si="28"/>
        <v>51.173838383838387</v>
      </c>
      <c r="L26" s="18">
        <f t="shared" si="28"/>
        <v>61.225757575757576</v>
      </c>
      <c r="M26" s="18">
        <f t="shared" si="28"/>
        <v>76.360202020202024</v>
      </c>
      <c r="N26" s="18">
        <f t="shared" si="28"/>
        <v>63.876464646464655</v>
      </c>
      <c r="O26" s="18">
        <f t="shared" si="28"/>
        <v>74.103636363636369</v>
      </c>
      <c r="P26" s="18">
        <f t="shared" si="28"/>
        <v>81.914646464646466</v>
      </c>
      <c r="Q26" s="18">
        <f t="shared" si="28"/>
        <v>82.600707070707074</v>
      </c>
      <c r="R26" s="18">
        <f t="shared" si="28"/>
        <v>77.180909090909097</v>
      </c>
      <c r="S26" s="18">
        <f t="shared" si="28"/>
        <v>79.782626262626266</v>
      </c>
      <c r="T26" s="18">
        <f t="shared" si="28"/>
        <v>81.466060606060623</v>
      </c>
      <c r="U26" s="18">
        <f t="shared" si="28"/>
        <v>75.152525252525251</v>
      </c>
      <c r="V26" s="18">
        <f t="shared" si="28"/>
        <v>82.780909090909091</v>
      </c>
      <c r="W26" s="18">
        <f t="shared" si="28"/>
        <v>79.331212121212118</v>
      </c>
      <c r="X26" s="18">
        <f t="shared" si="28"/>
        <v>70.494949494949495</v>
      </c>
      <c r="Y26" s="18">
        <f t="shared" si="28"/>
        <v>81.264040404040415</v>
      </c>
      <c r="Z26" s="18">
        <f t="shared" si="28"/>
        <v>80.812828282828292</v>
      </c>
      <c r="AA26" s="18">
        <f t="shared" si="28"/>
        <v>83.555656565656562</v>
      </c>
      <c r="AB26" s="18">
        <f t="shared" si="28"/>
        <v>77.73373737373737</v>
      </c>
      <c r="AC26" s="18">
        <f t="shared" si="28"/>
        <v>81.676767676767668</v>
      </c>
      <c r="AD26" s="18">
        <f t="shared" si="28"/>
        <v>85.070707070707059</v>
      </c>
      <c r="AE26" s="18">
        <f t="shared" si="28"/>
        <v>85.74747474747474</v>
      </c>
      <c r="AF26" s="18"/>
      <c r="AG26" s="18"/>
      <c r="AH26" s="18"/>
      <c r="AI26" s="19">
        <f>+AI25*AI24</f>
        <v>71.333315295815311</v>
      </c>
      <c r="AJ26" s="6"/>
    </row>
    <row r="27" spans="1:36" x14ac:dyDescent="0.3">
      <c r="A27" s="2"/>
      <c r="B27" s="14"/>
      <c r="C27" s="15" t="s">
        <v>19</v>
      </c>
      <c r="D27" s="20">
        <v>5390</v>
      </c>
      <c r="E27" s="21">
        <v>6020.86</v>
      </c>
      <c r="F27" s="21">
        <v>5815.02</v>
      </c>
      <c r="G27" s="21">
        <v>4999.8999999999996</v>
      </c>
      <c r="H27" s="21">
        <v>4611.05</v>
      </c>
      <c r="I27" s="21">
        <v>5647.97</v>
      </c>
      <c r="J27" s="21">
        <v>5533.89</v>
      </c>
      <c r="K27" s="21">
        <v>5066.21</v>
      </c>
      <c r="L27" s="21">
        <v>6061.35</v>
      </c>
      <c r="M27" s="21">
        <v>7559.66</v>
      </c>
      <c r="N27" s="21">
        <v>6323.77</v>
      </c>
      <c r="O27" s="21">
        <v>7336.26</v>
      </c>
      <c r="P27" s="21">
        <v>8109.55</v>
      </c>
      <c r="Q27" s="21">
        <v>8177.47</v>
      </c>
      <c r="R27" s="21">
        <v>7640.91</v>
      </c>
      <c r="S27" s="21">
        <v>7898.48</v>
      </c>
      <c r="T27" s="21">
        <v>8065.14</v>
      </c>
      <c r="U27" s="21">
        <v>7440.1</v>
      </c>
      <c r="V27" s="21">
        <v>8195.31</v>
      </c>
      <c r="W27" s="21">
        <v>7853.79</v>
      </c>
      <c r="X27" s="21">
        <v>6979</v>
      </c>
      <c r="Y27" s="21">
        <v>8045.14</v>
      </c>
      <c r="Z27" s="21">
        <v>8000.47</v>
      </c>
      <c r="AA27" s="21">
        <v>8272.01</v>
      </c>
      <c r="AB27" s="21">
        <v>7695.64</v>
      </c>
      <c r="AC27" s="21">
        <v>8086</v>
      </c>
      <c r="AD27" s="21">
        <v>8422</v>
      </c>
      <c r="AE27" s="21">
        <v>8489</v>
      </c>
      <c r="AF27" s="21"/>
      <c r="AG27" s="21"/>
      <c r="AH27" s="21"/>
      <c r="AI27" s="22">
        <f>SUM(D27:AH27)</f>
        <v>197735.95000000004</v>
      </c>
      <c r="AJ27" s="6"/>
    </row>
    <row r="28" spans="1:36" ht="15" thickBot="1" x14ac:dyDescent="0.35">
      <c r="A28" s="23"/>
      <c r="B28" s="24"/>
      <c r="C28" s="15" t="s">
        <v>20</v>
      </c>
      <c r="D28" s="25">
        <f>1078.38/D27</f>
        <v>0.20007050092764381</v>
      </c>
      <c r="E28" s="26">
        <f>904.89/E27</f>
        <v>0.15029248313363872</v>
      </c>
      <c r="F28" s="26">
        <f>931.19/F27</f>
        <v>0.16013530477969121</v>
      </c>
      <c r="G28" s="26">
        <f>1092.89/G27</f>
        <v>0.21858237164743299</v>
      </c>
      <c r="H28" s="26">
        <f>1134.48/H27</f>
        <v>0.24603506793463528</v>
      </c>
      <c r="I28" s="26">
        <f>787.72/I27</f>
        <v>0.13946957933558429</v>
      </c>
      <c r="J28" s="26">
        <f>648.18/J27</f>
        <v>0.11712918037763669</v>
      </c>
      <c r="K28" s="26">
        <f>819.81/K27</f>
        <v>0.161819190282282</v>
      </c>
      <c r="L28" s="26">
        <f>909.92/L27</f>
        <v>0.15011837296971794</v>
      </c>
      <c r="M28" s="26">
        <f>987.83/M27</f>
        <v>0.13067122066336317</v>
      </c>
      <c r="N28" s="26">
        <f>715.56/N27</f>
        <v>0.11315402046563994</v>
      </c>
      <c r="O28" s="26">
        <f>779.41/O27</f>
        <v>0.10624078208787584</v>
      </c>
      <c r="P28" s="26">
        <f>728.61/P27</f>
        <v>8.9845922400133171E-2</v>
      </c>
      <c r="Q28" s="26">
        <f>697.68/Q27</f>
        <v>8.5317341427116208E-2</v>
      </c>
      <c r="R28" s="26">
        <f>629.24/R27</f>
        <v>8.2351447667882494E-2</v>
      </c>
      <c r="S28" s="26">
        <f>561.87/S27</f>
        <v>7.113647182749086E-2</v>
      </c>
      <c r="T28" s="26">
        <f>788.18/T27</f>
        <v>9.7726759857857393E-2</v>
      </c>
      <c r="U28" s="26">
        <f>701.58/U27</f>
        <v>9.429711966237013E-2</v>
      </c>
      <c r="V28" s="26">
        <f>778.29/V27</f>
        <v>9.4967731544017248E-2</v>
      </c>
      <c r="W28" s="26">
        <f>950.33/W27</f>
        <v>0.12100272607238034</v>
      </c>
      <c r="X28" s="26">
        <f>743.83/X27</f>
        <v>0.10658117208769165</v>
      </c>
      <c r="Y28" s="26">
        <f>722.17/Y27</f>
        <v>8.9764752384669494E-2</v>
      </c>
      <c r="Z28" s="26">
        <f>665.93/Z27</f>
        <v>8.3236359863857995E-2</v>
      </c>
      <c r="AA28" s="26">
        <f>859.16/AA27</f>
        <v>0.10386351080329931</v>
      </c>
      <c r="AB28" s="26">
        <f>1030.64/AB27</f>
        <v>0.13392518361045996</v>
      </c>
      <c r="AC28" s="26">
        <f>919.27/AC27</f>
        <v>0.11368661884739055</v>
      </c>
      <c r="AD28" s="26">
        <f>761.35/AD27</f>
        <v>9.0400142483970561E-2</v>
      </c>
      <c r="AE28" s="26">
        <f>593.48/AE27</f>
        <v>6.9911650371068446E-2</v>
      </c>
      <c r="AF28" s="26"/>
      <c r="AG28" s="26"/>
      <c r="AH28" s="26"/>
      <c r="AI28" s="27">
        <f>AVERAGE(D28:AG28)</f>
        <v>0.12220474948274276</v>
      </c>
      <c r="AJ28" s="6"/>
    </row>
    <row r="29" spans="1:36" ht="15" thickTop="1" x14ac:dyDescent="0.3">
      <c r="A29" s="2">
        <v>151</v>
      </c>
      <c r="B29" s="28" t="s">
        <v>27</v>
      </c>
      <c r="C29" s="29" t="s">
        <v>15</v>
      </c>
      <c r="D29" s="30">
        <v>33</v>
      </c>
      <c r="E29" s="31">
        <v>37</v>
      </c>
      <c r="F29" s="31">
        <v>42</v>
      </c>
      <c r="G29" s="31">
        <v>44</v>
      </c>
      <c r="H29" s="31">
        <v>56</v>
      </c>
      <c r="I29" s="31">
        <v>66</v>
      </c>
      <c r="J29" s="31">
        <v>42</v>
      </c>
      <c r="K29" s="31">
        <v>38</v>
      </c>
      <c r="L29" s="31">
        <v>44</v>
      </c>
      <c r="M29" s="31">
        <v>57</v>
      </c>
      <c r="N29" s="31">
        <v>54</v>
      </c>
      <c r="O29" s="31">
        <v>70</v>
      </c>
      <c r="P29" s="31">
        <v>141</v>
      </c>
      <c r="Q29" s="31">
        <v>141</v>
      </c>
      <c r="R29" s="31">
        <v>149</v>
      </c>
      <c r="S29" s="31">
        <v>140</v>
      </c>
      <c r="T29" s="31">
        <v>144</v>
      </c>
      <c r="U29" s="31">
        <v>123</v>
      </c>
      <c r="V29" s="31">
        <v>91</v>
      </c>
      <c r="W29" s="31">
        <v>82</v>
      </c>
      <c r="X29" s="31">
        <v>53</v>
      </c>
      <c r="Y29" s="31">
        <v>63</v>
      </c>
      <c r="Z29" s="31">
        <v>63</v>
      </c>
      <c r="AA29" s="31">
        <v>68</v>
      </c>
      <c r="AB29" s="31">
        <v>75</v>
      </c>
      <c r="AC29" s="123">
        <v>105</v>
      </c>
      <c r="AD29" s="123">
        <v>104</v>
      </c>
      <c r="AE29" s="123">
        <v>84</v>
      </c>
      <c r="AF29" s="31"/>
      <c r="AG29" s="31"/>
      <c r="AH29" s="31"/>
      <c r="AI29" s="32">
        <f>SUM(D29:AH29)</f>
        <v>2209</v>
      </c>
      <c r="AJ29" s="6"/>
    </row>
    <row r="30" spans="1:36" x14ac:dyDescent="0.3">
      <c r="A30" s="2"/>
      <c r="B30" s="33"/>
      <c r="C30" s="34" t="s">
        <v>16</v>
      </c>
      <c r="D30" s="35">
        <f t="shared" ref="D30:AE30" si="29">+D29/$A29</f>
        <v>0.2185430463576159</v>
      </c>
      <c r="E30" s="35">
        <f t="shared" si="29"/>
        <v>0.24503311258278146</v>
      </c>
      <c r="F30" s="35">
        <f t="shared" si="29"/>
        <v>0.27814569536423839</v>
      </c>
      <c r="G30" s="35">
        <f t="shared" si="29"/>
        <v>0.29139072847682118</v>
      </c>
      <c r="H30" s="35">
        <f t="shared" si="29"/>
        <v>0.37086092715231789</v>
      </c>
      <c r="I30" s="35">
        <f t="shared" si="29"/>
        <v>0.4370860927152318</v>
      </c>
      <c r="J30" s="35">
        <f t="shared" si="29"/>
        <v>0.27814569536423839</v>
      </c>
      <c r="K30" s="35">
        <f t="shared" si="29"/>
        <v>0.25165562913907286</v>
      </c>
      <c r="L30" s="35">
        <f t="shared" si="29"/>
        <v>0.29139072847682118</v>
      </c>
      <c r="M30" s="35">
        <f t="shared" si="29"/>
        <v>0.37748344370860926</v>
      </c>
      <c r="N30" s="35">
        <f t="shared" si="29"/>
        <v>0.35761589403973509</v>
      </c>
      <c r="O30" s="35">
        <f t="shared" si="29"/>
        <v>0.46357615894039733</v>
      </c>
      <c r="P30" s="35">
        <f t="shared" si="29"/>
        <v>0.93377483443708609</v>
      </c>
      <c r="Q30" s="35">
        <f t="shared" si="29"/>
        <v>0.93377483443708609</v>
      </c>
      <c r="R30" s="35">
        <f t="shared" si="29"/>
        <v>0.98675496688741726</v>
      </c>
      <c r="S30" s="35">
        <f t="shared" si="29"/>
        <v>0.92715231788079466</v>
      </c>
      <c r="T30" s="35">
        <f t="shared" si="29"/>
        <v>0.95364238410596025</v>
      </c>
      <c r="U30" s="35">
        <f t="shared" si="29"/>
        <v>0.81456953642384111</v>
      </c>
      <c r="V30" s="35">
        <f t="shared" si="29"/>
        <v>0.60264900662251653</v>
      </c>
      <c r="W30" s="35">
        <f t="shared" si="29"/>
        <v>0.54304635761589404</v>
      </c>
      <c r="X30" s="35">
        <f t="shared" si="29"/>
        <v>0.35099337748344372</v>
      </c>
      <c r="Y30" s="35">
        <f t="shared" si="29"/>
        <v>0.41721854304635764</v>
      </c>
      <c r="Z30" s="35">
        <f t="shared" si="29"/>
        <v>0.41721854304635764</v>
      </c>
      <c r="AA30" s="35">
        <f t="shared" si="29"/>
        <v>0.45033112582781459</v>
      </c>
      <c r="AB30" s="35">
        <f t="shared" si="29"/>
        <v>0.49668874172185429</v>
      </c>
      <c r="AC30" s="35">
        <f t="shared" si="29"/>
        <v>0.69536423841059603</v>
      </c>
      <c r="AD30" s="35">
        <f t="shared" si="29"/>
        <v>0.6887417218543046</v>
      </c>
      <c r="AE30" s="35">
        <f t="shared" si="29"/>
        <v>0.55629139072847678</v>
      </c>
      <c r="AF30" s="35"/>
      <c r="AG30" s="35"/>
      <c r="AH30" s="35"/>
      <c r="AI30" s="36">
        <f>+AI29/(A29*A$1)</f>
        <v>0.52246925260170296</v>
      </c>
      <c r="AJ30" s="6"/>
    </row>
    <row r="31" spans="1:36" x14ac:dyDescent="0.3">
      <c r="A31" s="2"/>
      <c r="B31" s="33"/>
      <c r="C31" s="34" t="s">
        <v>17</v>
      </c>
      <c r="D31" s="37">
        <f t="shared" ref="D31:AE31" si="30">+IFERROR(D33/D29,0)</f>
        <v>74.417878787878792</v>
      </c>
      <c r="E31" s="37">
        <f t="shared" si="30"/>
        <v>87.195945945945951</v>
      </c>
      <c r="F31" s="37">
        <f t="shared" si="30"/>
        <v>103.53904761904762</v>
      </c>
      <c r="G31" s="37">
        <f t="shared" si="30"/>
        <v>82.18840909090909</v>
      </c>
      <c r="H31" s="37">
        <f t="shared" si="30"/>
        <v>78.014107142857142</v>
      </c>
      <c r="I31" s="37">
        <f t="shared" si="30"/>
        <v>74.432121212121217</v>
      </c>
      <c r="J31" s="37">
        <f t="shared" si="30"/>
        <v>74.615952380952379</v>
      </c>
      <c r="K31" s="37">
        <f t="shared" si="30"/>
        <v>77.109736842105264</v>
      </c>
      <c r="L31" s="37">
        <f t="shared" si="30"/>
        <v>82.78</v>
      </c>
      <c r="M31" s="37">
        <f t="shared" si="30"/>
        <v>78.98842105263158</v>
      </c>
      <c r="N31" s="37">
        <f t="shared" si="30"/>
        <v>82.6848148148148</v>
      </c>
      <c r="O31" s="37">
        <f t="shared" si="30"/>
        <v>77.814285714285717</v>
      </c>
      <c r="P31" s="37">
        <f t="shared" si="30"/>
        <v>95.283687943262407</v>
      </c>
      <c r="Q31" s="37">
        <f t="shared" si="30"/>
        <v>85.170212765957444</v>
      </c>
      <c r="R31" s="37">
        <f t="shared" si="30"/>
        <v>85.543624161073822</v>
      </c>
      <c r="S31" s="37">
        <f t="shared" si="30"/>
        <v>90.216499999999996</v>
      </c>
      <c r="T31" s="37">
        <f t="shared" si="30"/>
        <v>91.796458333333334</v>
      </c>
      <c r="U31" s="37">
        <f t="shared" si="30"/>
        <v>94.840406504065044</v>
      </c>
      <c r="V31" s="37">
        <f t="shared" si="30"/>
        <v>91.48098901098902</v>
      </c>
      <c r="W31" s="37">
        <f t="shared" si="30"/>
        <v>89.139146341463416</v>
      </c>
      <c r="X31" s="37">
        <f t="shared" si="30"/>
        <v>90.341698113207542</v>
      </c>
      <c r="Y31" s="37">
        <f t="shared" si="30"/>
        <v>90.517301587301588</v>
      </c>
      <c r="Z31" s="37">
        <f t="shared" si="30"/>
        <v>130.08920634920636</v>
      </c>
      <c r="AA31" s="37">
        <f t="shared" si="30"/>
        <v>91.629264705882349</v>
      </c>
      <c r="AB31" s="37">
        <f t="shared" si="30"/>
        <v>93.05746666666667</v>
      </c>
      <c r="AC31" s="37">
        <f t="shared" si="30"/>
        <v>94.834571428571422</v>
      </c>
      <c r="AD31" s="37">
        <f t="shared" si="30"/>
        <v>92.506442307692311</v>
      </c>
      <c r="AE31" s="37">
        <f t="shared" si="30"/>
        <v>89.496190476190478</v>
      </c>
      <c r="AF31" s="37"/>
      <c r="AG31" s="37"/>
      <c r="AH31" s="37"/>
      <c r="AI31" s="38">
        <f>+AI33/AI29</f>
        <v>89.352607514712531</v>
      </c>
      <c r="AJ31" s="6"/>
    </row>
    <row r="32" spans="1:36" x14ac:dyDescent="0.3">
      <c r="A32" s="2"/>
      <c r="B32" s="33"/>
      <c r="C32" s="34" t="s">
        <v>18</v>
      </c>
      <c r="D32" s="37">
        <f t="shared" ref="D32:AE32" si="31">+D30*D31</f>
        <v>16.263509933774834</v>
      </c>
      <c r="E32" s="37">
        <f t="shared" si="31"/>
        <v>21.3658940397351</v>
      </c>
      <c r="F32" s="37">
        <f t="shared" si="31"/>
        <v>28.798940397350993</v>
      </c>
      <c r="G32" s="37">
        <f t="shared" si="31"/>
        <v>23.948940397350992</v>
      </c>
      <c r="H32" s="37">
        <f t="shared" si="31"/>
        <v>28.932384105960264</v>
      </c>
      <c r="I32" s="37">
        <f t="shared" si="31"/>
        <v>32.533245033112586</v>
      </c>
      <c r="J32" s="37">
        <f t="shared" si="31"/>
        <v>20.754105960264898</v>
      </c>
      <c r="K32" s="37">
        <f t="shared" si="31"/>
        <v>19.405099337748346</v>
      </c>
      <c r="L32" s="37">
        <f t="shared" si="31"/>
        <v>24.121324503311257</v>
      </c>
      <c r="M32" s="37">
        <f t="shared" si="31"/>
        <v>29.816821192052981</v>
      </c>
      <c r="N32" s="37">
        <f t="shared" si="31"/>
        <v>29.569403973509928</v>
      </c>
      <c r="O32" s="37">
        <f t="shared" si="31"/>
        <v>36.072847682119203</v>
      </c>
      <c r="P32" s="37">
        <f t="shared" si="31"/>
        <v>88.973509933774835</v>
      </c>
      <c r="Q32" s="37">
        <f t="shared" si="31"/>
        <v>79.52980132450331</v>
      </c>
      <c r="R32" s="37">
        <f t="shared" si="31"/>
        <v>84.410596026490069</v>
      </c>
      <c r="S32" s="37">
        <f t="shared" si="31"/>
        <v>83.644437086092708</v>
      </c>
      <c r="T32" s="37">
        <f t="shared" si="31"/>
        <v>87.540993377483446</v>
      </c>
      <c r="U32" s="37">
        <f t="shared" si="31"/>
        <v>77.254105960264909</v>
      </c>
      <c r="V32" s="37">
        <f t="shared" si="31"/>
        <v>55.130927152317881</v>
      </c>
      <c r="W32" s="37">
        <f t="shared" si="31"/>
        <v>48.406688741721858</v>
      </c>
      <c r="X32" s="37">
        <f t="shared" si="31"/>
        <v>31.709337748344371</v>
      </c>
      <c r="Y32" s="37">
        <f t="shared" si="31"/>
        <v>37.765496688741727</v>
      </c>
      <c r="Z32" s="37">
        <f t="shared" si="31"/>
        <v>54.275629139072855</v>
      </c>
      <c r="AA32" s="37">
        <f t="shared" si="31"/>
        <v>41.263509933774834</v>
      </c>
      <c r="AB32" s="37">
        <f t="shared" si="31"/>
        <v>46.220596026490064</v>
      </c>
      <c r="AC32" s="37">
        <f t="shared" si="31"/>
        <v>65.944569536423842</v>
      </c>
      <c r="AD32" s="37">
        <f t="shared" si="31"/>
        <v>63.713046357615895</v>
      </c>
      <c r="AE32" s="37">
        <f t="shared" si="31"/>
        <v>49.785960264900659</v>
      </c>
      <c r="AF32" s="37"/>
      <c r="AG32" s="37"/>
      <c r="AH32" s="37"/>
      <c r="AI32" s="38">
        <f>+AI31*AI30</f>
        <v>46.683990066225164</v>
      </c>
      <c r="AJ32" s="6"/>
    </row>
    <row r="33" spans="1:36" x14ac:dyDescent="0.3">
      <c r="A33" s="2"/>
      <c r="B33" s="33"/>
      <c r="C33" s="34" t="s">
        <v>19</v>
      </c>
      <c r="D33" s="20">
        <v>2455.79</v>
      </c>
      <c r="E33" s="21">
        <v>3226.25</v>
      </c>
      <c r="F33" s="21">
        <v>4348.6400000000003</v>
      </c>
      <c r="G33" s="21">
        <v>3616.29</v>
      </c>
      <c r="H33" s="21">
        <v>4368.79</v>
      </c>
      <c r="I33" s="21">
        <v>4912.5200000000004</v>
      </c>
      <c r="J33" s="21">
        <v>3133.87</v>
      </c>
      <c r="K33" s="21">
        <v>2930.17</v>
      </c>
      <c r="L33" s="21">
        <v>3642.32</v>
      </c>
      <c r="M33" s="21">
        <v>4502.34</v>
      </c>
      <c r="N33" s="21">
        <v>4464.9799999999996</v>
      </c>
      <c r="O33" s="21">
        <v>5447</v>
      </c>
      <c r="P33" s="21">
        <v>13435</v>
      </c>
      <c r="Q33" s="21">
        <v>12009</v>
      </c>
      <c r="R33" s="21">
        <v>12746</v>
      </c>
      <c r="S33" s="21">
        <v>12630.31</v>
      </c>
      <c r="T33" s="21">
        <v>13218.69</v>
      </c>
      <c r="U33" s="21">
        <v>11665.37</v>
      </c>
      <c r="V33" s="21">
        <v>8324.77</v>
      </c>
      <c r="W33" s="21">
        <v>7309.41</v>
      </c>
      <c r="X33" s="21">
        <v>4788.1099999999997</v>
      </c>
      <c r="Y33" s="21">
        <v>5702.59</v>
      </c>
      <c r="Z33" s="21">
        <v>8195.6200000000008</v>
      </c>
      <c r="AA33" s="21">
        <v>6230.79</v>
      </c>
      <c r="AB33" s="21">
        <v>6979.31</v>
      </c>
      <c r="AC33" s="21">
        <v>9957.6299999999992</v>
      </c>
      <c r="AD33" s="21">
        <v>9620.67</v>
      </c>
      <c r="AE33" s="21">
        <v>7517.68</v>
      </c>
      <c r="AF33" s="21"/>
      <c r="AG33" s="21"/>
      <c r="AH33" s="21"/>
      <c r="AI33" s="39">
        <f>SUM(D33:AH33)</f>
        <v>197379.90999999997</v>
      </c>
      <c r="AJ33" s="6"/>
    </row>
    <row r="34" spans="1:36" ht="15" thickBot="1" x14ac:dyDescent="0.35">
      <c r="A34" s="23"/>
      <c r="B34" s="48"/>
      <c r="C34" s="41" t="s">
        <v>20</v>
      </c>
      <c r="D34" s="49">
        <f>1429.29/D33</f>
        <v>0.58200823360303611</v>
      </c>
      <c r="E34" s="50">
        <f>1067.26/E33</f>
        <v>0.33080511429678416</v>
      </c>
      <c r="F34" s="50">
        <f>1206.62/F33</f>
        <v>0.27747065749291727</v>
      </c>
      <c r="G34" s="50">
        <f>1253.11/G33</f>
        <v>0.3465181166333452</v>
      </c>
      <c r="H34" s="50">
        <f>1265.85/H33</f>
        <v>0.28974842004307827</v>
      </c>
      <c r="I34" s="50">
        <f>836.96/I33</f>
        <v>0.17037284326577803</v>
      </c>
      <c r="J34" s="50">
        <f>984.62/J33</f>
        <v>0.31418661271845993</v>
      </c>
      <c r="K34" s="50">
        <f>1296.65/K33</f>
        <v>0.44251698706900966</v>
      </c>
      <c r="L34" s="50">
        <f>1206.05/L33</f>
        <v>0.33112137319071361</v>
      </c>
      <c r="M34" s="50">
        <f>1125.86/M33</f>
        <v>0.25006107934984917</v>
      </c>
      <c r="N34" s="50">
        <f>1213.48/N33</f>
        <v>0.27177725320158214</v>
      </c>
      <c r="O34" s="50">
        <f>1349.19/O33</f>
        <v>0.24769414356526528</v>
      </c>
      <c r="P34" s="50">
        <f>1055.84/P33</f>
        <v>7.8588760699665042E-2</v>
      </c>
      <c r="Q34" s="50">
        <f>1053.72/Q33</f>
        <v>8.774419185610792E-2</v>
      </c>
      <c r="R34" s="50">
        <f>546.71/R33</f>
        <v>4.2892672210889694E-2</v>
      </c>
      <c r="S34" s="50">
        <f>1311.79/S33</f>
        <v>0.10386047531691621</v>
      </c>
      <c r="T34" s="50">
        <f>1667.46/T33</f>
        <v>0.12614411866834005</v>
      </c>
      <c r="U34" s="50">
        <f>1491.87/U33</f>
        <v>0.12788878535357215</v>
      </c>
      <c r="V34" s="50">
        <f>1467.14/V33</f>
        <v>0.17623790206816525</v>
      </c>
      <c r="W34" s="50">
        <f>885.65/W33</f>
        <v>0.12116573020257448</v>
      </c>
      <c r="X34" s="50">
        <f>942.1/X33</f>
        <v>0.19675821984039632</v>
      </c>
      <c r="Y34" s="50">
        <f>1483.84/Y33</f>
        <v>0.26020457371124345</v>
      </c>
      <c r="Z34" s="50">
        <f>1201/Z33</f>
        <v>0.1465416893413799</v>
      </c>
      <c r="AA34" s="50">
        <f>891.98/AA33</f>
        <v>0.14315680676126141</v>
      </c>
      <c r="AB34" s="50">
        <f>1186.09/AB33</f>
        <v>0.16994373369287219</v>
      </c>
      <c r="AC34" s="122"/>
      <c r="AD34" s="122"/>
      <c r="AE34" s="122"/>
      <c r="AF34" s="50"/>
      <c r="AG34" s="50"/>
      <c r="AH34" s="50"/>
      <c r="AI34" s="51">
        <f>AVERAGE(D34:AG34)</f>
        <v>0.22541633976612815</v>
      </c>
      <c r="AJ34" s="6"/>
    </row>
    <row r="35" spans="1:36" ht="15" thickTop="1" x14ac:dyDescent="0.3">
      <c r="A35" s="2">
        <v>96</v>
      </c>
      <c r="B35" s="45" t="s">
        <v>28</v>
      </c>
      <c r="C35" s="46" t="s">
        <v>15</v>
      </c>
      <c r="D35" s="11">
        <v>23</v>
      </c>
      <c r="E35" s="12">
        <v>24</v>
      </c>
      <c r="F35" s="12">
        <v>28</v>
      </c>
      <c r="G35" s="12">
        <v>27</v>
      </c>
      <c r="H35" s="12">
        <v>38</v>
      </c>
      <c r="I35" s="12">
        <v>44</v>
      </c>
      <c r="J35" s="12">
        <v>37</v>
      </c>
      <c r="K35" s="12">
        <v>18</v>
      </c>
      <c r="L35" s="12">
        <v>22</v>
      </c>
      <c r="M35" s="12">
        <v>31</v>
      </c>
      <c r="N35" s="12">
        <v>46</v>
      </c>
      <c r="O35" s="12">
        <v>51</v>
      </c>
      <c r="P35" s="12">
        <v>63</v>
      </c>
      <c r="Q35" s="12">
        <v>70</v>
      </c>
      <c r="R35" s="12">
        <v>45</v>
      </c>
      <c r="S35" s="12">
        <v>22</v>
      </c>
      <c r="T35" s="12">
        <v>25</v>
      </c>
      <c r="U35" s="12">
        <v>29</v>
      </c>
      <c r="V35" s="12">
        <v>42</v>
      </c>
      <c r="W35" s="12">
        <v>47</v>
      </c>
      <c r="X35" s="12">
        <v>44</v>
      </c>
      <c r="Y35" s="12">
        <v>52</v>
      </c>
      <c r="Z35" s="12">
        <v>51</v>
      </c>
      <c r="AA35" s="12">
        <v>72</v>
      </c>
      <c r="AB35" s="12">
        <v>64</v>
      </c>
      <c r="AC35" s="12"/>
      <c r="AD35" s="12"/>
      <c r="AE35" s="12"/>
      <c r="AF35" s="12"/>
      <c r="AG35" s="12"/>
      <c r="AH35" s="12"/>
      <c r="AI35" s="13">
        <f>SUM(D35:AH35)</f>
        <v>1015</v>
      </c>
      <c r="AJ35" s="6"/>
    </row>
    <row r="36" spans="1:36" x14ac:dyDescent="0.3">
      <c r="A36" s="2"/>
      <c r="B36" s="14"/>
      <c r="C36" s="15" t="s">
        <v>16</v>
      </c>
      <c r="D36" s="16">
        <f t="shared" ref="D36:AE36" si="32">+D35/$A35</f>
        <v>0.23958333333333334</v>
      </c>
      <c r="E36" s="16">
        <f t="shared" si="32"/>
        <v>0.25</v>
      </c>
      <c r="F36" s="16">
        <f t="shared" si="32"/>
        <v>0.29166666666666669</v>
      </c>
      <c r="G36" s="16">
        <f t="shared" si="32"/>
        <v>0.28125</v>
      </c>
      <c r="H36" s="16">
        <f t="shared" si="32"/>
        <v>0.39583333333333331</v>
      </c>
      <c r="I36" s="16">
        <f t="shared" si="32"/>
        <v>0.45833333333333331</v>
      </c>
      <c r="J36" s="16">
        <f t="shared" si="32"/>
        <v>0.38541666666666669</v>
      </c>
      <c r="K36" s="16">
        <f t="shared" si="32"/>
        <v>0.1875</v>
      </c>
      <c r="L36" s="16">
        <f t="shared" si="32"/>
        <v>0.22916666666666666</v>
      </c>
      <c r="M36" s="16">
        <f t="shared" si="32"/>
        <v>0.32291666666666669</v>
      </c>
      <c r="N36" s="16">
        <f t="shared" si="32"/>
        <v>0.47916666666666669</v>
      </c>
      <c r="O36" s="16">
        <f t="shared" si="32"/>
        <v>0.53125</v>
      </c>
      <c r="P36" s="16">
        <f t="shared" si="32"/>
        <v>0.65625</v>
      </c>
      <c r="Q36" s="16">
        <f t="shared" si="32"/>
        <v>0.72916666666666663</v>
      </c>
      <c r="R36" s="16">
        <f t="shared" si="32"/>
        <v>0.46875</v>
      </c>
      <c r="S36" s="16">
        <f t="shared" si="32"/>
        <v>0.22916666666666666</v>
      </c>
      <c r="T36" s="16">
        <f t="shared" si="32"/>
        <v>0.26041666666666669</v>
      </c>
      <c r="U36" s="16">
        <f t="shared" si="32"/>
        <v>0.30208333333333331</v>
      </c>
      <c r="V36" s="16">
        <f t="shared" si="32"/>
        <v>0.4375</v>
      </c>
      <c r="W36" s="16">
        <f t="shared" si="32"/>
        <v>0.48958333333333331</v>
      </c>
      <c r="X36" s="16">
        <f t="shared" si="32"/>
        <v>0.45833333333333331</v>
      </c>
      <c r="Y36" s="16">
        <f t="shared" si="32"/>
        <v>0.54166666666666663</v>
      </c>
      <c r="Z36" s="16">
        <f t="shared" si="32"/>
        <v>0.53125</v>
      </c>
      <c r="AA36" s="16">
        <f t="shared" si="32"/>
        <v>0.75</v>
      </c>
      <c r="AB36" s="16">
        <f t="shared" si="32"/>
        <v>0.66666666666666663</v>
      </c>
      <c r="AC36" s="16">
        <f t="shared" si="32"/>
        <v>0</v>
      </c>
      <c r="AD36" s="16">
        <f t="shared" si="32"/>
        <v>0</v>
      </c>
      <c r="AE36" s="16">
        <f t="shared" si="32"/>
        <v>0</v>
      </c>
      <c r="AF36" s="16"/>
      <c r="AG36" s="16"/>
      <c r="AH36" s="16"/>
      <c r="AI36" s="17">
        <f>+AI35/(A35*A$1)</f>
        <v>0.37760416666666669</v>
      </c>
      <c r="AJ36" s="6"/>
    </row>
    <row r="37" spans="1:36" x14ac:dyDescent="0.3">
      <c r="A37" s="2"/>
      <c r="B37" s="14"/>
      <c r="C37" s="15" t="s">
        <v>17</v>
      </c>
      <c r="D37" s="18">
        <f t="shared" ref="D37:AE37" si="33">+IFERROR(D39/D35,0)</f>
        <v>56.101304347826087</v>
      </c>
      <c r="E37" s="18">
        <f t="shared" si="33"/>
        <v>55.061666666666667</v>
      </c>
      <c r="F37" s="18">
        <f t="shared" si="33"/>
        <v>58.801785714285714</v>
      </c>
      <c r="G37" s="18">
        <f t="shared" si="33"/>
        <v>57.3</v>
      </c>
      <c r="H37" s="18">
        <f t="shared" si="33"/>
        <v>63.249473684210528</v>
      </c>
      <c r="I37" s="18">
        <f t="shared" si="33"/>
        <v>65.963636363636368</v>
      </c>
      <c r="J37" s="18">
        <f t="shared" si="33"/>
        <v>60.861891891891887</v>
      </c>
      <c r="K37" s="18">
        <f t="shared" si="33"/>
        <v>60.516111111111108</v>
      </c>
      <c r="L37" s="18">
        <f t="shared" si="33"/>
        <v>61.285454545454542</v>
      </c>
      <c r="M37" s="18">
        <f t="shared" si="33"/>
        <v>56.224838709677421</v>
      </c>
      <c r="N37" s="18">
        <f t="shared" si="33"/>
        <v>85.220434782608692</v>
      </c>
      <c r="O37" s="18">
        <f t="shared" si="33"/>
        <v>53.703725490196078</v>
      </c>
      <c r="P37" s="18">
        <f t="shared" si="33"/>
        <v>60.722539682539683</v>
      </c>
      <c r="Q37" s="18">
        <f t="shared" si="33"/>
        <v>67.697571428571422</v>
      </c>
      <c r="R37" s="18">
        <f t="shared" si="33"/>
        <v>109.71022222222223</v>
      </c>
      <c r="S37" s="18">
        <f t="shared" si="33"/>
        <v>8.74</v>
      </c>
      <c r="T37" s="18">
        <f t="shared" si="33"/>
        <v>82.05680000000001</v>
      </c>
      <c r="U37" s="18">
        <f t="shared" si="33"/>
        <v>76.630689655172418</v>
      </c>
      <c r="V37" s="18">
        <f t="shared" si="33"/>
        <v>83.094999999999999</v>
      </c>
      <c r="W37" s="18">
        <f t="shared" si="33"/>
        <v>68.77170212765958</v>
      </c>
      <c r="X37" s="18">
        <f t="shared" si="33"/>
        <v>61.121818181818185</v>
      </c>
      <c r="Y37" s="18">
        <f t="shared" si="33"/>
        <v>65.644230769230774</v>
      </c>
      <c r="Z37" s="18">
        <f t="shared" si="33"/>
        <v>55.173725490196084</v>
      </c>
      <c r="AA37" s="18">
        <f t="shared" si="33"/>
        <v>62.979027777777773</v>
      </c>
      <c r="AB37" s="18">
        <f t="shared" si="33"/>
        <v>66.786249999999995</v>
      </c>
      <c r="AC37" s="18">
        <f t="shared" si="33"/>
        <v>0</v>
      </c>
      <c r="AD37" s="18">
        <f t="shared" si="33"/>
        <v>0</v>
      </c>
      <c r="AE37" s="18">
        <f t="shared" si="33"/>
        <v>0</v>
      </c>
      <c r="AF37" s="18"/>
      <c r="AG37" s="18"/>
      <c r="AH37" s="18"/>
      <c r="AI37" s="19">
        <f>+AI39/AI35</f>
        <v>65.633290640394065</v>
      </c>
      <c r="AJ37" s="6"/>
    </row>
    <row r="38" spans="1:36" x14ac:dyDescent="0.3">
      <c r="A38" s="2"/>
      <c r="B38" s="14"/>
      <c r="C38" s="15" t="s">
        <v>18</v>
      </c>
      <c r="D38" s="18">
        <f t="shared" ref="D38:AE38" si="34">+D36*D37</f>
        <v>13.4409375</v>
      </c>
      <c r="E38" s="18">
        <f t="shared" si="34"/>
        <v>13.765416666666667</v>
      </c>
      <c r="F38" s="18">
        <f t="shared" si="34"/>
        <v>17.150520833333335</v>
      </c>
      <c r="G38" s="18">
        <f t="shared" si="34"/>
        <v>16.115624999999998</v>
      </c>
      <c r="H38" s="18">
        <f t="shared" si="34"/>
        <v>25.036249999999999</v>
      </c>
      <c r="I38" s="18">
        <f t="shared" si="34"/>
        <v>30.233333333333334</v>
      </c>
      <c r="J38" s="18">
        <f t="shared" si="34"/>
        <v>23.4571875</v>
      </c>
      <c r="K38" s="18">
        <f t="shared" si="34"/>
        <v>11.346770833333332</v>
      </c>
      <c r="L38" s="18">
        <f t="shared" si="34"/>
        <v>14.044583333333332</v>
      </c>
      <c r="M38" s="18">
        <f t="shared" si="34"/>
        <v>18.1559375</v>
      </c>
      <c r="N38" s="18">
        <f t="shared" si="34"/>
        <v>40.834791666666668</v>
      </c>
      <c r="O38" s="18">
        <f t="shared" si="34"/>
        <v>28.530104166666668</v>
      </c>
      <c r="P38" s="18">
        <f t="shared" si="34"/>
        <v>39.849166666666669</v>
      </c>
      <c r="Q38" s="18">
        <f t="shared" si="34"/>
        <v>49.36281249999999</v>
      </c>
      <c r="R38" s="18">
        <f t="shared" si="34"/>
        <v>51.426666666666669</v>
      </c>
      <c r="S38" s="18">
        <f t="shared" si="34"/>
        <v>2.0029166666666667</v>
      </c>
      <c r="T38" s="18">
        <f t="shared" si="34"/>
        <v>21.368958333333339</v>
      </c>
      <c r="U38" s="18">
        <f t="shared" si="34"/>
        <v>23.148854166666666</v>
      </c>
      <c r="V38" s="18">
        <f t="shared" si="34"/>
        <v>36.354062499999998</v>
      </c>
      <c r="W38" s="18">
        <f t="shared" si="34"/>
        <v>33.669479166666669</v>
      </c>
      <c r="X38" s="18">
        <f t="shared" si="34"/>
        <v>28.014166666666668</v>
      </c>
      <c r="Y38" s="18">
        <f t="shared" si="34"/>
        <v>35.557291666666664</v>
      </c>
      <c r="Z38" s="18">
        <f t="shared" si="34"/>
        <v>29.311041666666668</v>
      </c>
      <c r="AA38" s="18">
        <f t="shared" si="34"/>
        <v>47.234270833333326</v>
      </c>
      <c r="AB38" s="18">
        <f t="shared" si="34"/>
        <v>44.524166666666659</v>
      </c>
      <c r="AC38" s="18">
        <f t="shared" si="34"/>
        <v>0</v>
      </c>
      <c r="AD38" s="18">
        <f t="shared" si="34"/>
        <v>0</v>
      </c>
      <c r="AE38" s="18">
        <f t="shared" si="34"/>
        <v>0</v>
      </c>
      <c r="AF38" s="18"/>
      <c r="AG38" s="18"/>
      <c r="AH38" s="18"/>
      <c r="AI38" s="19">
        <f>+AI37*AI36</f>
        <v>24.783404017857134</v>
      </c>
      <c r="AJ38" s="6"/>
    </row>
    <row r="39" spans="1:36" x14ac:dyDescent="0.3">
      <c r="A39" s="2"/>
      <c r="B39" s="14"/>
      <c r="C39" s="15" t="s">
        <v>19</v>
      </c>
      <c r="D39" s="20">
        <v>1290.33</v>
      </c>
      <c r="E39" s="21">
        <v>1321.48</v>
      </c>
      <c r="F39" s="21">
        <v>1646.45</v>
      </c>
      <c r="G39" s="21">
        <v>1547.1</v>
      </c>
      <c r="H39" s="21">
        <v>2403.48</v>
      </c>
      <c r="I39" s="21">
        <v>2902.4</v>
      </c>
      <c r="J39" s="21">
        <v>2251.89</v>
      </c>
      <c r="K39" s="21">
        <v>1089.29</v>
      </c>
      <c r="L39" s="21">
        <v>1348.28</v>
      </c>
      <c r="M39" s="21">
        <v>1742.97</v>
      </c>
      <c r="N39" s="21">
        <v>3920.14</v>
      </c>
      <c r="O39" s="21">
        <v>2738.89</v>
      </c>
      <c r="P39" s="21">
        <v>3825.52</v>
      </c>
      <c r="Q39" s="21">
        <v>4738.83</v>
      </c>
      <c r="R39" s="21">
        <v>4936.96</v>
      </c>
      <c r="S39" s="21">
        <v>192.28</v>
      </c>
      <c r="T39" s="21">
        <v>2051.42</v>
      </c>
      <c r="U39" s="21">
        <v>2222.29</v>
      </c>
      <c r="V39" s="21">
        <v>3489.99</v>
      </c>
      <c r="W39" s="21">
        <v>3232.27</v>
      </c>
      <c r="X39" s="21">
        <v>2689.36</v>
      </c>
      <c r="Y39" s="21">
        <v>3413.5</v>
      </c>
      <c r="Z39" s="21">
        <v>2813.86</v>
      </c>
      <c r="AA39" s="21">
        <v>4534.49</v>
      </c>
      <c r="AB39" s="21">
        <v>4274.32</v>
      </c>
      <c r="AC39" s="21"/>
      <c r="AD39" s="21"/>
      <c r="AE39" s="21"/>
      <c r="AF39" s="21"/>
      <c r="AG39" s="21"/>
      <c r="AH39" s="21"/>
      <c r="AI39" s="22">
        <f>SUM(D39:AH39)</f>
        <v>66617.789999999979</v>
      </c>
      <c r="AJ39" s="6"/>
    </row>
    <row r="40" spans="1:36" ht="15" thickBot="1" x14ac:dyDescent="0.35">
      <c r="A40" s="23"/>
      <c r="B40" s="24"/>
      <c r="C40" s="15" t="s">
        <v>20</v>
      </c>
      <c r="D40" s="25">
        <f>888.39/D39</f>
        <v>0.68849829113482597</v>
      </c>
      <c r="E40" s="26">
        <f>1111.95/E39</f>
        <v>0.84144292762660056</v>
      </c>
      <c r="F40" s="26">
        <f>1122.55/F39</f>
        <v>0.68180023687327274</v>
      </c>
      <c r="G40" s="26">
        <f>871.85/G39</f>
        <v>0.56353823282270055</v>
      </c>
      <c r="H40" s="26">
        <f>1077.46/H39</f>
        <v>0.44829164378318109</v>
      </c>
      <c r="I40" s="26">
        <f>497.47/I39</f>
        <v>0.17139953142227124</v>
      </c>
      <c r="J40" s="26">
        <f>565.16/J39</f>
        <v>0.2509714062409798</v>
      </c>
      <c r="K40" s="26">
        <f>1053.04/K39</f>
        <v>0.96672144240743973</v>
      </c>
      <c r="L40" s="26">
        <f>1035.75/L39</f>
        <v>0.76820096715815711</v>
      </c>
      <c r="M40" s="26">
        <f>1064/M39</f>
        <v>0.6104522739920939</v>
      </c>
      <c r="N40" s="26">
        <f>833.1/N39</f>
        <v>0.21251792027835742</v>
      </c>
      <c r="O40" s="26">
        <f>1127.51/O39</f>
        <v>0.4116667701149006</v>
      </c>
      <c r="P40" s="26">
        <f>500.52/P39</f>
        <v>0.13083711495430686</v>
      </c>
      <c r="Q40" s="26">
        <f>881.68/Q39</f>
        <v>0.18605436362984112</v>
      </c>
      <c r="R40" s="26"/>
      <c r="S40" s="26">
        <f>126.16/S39</f>
        <v>0.65612648221343872</v>
      </c>
      <c r="T40" s="26">
        <f>474.5/T39</f>
        <v>0.23130319486014564</v>
      </c>
      <c r="U40" s="26">
        <f>1348.34/U39</f>
        <v>0.60673449459791473</v>
      </c>
      <c r="V40" s="26">
        <f>1088.68/V39</f>
        <v>0.31194358723090904</v>
      </c>
      <c r="W40" s="26">
        <f>398.48/W39</f>
        <v>0.12328178029681927</v>
      </c>
      <c r="X40" s="26">
        <f>562.68/X39</f>
        <v>0.20922449950917688</v>
      </c>
      <c r="Y40" s="26">
        <f>957.68/Y39</f>
        <v>0.28055661344660904</v>
      </c>
      <c r="Z40" s="26">
        <f>1115.25/Z39</f>
        <v>0.39634168011201693</v>
      </c>
      <c r="AA40" s="26">
        <f>918.9/AA39</f>
        <v>0.2026468246704701</v>
      </c>
      <c r="AB40" s="26">
        <f>793.85/AB39</f>
        <v>0.18572544872634714</v>
      </c>
      <c r="AC40" s="97">
        <f>IFERROR(795.69/AC39,0)</f>
        <v>0</v>
      </c>
      <c r="AD40" s="97">
        <f>IFERROR(373.05/AD39,0)</f>
        <v>0</v>
      </c>
      <c r="AE40" s="97">
        <f>IFERROR(750.18/AE39,0)</f>
        <v>0</v>
      </c>
      <c r="AF40" s="26"/>
      <c r="AG40" s="26"/>
      <c r="AH40" s="26"/>
      <c r="AI40" s="27">
        <f>AVERAGE(D40:AG40)</f>
        <v>0.37541769363343608</v>
      </c>
      <c r="AJ40" s="6"/>
    </row>
    <row r="41" spans="1:36" ht="15" thickTop="1" x14ac:dyDescent="0.3">
      <c r="A41" s="2">
        <v>94</v>
      </c>
      <c r="B41" s="28" t="s">
        <v>29</v>
      </c>
      <c r="C41" s="29" t="s">
        <v>15</v>
      </c>
      <c r="D41" s="30">
        <v>32</v>
      </c>
      <c r="E41" s="31">
        <v>37</v>
      </c>
      <c r="F41" s="31">
        <v>45</v>
      </c>
      <c r="G41" s="31">
        <v>32</v>
      </c>
      <c r="H41" s="31">
        <v>38</v>
      </c>
      <c r="I41" s="31">
        <v>33</v>
      </c>
      <c r="J41" s="31">
        <v>20</v>
      </c>
      <c r="K41" s="31">
        <v>28</v>
      </c>
      <c r="L41" s="31">
        <v>35</v>
      </c>
      <c r="M41" s="31">
        <v>57</v>
      </c>
      <c r="N41" s="31">
        <v>46</v>
      </c>
      <c r="O41" s="31">
        <v>32</v>
      </c>
      <c r="P41" s="31">
        <v>46</v>
      </c>
      <c r="Q41" s="31">
        <v>75</v>
      </c>
      <c r="R41" s="31">
        <v>40</v>
      </c>
      <c r="S41" s="31">
        <v>16</v>
      </c>
      <c r="T41" s="31">
        <v>8</v>
      </c>
      <c r="U41" s="31">
        <v>7</v>
      </c>
      <c r="V41" s="31">
        <v>3</v>
      </c>
      <c r="W41" s="31">
        <v>1</v>
      </c>
      <c r="X41" s="31">
        <v>5</v>
      </c>
      <c r="Y41" s="31">
        <v>7</v>
      </c>
      <c r="Z41" s="31">
        <v>7</v>
      </c>
      <c r="AA41" s="31">
        <v>18</v>
      </c>
      <c r="AB41" s="31">
        <v>21</v>
      </c>
      <c r="AC41" s="31">
        <v>12</v>
      </c>
      <c r="AD41" s="31">
        <v>17</v>
      </c>
      <c r="AE41" s="31">
        <v>52</v>
      </c>
      <c r="AF41" s="31"/>
      <c r="AG41" s="31"/>
      <c r="AH41" s="31"/>
      <c r="AI41" s="32">
        <f>SUM(D41:AH41)</f>
        <v>770</v>
      </c>
      <c r="AJ41" s="6"/>
    </row>
    <row r="42" spans="1:36" x14ac:dyDescent="0.3">
      <c r="A42" s="2"/>
      <c r="B42" s="33"/>
      <c r="C42" s="34" t="s">
        <v>16</v>
      </c>
      <c r="D42" s="35">
        <f t="shared" ref="D42:AE42" si="35">+D41/$A41</f>
        <v>0.34042553191489361</v>
      </c>
      <c r="E42" s="35">
        <f t="shared" si="35"/>
        <v>0.39361702127659576</v>
      </c>
      <c r="F42" s="35">
        <f t="shared" si="35"/>
        <v>0.47872340425531917</v>
      </c>
      <c r="G42" s="35">
        <f t="shared" si="35"/>
        <v>0.34042553191489361</v>
      </c>
      <c r="H42" s="35">
        <f t="shared" si="35"/>
        <v>0.40425531914893614</v>
      </c>
      <c r="I42" s="35">
        <f t="shared" si="35"/>
        <v>0.35106382978723405</v>
      </c>
      <c r="J42" s="35">
        <f t="shared" si="35"/>
        <v>0.21276595744680851</v>
      </c>
      <c r="K42" s="35">
        <f t="shared" si="35"/>
        <v>0.2978723404255319</v>
      </c>
      <c r="L42" s="35">
        <f t="shared" si="35"/>
        <v>0.37234042553191488</v>
      </c>
      <c r="M42" s="35">
        <f t="shared" si="35"/>
        <v>0.6063829787234043</v>
      </c>
      <c r="N42" s="35">
        <f t="shared" si="35"/>
        <v>0.48936170212765956</v>
      </c>
      <c r="O42" s="35">
        <f t="shared" si="35"/>
        <v>0.34042553191489361</v>
      </c>
      <c r="P42" s="35">
        <f t="shared" si="35"/>
        <v>0.48936170212765956</v>
      </c>
      <c r="Q42" s="35">
        <f t="shared" si="35"/>
        <v>0.7978723404255319</v>
      </c>
      <c r="R42" s="35">
        <f t="shared" si="35"/>
        <v>0.42553191489361702</v>
      </c>
      <c r="S42" s="35">
        <f t="shared" si="35"/>
        <v>0.1702127659574468</v>
      </c>
      <c r="T42" s="35">
        <f t="shared" si="35"/>
        <v>8.5106382978723402E-2</v>
      </c>
      <c r="U42" s="35">
        <f t="shared" si="35"/>
        <v>7.4468085106382975E-2</v>
      </c>
      <c r="V42" s="35">
        <f t="shared" si="35"/>
        <v>3.1914893617021274E-2</v>
      </c>
      <c r="W42" s="35">
        <f t="shared" si="35"/>
        <v>1.0638297872340425E-2</v>
      </c>
      <c r="X42" s="35">
        <f t="shared" si="35"/>
        <v>5.3191489361702128E-2</v>
      </c>
      <c r="Y42" s="35">
        <f t="shared" si="35"/>
        <v>7.4468085106382975E-2</v>
      </c>
      <c r="Z42" s="35">
        <f t="shared" si="35"/>
        <v>7.4468085106382975E-2</v>
      </c>
      <c r="AA42" s="35">
        <f t="shared" si="35"/>
        <v>0.19148936170212766</v>
      </c>
      <c r="AB42" s="35">
        <f t="shared" si="35"/>
        <v>0.22340425531914893</v>
      </c>
      <c r="AC42" s="35">
        <f t="shared" si="35"/>
        <v>0.1276595744680851</v>
      </c>
      <c r="AD42" s="35">
        <f t="shared" si="35"/>
        <v>0.18085106382978725</v>
      </c>
      <c r="AE42" s="35">
        <f t="shared" si="35"/>
        <v>0.55319148936170215</v>
      </c>
      <c r="AF42" s="35"/>
      <c r="AG42" s="35"/>
      <c r="AH42" s="35"/>
      <c r="AI42" s="36">
        <f>+AI41/(A41*A$1)</f>
        <v>0.29255319148936171</v>
      </c>
      <c r="AJ42" s="6"/>
    </row>
    <row r="43" spans="1:36" x14ac:dyDescent="0.3">
      <c r="A43" s="2"/>
      <c r="B43" s="33"/>
      <c r="C43" s="34" t="s">
        <v>17</v>
      </c>
      <c r="D43" s="37">
        <f t="shared" ref="D43:AE43" si="36">+IFERROR(D45/D41,0)</f>
        <v>86.658749999999998</v>
      </c>
      <c r="E43" s="37">
        <f t="shared" si="36"/>
        <v>83.10567567567567</v>
      </c>
      <c r="F43" s="37">
        <f t="shared" si="36"/>
        <v>87.526888888888891</v>
      </c>
      <c r="G43" s="37">
        <f t="shared" si="36"/>
        <v>92.889062499999994</v>
      </c>
      <c r="H43" s="37">
        <f t="shared" si="36"/>
        <v>88.594210526315791</v>
      </c>
      <c r="I43" s="37">
        <f t="shared" si="36"/>
        <v>93.032727272727271</v>
      </c>
      <c r="J43" s="37">
        <f t="shared" si="36"/>
        <v>83.219000000000008</v>
      </c>
      <c r="K43" s="37">
        <f t="shared" si="36"/>
        <v>83.601785714285711</v>
      </c>
      <c r="L43" s="37">
        <f t="shared" si="36"/>
        <v>89.817428571428579</v>
      </c>
      <c r="M43" s="37">
        <f t="shared" si="36"/>
        <v>92.948421052631588</v>
      </c>
      <c r="N43" s="37">
        <f t="shared" si="36"/>
        <v>39.83195652173913</v>
      </c>
      <c r="O43" s="37">
        <f t="shared" si="36"/>
        <v>91.077500000000001</v>
      </c>
      <c r="P43" s="37">
        <f t="shared" si="36"/>
        <v>101.465</v>
      </c>
      <c r="Q43" s="37">
        <f t="shared" si="36"/>
        <v>97.788133333333334</v>
      </c>
      <c r="R43" s="37">
        <f t="shared" si="36"/>
        <v>84.198250000000002</v>
      </c>
      <c r="S43" s="37">
        <f t="shared" si="36"/>
        <v>117.00624999999999</v>
      </c>
      <c r="T43" s="37">
        <f t="shared" si="36"/>
        <v>78.402500000000003</v>
      </c>
      <c r="U43" s="37">
        <f t="shared" si="36"/>
        <v>20.551428571428573</v>
      </c>
      <c r="V43" s="37">
        <f t="shared" si="36"/>
        <v>105.22333333333334</v>
      </c>
      <c r="W43" s="37">
        <f t="shared" si="36"/>
        <v>50</v>
      </c>
      <c r="X43" s="37">
        <f t="shared" si="36"/>
        <v>81.994</v>
      </c>
      <c r="Y43" s="37">
        <f t="shared" si="36"/>
        <v>87.527142857142863</v>
      </c>
      <c r="Z43" s="37">
        <f t="shared" si="36"/>
        <v>59.234285714285711</v>
      </c>
      <c r="AA43" s="37">
        <f t="shared" si="36"/>
        <v>98.954999999999998</v>
      </c>
      <c r="AB43" s="37">
        <f t="shared" si="36"/>
        <v>82.674761904761908</v>
      </c>
      <c r="AC43" s="37">
        <f t="shared" si="36"/>
        <v>107.11666666666667</v>
      </c>
      <c r="AD43" s="37">
        <f t="shared" si="36"/>
        <v>91.234705882352941</v>
      </c>
      <c r="AE43" s="37">
        <f t="shared" si="36"/>
        <v>83.382115384615389</v>
      </c>
      <c r="AF43" s="37"/>
      <c r="AG43" s="37"/>
      <c r="AH43" s="37"/>
      <c r="AI43" s="38">
        <f>+AI45/AI41</f>
        <v>86.87618181818182</v>
      </c>
      <c r="AJ43" s="6"/>
    </row>
    <row r="44" spans="1:36" x14ac:dyDescent="0.3">
      <c r="A44" s="2"/>
      <c r="B44" s="33"/>
      <c r="C44" s="34" t="s">
        <v>18</v>
      </c>
      <c r="D44" s="37">
        <f t="shared" ref="D44:AE44" si="37">+D42*D43</f>
        <v>29.500851063829785</v>
      </c>
      <c r="E44" s="37">
        <f t="shared" si="37"/>
        <v>32.711808510638299</v>
      </c>
      <c r="F44" s="37">
        <f t="shared" si="37"/>
        <v>41.901170212765962</v>
      </c>
      <c r="G44" s="37">
        <f t="shared" si="37"/>
        <v>31.621808510638296</v>
      </c>
      <c r="H44" s="37">
        <f t="shared" si="37"/>
        <v>35.814680851063827</v>
      </c>
      <c r="I44" s="37">
        <f t="shared" si="37"/>
        <v>32.660425531914896</v>
      </c>
      <c r="J44" s="37">
        <f t="shared" si="37"/>
        <v>17.706170212765958</v>
      </c>
      <c r="K44" s="37">
        <f t="shared" si="37"/>
        <v>24.902659574468082</v>
      </c>
      <c r="L44" s="37">
        <f t="shared" si="37"/>
        <v>33.442659574468088</v>
      </c>
      <c r="M44" s="37">
        <f t="shared" si="37"/>
        <v>56.362340425531926</v>
      </c>
      <c r="N44" s="37">
        <f t="shared" si="37"/>
        <v>19.492234042553189</v>
      </c>
      <c r="O44" s="37">
        <f t="shared" si="37"/>
        <v>31.005106382978724</v>
      </c>
      <c r="P44" s="37">
        <f t="shared" si="37"/>
        <v>49.653085106382981</v>
      </c>
      <c r="Q44" s="37">
        <f t="shared" si="37"/>
        <v>78.022446808510637</v>
      </c>
      <c r="R44" s="37">
        <f t="shared" si="37"/>
        <v>35.829042553191492</v>
      </c>
      <c r="S44" s="37">
        <f t="shared" si="37"/>
        <v>19.915957446808509</v>
      </c>
      <c r="T44" s="37">
        <f t="shared" si="37"/>
        <v>6.6725531914893619</v>
      </c>
      <c r="U44" s="37">
        <f t="shared" si="37"/>
        <v>1.5304255319148936</v>
      </c>
      <c r="V44" s="37">
        <f t="shared" si="37"/>
        <v>3.358191489361702</v>
      </c>
      <c r="W44" s="37">
        <f t="shared" si="37"/>
        <v>0.53191489361702127</v>
      </c>
      <c r="X44" s="37">
        <f t="shared" si="37"/>
        <v>4.3613829787234044</v>
      </c>
      <c r="Y44" s="37">
        <f t="shared" si="37"/>
        <v>6.5179787234042559</v>
      </c>
      <c r="Z44" s="37">
        <f t="shared" si="37"/>
        <v>4.411063829787234</v>
      </c>
      <c r="AA44" s="37">
        <f t="shared" si="37"/>
        <v>18.948829787234043</v>
      </c>
      <c r="AB44" s="37">
        <f t="shared" si="37"/>
        <v>18.469893617021278</v>
      </c>
      <c r="AC44" s="37">
        <f t="shared" si="37"/>
        <v>13.674468085106383</v>
      </c>
      <c r="AD44" s="37">
        <f t="shared" si="37"/>
        <v>16.499893617021279</v>
      </c>
      <c r="AE44" s="37">
        <f t="shared" si="37"/>
        <v>46.126276595744685</v>
      </c>
      <c r="AF44" s="37"/>
      <c r="AG44" s="37"/>
      <c r="AH44" s="37"/>
      <c r="AI44" s="38">
        <f>+AI43*AI42</f>
        <v>25.415904255319148</v>
      </c>
      <c r="AJ44" s="6"/>
    </row>
    <row r="45" spans="1:36" x14ac:dyDescent="0.3">
      <c r="A45" s="2"/>
      <c r="B45" s="33"/>
      <c r="C45" s="34" t="s">
        <v>19</v>
      </c>
      <c r="D45" s="20">
        <v>2773.08</v>
      </c>
      <c r="E45" s="21">
        <v>3074.91</v>
      </c>
      <c r="F45" s="21">
        <v>3938.71</v>
      </c>
      <c r="G45" s="21">
        <v>2972.45</v>
      </c>
      <c r="H45" s="21">
        <v>3366.58</v>
      </c>
      <c r="I45" s="21">
        <v>3070.08</v>
      </c>
      <c r="J45" s="21">
        <v>1664.38</v>
      </c>
      <c r="K45" s="21">
        <v>2340.85</v>
      </c>
      <c r="L45" s="21">
        <v>3143.61</v>
      </c>
      <c r="M45" s="21">
        <v>5298.06</v>
      </c>
      <c r="N45" s="21">
        <v>1832.27</v>
      </c>
      <c r="O45" s="21">
        <v>2914.48</v>
      </c>
      <c r="P45" s="21">
        <v>4667.3900000000003</v>
      </c>
      <c r="Q45" s="21">
        <v>7334.11</v>
      </c>
      <c r="R45" s="21">
        <v>3367.93</v>
      </c>
      <c r="S45" s="21">
        <v>1872.1</v>
      </c>
      <c r="T45" s="21">
        <v>627.22</v>
      </c>
      <c r="U45" s="21">
        <v>143.86000000000001</v>
      </c>
      <c r="V45" s="21">
        <v>315.67</v>
      </c>
      <c r="W45" s="21">
        <v>50</v>
      </c>
      <c r="X45" s="21">
        <v>409.97</v>
      </c>
      <c r="Y45" s="21">
        <v>612.69000000000005</v>
      </c>
      <c r="Z45" s="21">
        <v>414.64</v>
      </c>
      <c r="AA45" s="21">
        <v>1781.19</v>
      </c>
      <c r="AB45" s="21">
        <v>1736.17</v>
      </c>
      <c r="AC45" s="21">
        <v>1285.4000000000001</v>
      </c>
      <c r="AD45" s="21">
        <v>1550.99</v>
      </c>
      <c r="AE45" s="21">
        <v>4335.87</v>
      </c>
      <c r="AF45" s="21"/>
      <c r="AG45" s="21"/>
      <c r="AH45" s="21"/>
      <c r="AI45" s="39">
        <f>SUM(D45:AH45)</f>
        <v>66894.66</v>
      </c>
      <c r="AJ45" s="6"/>
    </row>
    <row r="46" spans="1:36" ht="15" thickBot="1" x14ac:dyDescent="0.35">
      <c r="A46" s="23"/>
      <c r="B46" s="40"/>
      <c r="C46" s="41" t="s">
        <v>20</v>
      </c>
      <c r="D46" s="49">
        <f>805.39/D45</f>
        <v>0.29043157788451829</v>
      </c>
      <c r="E46" s="50">
        <f>723.42/E45</f>
        <v>0.23526542240260689</v>
      </c>
      <c r="F46" s="50">
        <f>618.34/F45</f>
        <v>0.15699048673296587</v>
      </c>
      <c r="G46" s="50">
        <f>707.18/G45</f>
        <v>0.23791148715705898</v>
      </c>
      <c r="H46" s="50">
        <f>845.47/H45</f>
        <v>0.25113616786174697</v>
      </c>
      <c r="I46" s="50">
        <f>657.7/I45</f>
        <v>0.21422894517406715</v>
      </c>
      <c r="J46" s="50">
        <f>673.88/J45</f>
        <v>0.40488350016222252</v>
      </c>
      <c r="K46" s="50">
        <f>741.85/K45</f>
        <v>0.31691479590746952</v>
      </c>
      <c r="L46" s="50">
        <f>715.99/L45</f>
        <v>0.22776044102162799</v>
      </c>
      <c r="M46" s="50">
        <f>610.77/M45</f>
        <v>0.11528182013793727</v>
      </c>
      <c r="N46" s="52">
        <f>500.24/N45</f>
        <v>0.27301653140639753</v>
      </c>
      <c r="O46" s="50">
        <f>741.27/O45</f>
        <v>0.25434039691471549</v>
      </c>
      <c r="P46" s="50">
        <f>638.28/P45</f>
        <v>0.13675308898549296</v>
      </c>
      <c r="Q46" s="50">
        <f>303.11/Q45</f>
        <v>4.1328804722045351E-2</v>
      </c>
      <c r="R46" s="50"/>
      <c r="S46" s="50"/>
      <c r="T46" s="50">
        <f>319.28/T45</f>
        <v>0.50903989030962016</v>
      </c>
      <c r="U46" s="101">
        <f>557.48/U45</f>
        <v>3.8751564020575557</v>
      </c>
      <c r="V46" s="50">
        <f>542.29/V45</f>
        <v>1.7179016061076438</v>
      </c>
      <c r="W46" s="50">
        <f>399.31/W45</f>
        <v>7.9862000000000002</v>
      </c>
      <c r="X46" s="50">
        <f>499.24/X45</f>
        <v>1.2177476400712246</v>
      </c>
      <c r="Y46" s="50">
        <f>740.36/Y45</f>
        <v>1.2083761771858526</v>
      </c>
      <c r="Z46" s="50">
        <f>632.54/Z45</f>
        <v>1.5255161103607948</v>
      </c>
      <c r="AA46" s="50">
        <f>432.59/AA45</f>
        <v>0.24286572459984615</v>
      </c>
      <c r="AB46" s="50">
        <f>841.72/AB45</f>
        <v>0.48481427509978858</v>
      </c>
      <c r="AC46" s="50">
        <f>640.63/AC45</f>
        <v>0.49838960634821844</v>
      </c>
      <c r="AD46" s="50">
        <f>409.25/AD45</f>
        <v>0.26386372574936007</v>
      </c>
      <c r="AE46" s="50">
        <f>442.3/AE45</f>
        <v>0.1020095159679603</v>
      </c>
      <c r="AF46" s="50"/>
      <c r="AG46" s="50"/>
      <c r="AH46" s="50"/>
      <c r="AI46" s="51">
        <f>AVERAGE(D46:AG46)</f>
        <v>0.8764663130895668</v>
      </c>
      <c r="AJ46" s="6"/>
    </row>
    <row r="47" spans="1:36" ht="15" thickTop="1" x14ac:dyDescent="0.3">
      <c r="A47" s="23"/>
      <c r="B47" s="340" t="s">
        <v>77</v>
      </c>
      <c r="C47" s="341"/>
      <c r="D47" s="42">
        <f>(805.39+888.39)/(D39+D45)</f>
        <v>0.41683709003029479</v>
      </c>
      <c r="E47" s="43">
        <f>(723.42+1111.95)/(E39+E45)</f>
        <v>0.41747206230566447</v>
      </c>
      <c r="F47" s="43">
        <f>(618.34+1122.55)/(F39+F45)</f>
        <v>0.31169921721132426</v>
      </c>
      <c r="G47" s="43">
        <f>(707.18+871.85)/(G39+G45)</f>
        <v>0.34937770353243136</v>
      </c>
      <c r="H47" s="43">
        <f>(845.47+1077.46)/(H402+H45)</f>
        <v>0.57118203042850613</v>
      </c>
      <c r="I47" s="43">
        <f>(657.7+497.47)/(I39+I45)</f>
        <v>0.19341546560222891</v>
      </c>
      <c r="J47" s="43">
        <f>(673.88+565.16)/(J39+J45)</f>
        <v>0.31638268045870177</v>
      </c>
      <c r="K47" s="43">
        <f>(1053.04+741.85)/(K39+K45)</f>
        <v>0.52327018722267893</v>
      </c>
      <c r="L47" s="43">
        <f>(715.99+1035.75)/(L39+L45)</f>
        <v>0.38997838326406031</v>
      </c>
      <c r="M47" s="43">
        <f>(610.77+1064)/(M39+M45)</f>
        <v>0.23785866556455515</v>
      </c>
      <c r="N47" s="43">
        <f>(833.1+500.24)/(N39+N45)</f>
        <v>0.2317880679576039</v>
      </c>
      <c r="O47" s="43">
        <f>(741.27+1127.51)/(O39+O45)</f>
        <v>0.33056035603542666</v>
      </c>
      <c r="P47" s="43">
        <f>(638.28+500.52)/(P39+P45)</f>
        <v>0.13408831601889104</v>
      </c>
      <c r="Q47" s="43">
        <f>(303.11+881.68)/(Q39+Q45)</f>
        <v>9.8135996700058153E-2</v>
      </c>
      <c r="R47" s="43"/>
      <c r="S47" s="43"/>
      <c r="T47" s="43">
        <f>(319.28+474.5)/(T39+T45)</f>
        <v>0.29633694710748731</v>
      </c>
      <c r="U47" s="43">
        <f>(557.48+1348.34)/(U39+U45)</f>
        <v>0.80545189442765663</v>
      </c>
      <c r="V47" s="43">
        <f>(542.29+1088.68)/(V39+V45)</f>
        <v>0.42856429633756038</v>
      </c>
      <c r="W47" s="43">
        <f>(399.31+398.48)/(W39+W45)</f>
        <v>0.24306044292517068</v>
      </c>
      <c r="X47" s="43">
        <f>(499.24+562.68)/(X39+X45)</f>
        <v>0.3426288907602611</v>
      </c>
      <c r="Y47" s="43">
        <f>(740.36+957.68)/(Y39+Y45)</f>
        <v>0.42174860103472511</v>
      </c>
      <c r="Z47" s="43">
        <f>(632.54+1115.25)/(Z39+Z45)</f>
        <v>0.54136286201022144</v>
      </c>
      <c r="AA47" s="43">
        <f>(432.59+918.9)/(AA39+AA45)</f>
        <v>0.21398962582018088</v>
      </c>
      <c r="AB47" s="43">
        <f>(841.72+793.85)/(AB39+AB45)</f>
        <v>0.27211924485358102</v>
      </c>
      <c r="AC47" s="43">
        <f>(640.63+795.69)/(AC39+AC45)</f>
        <v>1.117410922669986</v>
      </c>
      <c r="AD47" s="43">
        <f>(409.25+373.05)/(AD39+AD45)</f>
        <v>0.50438752022901501</v>
      </c>
      <c r="AE47" s="43">
        <f>(442.3+750.18)/(AE39+AE45)</f>
        <v>0.27502669591108592</v>
      </c>
      <c r="AF47" s="43"/>
      <c r="AG47" s="43"/>
      <c r="AH47" s="43"/>
      <c r="AI47" s="44">
        <f>AVERAGE(D47:AG47)</f>
        <v>0.38400516024689851</v>
      </c>
      <c r="AJ47" s="6"/>
    </row>
    <row r="48" spans="1:36" ht="15" thickBot="1" x14ac:dyDescent="0.35">
      <c r="A48" s="23"/>
      <c r="B48" s="342" t="s">
        <v>78</v>
      </c>
      <c r="C48" s="343"/>
      <c r="D48" s="42">
        <f t="shared" ref="D48:I48" si="38">D47</f>
        <v>0.41683709003029479</v>
      </c>
      <c r="E48" s="43">
        <f t="shared" si="38"/>
        <v>0.41747206230566447</v>
      </c>
      <c r="F48" s="43">
        <f t="shared" si="38"/>
        <v>0.31169921721132426</v>
      </c>
      <c r="G48" s="43">
        <f t="shared" si="38"/>
        <v>0.34937770353243136</v>
      </c>
      <c r="H48" s="43">
        <f t="shared" si="38"/>
        <v>0.57118203042850613</v>
      </c>
      <c r="I48" s="43">
        <f t="shared" si="38"/>
        <v>0.19341546560222891</v>
      </c>
      <c r="J48" s="43">
        <f t="shared" ref="J48:Q48" si="39">J47</f>
        <v>0.31638268045870177</v>
      </c>
      <c r="K48" s="43">
        <f t="shared" si="39"/>
        <v>0.52327018722267893</v>
      </c>
      <c r="L48" s="43">
        <f t="shared" si="39"/>
        <v>0.38997838326406031</v>
      </c>
      <c r="M48" s="43">
        <f t="shared" si="39"/>
        <v>0.23785866556455515</v>
      </c>
      <c r="N48" s="43">
        <f t="shared" si="39"/>
        <v>0.2317880679576039</v>
      </c>
      <c r="O48" s="43">
        <f t="shared" si="39"/>
        <v>0.33056035603542666</v>
      </c>
      <c r="P48" s="43">
        <f t="shared" si="39"/>
        <v>0.13408831601889104</v>
      </c>
      <c r="Q48" s="43">
        <f t="shared" si="39"/>
        <v>9.8135996700058153E-2</v>
      </c>
      <c r="R48" s="43"/>
      <c r="S48" s="43"/>
      <c r="T48" s="43">
        <f t="shared" ref="T48:Z48" si="40">T47</f>
        <v>0.29633694710748731</v>
      </c>
      <c r="U48" s="43">
        <f t="shared" si="40"/>
        <v>0.80545189442765663</v>
      </c>
      <c r="V48" s="43">
        <f t="shared" si="40"/>
        <v>0.42856429633756038</v>
      </c>
      <c r="W48" s="43">
        <f t="shared" si="40"/>
        <v>0.24306044292517068</v>
      </c>
      <c r="X48" s="43">
        <f t="shared" si="40"/>
        <v>0.3426288907602611</v>
      </c>
      <c r="Y48" s="43">
        <f t="shared" si="40"/>
        <v>0.42174860103472511</v>
      </c>
      <c r="Z48" s="43">
        <f t="shared" si="40"/>
        <v>0.54136286201022144</v>
      </c>
      <c r="AA48" s="43">
        <f>AA47</f>
        <v>0.21398962582018088</v>
      </c>
      <c r="AB48" s="43">
        <f>AB47</f>
        <v>0.27211924485358102</v>
      </c>
      <c r="AC48" s="43">
        <f>AC47</f>
        <v>1.117410922669986</v>
      </c>
      <c r="AD48" s="43">
        <f>AD47</f>
        <v>0.50438752022901501</v>
      </c>
      <c r="AE48" s="43">
        <f>AE47</f>
        <v>0.27502669591108592</v>
      </c>
      <c r="AF48" s="43"/>
      <c r="AG48" s="43"/>
      <c r="AH48" s="43"/>
      <c r="AI48" s="44">
        <f>AVERAGE(D48:AH48)</f>
        <v>0.38400516024689851</v>
      </c>
      <c r="AJ48" s="6"/>
    </row>
    <row r="49" spans="1:36" ht="15" thickTop="1" x14ac:dyDescent="0.3">
      <c r="A49" s="2">
        <v>224</v>
      </c>
      <c r="B49" s="9" t="s">
        <v>69</v>
      </c>
      <c r="C49" s="10" t="s">
        <v>15</v>
      </c>
      <c r="D49" s="11">
        <f>54+34</f>
        <v>88</v>
      </c>
      <c r="E49" s="12">
        <f>54+34</f>
        <v>88</v>
      </c>
      <c r="F49" s="12">
        <f>64+24</f>
        <v>88</v>
      </c>
      <c r="G49" s="12">
        <f>57+22</f>
        <v>79</v>
      </c>
      <c r="H49" s="12">
        <f>60+19</f>
        <v>79</v>
      </c>
      <c r="I49" s="12">
        <f>51+16</f>
        <v>67</v>
      </c>
      <c r="J49" s="12">
        <f>36+25</f>
        <v>61</v>
      </c>
      <c r="K49" s="12">
        <f>38+32</f>
        <v>70</v>
      </c>
      <c r="L49" s="12">
        <f>59+38</f>
        <v>97</v>
      </c>
      <c r="M49" s="12">
        <f>95+33</f>
        <v>128</v>
      </c>
      <c r="N49" s="12">
        <f>82+35</f>
        <v>117</v>
      </c>
      <c r="O49" s="12">
        <f>61+34</f>
        <v>95</v>
      </c>
      <c r="P49" s="12">
        <f>125+40</f>
        <v>165</v>
      </c>
      <c r="Q49" s="12">
        <f>103+66</f>
        <v>169</v>
      </c>
      <c r="R49" s="12">
        <f>99+71</f>
        <v>170</v>
      </c>
      <c r="S49" s="12">
        <f>67+45</f>
        <v>112</v>
      </c>
      <c r="T49" s="12">
        <f>108+67</f>
        <v>175</v>
      </c>
      <c r="U49" s="12">
        <f>126+72</f>
        <v>198</v>
      </c>
      <c r="V49" s="12">
        <f>87+59</f>
        <v>146</v>
      </c>
      <c r="W49" s="12">
        <f>71+65</f>
        <v>136</v>
      </c>
      <c r="X49" s="12">
        <f>49+66</f>
        <v>115</v>
      </c>
      <c r="Y49" s="54">
        <f>68+83</f>
        <v>151</v>
      </c>
      <c r="Z49" s="54">
        <f>71+84</f>
        <v>155</v>
      </c>
      <c r="AA49" s="12">
        <f>73+82</f>
        <v>155</v>
      </c>
      <c r="AB49" s="12">
        <f>96+81</f>
        <v>177</v>
      </c>
      <c r="AC49" s="12">
        <f>91+81</f>
        <v>172</v>
      </c>
      <c r="AD49" s="12">
        <f>100+78</f>
        <v>178</v>
      </c>
      <c r="AE49" s="12">
        <f>91+80</f>
        <v>171</v>
      </c>
      <c r="AF49" s="12"/>
      <c r="AG49" s="12"/>
      <c r="AH49" s="12"/>
      <c r="AI49" s="13">
        <f>SUM(D49:AG49)</f>
        <v>3602</v>
      </c>
      <c r="AJ49" s="6"/>
    </row>
    <row r="50" spans="1:36" x14ac:dyDescent="0.3">
      <c r="A50" s="2"/>
      <c r="B50" s="14"/>
      <c r="C50" s="15" t="s">
        <v>16</v>
      </c>
      <c r="D50" s="16">
        <f>D49/$A$49</f>
        <v>0.39285714285714285</v>
      </c>
      <c r="E50" s="16">
        <f t="shared" ref="E50:U50" si="41">E49/$A$49</f>
        <v>0.39285714285714285</v>
      </c>
      <c r="F50" s="16">
        <f t="shared" si="41"/>
        <v>0.39285714285714285</v>
      </c>
      <c r="G50" s="16">
        <f t="shared" si="41"/>
        <v>0.35267857142857145</v>
      </c>
      <c r="H50" s="16">
        <f t="shared" si="41"/>
        <v>0.35267857142857145</v>
      </c>
      <c r="I50" s="16">
        <f t="shared" si="41"/>
        <v>0.29910714285714285</v>
      </c>
      <c r="J50" s="16">
        <f t="shared" si="41"/>
        <v>0.27232142857142855</v>
      </c>
      <c r="K50" s="16">
        <f t="shared" si="41"/>
        <v>0.3125</v>
      </c>
      <c r="L50" s="16">
        <f t="shared" si="41"/>
        <v>0.4330357142857143</v>
      </c>
      <c r="M50" s="16">
        <f t="shared" si="41"/>
        <v>0.5714285714285714</v>
      </c>
      <c r="N50" s="16">
        <f t="shared" si="41"/>
        <v>0.5223214285714286</v>
      </c>
      <c r="O50" s="16">
        <f t="shared" si="41"/>
        <v>0.42410714285714285</v>
      </c>
      <c r="P50" s="16">
        <f t="shared" si="41"/>
        <v>0.7366071428571429</v>
      </c>
      <c r="Q50" s="16">
        <f t="shared" si="41"/>
        <v>0.7544642857142857</v>
      </c>
      <c r="R50" s="16">
        <f t="shared" si="41"/>
        <v>0.7589285714285714</v>
      </c>
      <c r="S50" s="16">
        <f t="shared" si="41"/>
        <v>0.5</v>
      </c>
      <c r="T50" s="16">
        <f t="shared" si="41"/>
        <v>0.78125</v>
      </c>
      <c r="U50" s="16">
        <f t="shared" si="41"/>
        <v>0.8839285714285714</v>
      </c>
      <c r="V50" s="16">
        <f t="shared" ref="V50:AE50" si="42">V49/$A$49</f>
        <v>0.6517857142857143</v>
      </c>
      <c r="W50" s="16">
        <f t="shared" si="42"/>
        <v>0.6071428571428571</v>
      </c>
      <c r="X50" s="16">
        <f t="shared" si="42"/>
        <v>0.5133928571428571</v>
      </c>
      <c r="Y50" s="16">
        <f t="shared" si="42"/>
        <v>0.6741071428571429</v>
      </c>
      <c r="Z50" s="16">
        <f t="shared" si="42"/>
        <v>0.6919642857142857</v>
      </c>
      <c r="AA50" s="16">
        <f t="shared" si="42"/>
        <v>0.6919642857142857</v>
      </c>
      <c r="AB50" s="16">
        <f t="shared" si="42"/>
        <v>0.7901785714285714</v>
      </c>
      <c r="AC50" s="16">
        <f t="shared" si="42"/>
        <v>0.7678571428571429</v>
      </c>
      <c r="AD50" s="16">
        <f t="shared" si="42"/>
        <v>0.7946428571428571</v>
      </c>
      <c r="AE50" s="16">
        <f t="shared" si="42"/>
        <v>0.7633928571428571</v>
      </c>
      <c r="AF50" s="16"/>
      <c r="AG50" s="16"/>
      <c r="AH50" s="16"/>
      <c r="AI50" s="17">
        <f>+AI49/(A49*A$1)</f>
        <v>0.57429846938775508</v>
      </c>
      <c r="AJ50" s="6"/>
    </row>
    <row r="51" spans="1:36" x14ac:dyDescent="0.3">
      <c r="A51" s="2"/>
      <c r="B51" s="14"/>
      <c r="C51" s="15" t="s">
        <v>17</v>
      </c>
      <c r="D51" s="18">
        <f>+IFERROR(D53/D49,0)</f>
        <v>84.02943181818182</v>
      </c>
      <c r="E51" s="18">
        <f t="shared" ref="E51:AE51" si="43">+IFERROR(E53/E49,0)</f>
        <v>84.02943181818182</v>
      </c>
      <c r="F51" s="18">
        <f t="shared" si="43"/>
        <v>90.601249999999993</v>
      </c>
      <c r="G51" s="18">
        <f t="shared" si="43"/>
        <v>90.683291139240495</v>
      </c>
      <c r="H51" s="18">
        <f t="shared" si="43"/>
        <v>82.595822784810125</v>
      </c>
      <c r="I51" s="18">
        <f t="shared" si="43"/>
        <v>86.637611940298498</v>
      </c>
      <c r="J51" s="18">
        <f t="shared" si="43"/>
        <v>88.409180327868853</v>
      </c>
      <c r="K51" s="18">
        <f t="shared" si="43"/>
        <v>89.349571428571423</v>
      </c>
      <c r="L51" s="18">
        <f t="shared" si="43"/>
        <v>90.297938144329891</v>
      </c>
      <c r="M51" s="18">
        <f t="shared" si="43"/>
        <v>86.324609374999994</v>
      </c>
      <c r="N51" s="18">
        <f t="shared" si="43"/>
        <v>91.442820512820518</v>
      </c>
      <c r="O51" s="18">
        <f t="shared" si="43"/>
        <v>87.633052631578934</v>
      </c>
      <c r="P51" s="18">
        <f t="shared" si="43"/>
        <v>96.39678787878789</v>
      </c>
      <c r="Q51" s="18">
        <f t="shared" si="43"/>
        <v>97.832366863905335</v>
      </c>
      <c r="R51" s="18">
        <f t="shared" si="43"/>
        <v>100.19241176470588</v>
      </c>
      <c r="S51" s="18">
        <f t="shared" si="43"/>
        <v>131.99910714285713</v>
      </c>
      <c r="T51" s="18">
        <f t="shared" si="43"/>
        <v>98.055599999999998</v>
      </c>
      <c r="U51" s="18">
        <f t="shared" si="43"/>
        <v>109.92646464646464</v>
      </c>
      <c r="V51" s="18">
        <f t="shared" si="43"/>
        <v>95.853150684931506</v>
      </c>
      <c r="W51" s="18">
        <f t="shared" si="43"/>
        <v>95.283529411764704</v>
      </c>
      <c r="X51" s="18">
        <f t="shared" si="43"/>
        <v>74.682608695652178</v>
      </c>
      <c r="Y51" s="18">
        <f t="shared" si="43"/>
        <v>86.574635761589406</v>
      </c>
      <c r="Z51" s="18">
        <f t="shared" si="43"/>
        <v>78.662967741935475</v>
      </c>
      <c r="AA51" s="18">
        <f t="shared" si="43"/>
        <v>78.86270967741936</v>
      </c>
      <c r="AB51" s="18">
        <f t="shared" si="43"/>
        <v>76.478870056497172</v>
      </c>
      <c r="AC51" s="18">
        <f t="shared" si="43"/>
        <v>79.145058139534882</v>
      </c>
      <c r="AD51" s="18">
        <f t="shared" si="43"/>
        <v>77.370617977528084</v>
      </c>
      <c r="AE51" s="18">
        <f t="shared" si="43"/>
        <v>78.018713450292395</v>
      </c>
      <c r="AF51" s="18"/>
      <c r="AG51" s="18"/>
      <c r="AH51" s="18"/>
      <c r="AI51" s="19">
        <f>+AI53/AI49</f>
        <v>89.730805108273174</v>
      </c>
      <c r="AJ51" s="6"/>
    </row>
    <row r="52" spans="1:36" x14ac:dyDescent="0.3">
      <c r="A52" s="2"/>
      <c r="B52" s="14"/>
      <c r="C52" s="15" t="s">
        <v>18</v>
      </c>
      <c r="D52" s="18">
        <f>+D50*D51</f>
        <v>33.011562499999997</v>
      </c>
      <c r="E52" s="18">
        <f t="shared" ref="E52:U52" si="44">+E50*E51</f>
        <v>33.011562499999997</v>
      </c>
      <c r="F52" s="18">
        <f t="shared" si="44"/>
        <v>35.593348214285712</v>
      </c>
      <c r="G52" s="18">
        <f t="shared" si="44"/>
        <v>31.982053571428569</v>
      </c>
      <c r="H52" s="18">
        <f t="shared" si="44"/>
        <v>29.129776785714288</v>
      </c>
      <c r="I52" s="18">
        <f t="shared" si="44"/>
        <v>25.913928571428567</v>
      </c>
      <c r="J52" s="18">
        <f t="shared" si="44"/>
        <v>24.075714285714284</v>
      </c>
      <c r="K52" s="18">
        <f t="shared" si="44"/>
        <v>27.921741071428571</v>
      </c>
      <c r="L52" s="18">
        <f t="shared" si="44"/>
        <v>39.10223214285714</v>
      </c>
      <c r="M52" s="18">
        <f t="shared" si="44"/>
        <v>49.328348214285711</v>
      </c>
      <c r="N52" s="18">
        <f t="shared" si="44"/>
        <v>47.762544642857151</v>
      </c>
      <c r="O52" s="18">
        <f t="shared" si="44"/>
        <v>37.165803571428562</v>
      </c>
      <c r="P52" s="18">
        <f t="shared" si="44"/>
        <v>71.006562500000015</v>
      </c>
      <c r="Q52" s="18">
        <f t="shared" si="44"/>
        <v>73.81102678571429</v>
      </c>
      <c r="R52" s="18">
        <f t="shared" si="44"/>
        <v>76.038883928571423</v>
      </c>
      <c r="S52" s="18">
        <f t="shared" si="44"/>
        <v>65.999553571428564</v>
      </c>
      <c r="T52" s="18">
        <f t="shared" si="44"/>
        <v>76.605937499999996</v>
      </c>
      <c r="U52" s="18">
        <f t="shared" si="44"/>
        <v>97.167142857142849</v>
      </c>
      <c r="V52" s="18">
        <f t="shared" ref="V52:AE52" si="45">+V50*V51</f>
        <v>62.47571428571429</v>
      </c>
      <c r="W52" s="18">
        <f t="shared" si="45"/>
        <v>57.850714285714282</v>
      </c>
      <c r="X52" s="18">
        <f t="shared" si="45"/>
        <v>38.341517857142854</v>
      </c>
      <c r="Y52" s="18">
        <f t="shared" si="45"/>
        <v>58.360580357142865</v>
      </c>
      <c r="Z52" s="18">
        <f t="shared" si="45"/>
        <v>54.43196428571428</v>
      </c>
      <c r="AA52" s="18">
        <f t="shared" si="45"/>
        <v>54.570178571428571</v>
      </c>
      <c r="AB52" s="18">
        <f t="shared" si="45"/>
        <v>60.43196428571428</v>
      </c>
      <c r="AC52" s="18">
        <f t="shared" si="45"/>
        <v>60.77209821428572</v>
      </c>
      <c r="AD52" s="18">
        <f t="shared" si="45"/>
        <v>61.482008928571418</v>
      </c>
      <c r="AE52" s="18">
        <f t="shared" si="45"/>
        <v>59.558928571428567</v>
      </c>
      <c r="AF52" s="18"/>
      <c r="AG52" s="18"/>
      <c r="AH52" s="18"/>
      <c r="AI52" s="19">
        <f>+AI51*AI50</f>
        <v>51.532264030612239</v>
      </c>
      <c r="AJ52" s="6"/>
    </row>
    <row r="53" spans="1:36" x14ac:dyDescent="0.3">
      <c r="A53" s="2"/>
      <c r="B53" s="14"/>
      <c r="C53" s="15" t="s">
        <v>19</v>
      </c>
      <c r="D53" s="20">
        <f>4426.67+2967.92</f>
        <v>7394.59</v>
      </c>
      <c r="E53" s="21">
        <f>4426.67+2967.92</f>
        <v>7394.59</v>
      </c>
      <c r="F53" s="21">
        <f>5802.83+2170.08</f>
        <v>7972.91</v>
      </c>
      <c r="G53" s="21">
        <f>4995.17+2168.81</f>
        <v>7163.98</v>
      </c>
      <c r="H53" s="21">
        <f>4760.04+1765.03</f>
        <v>6525.07</v>
      </c>
      <c r="I53" s="21">
        <f>4272.49+1532.23</f>
        <v>5804.7199999999993</v>
      </c>
      <c r="J53" s="21">
        <f>3168.46+2224.5</f>
        <v>5392.96</v>
      </c>
      <c r="K53" s="21">
        <f>3408.06+2846.41</f>
        <v>6254.4699999999993</v>
      </c>
      <c r="L53" s="21">
        <f>5234.3+3524.6</f>
        <v>8758.9</v>
      </c>
      <c r="M53" s="21">
        <f>8203.42+2846.13</f>
        <v>11049.55</v>
      </c>
      <c r="N53" s="21">
        <f>7567.56+3131.25</f>
        <v>10698.810000000001</v>
      </c>
      <c r="O53" s="21">
        <f>5306.41+3018.73</f>
        <v>8325.14</v>
      </c>
      <c r="P53" s="21">
        <f>12153.34+3752.13</f>
        <v>15905.470000000001</v>
      </c>
      <c r="Q53" s="21">
        <f>9955.95+6577.72</f>
        <v>16533.670000000002</v>
      </c>
      <c r="R53" s="21">
        <f>10300.59+6732.12</f>
        <v>17032.71</v>
      </c>
      <c r="S53" s="21">
        <f>10430.47+4353.43</f>
        <v>14783.9</v>
      </c>
      <c r="T53" s="21">
        <f>10214.03+6945.7</f>
        <v>17159.73</v>
      </c>
      <c r="U53" s="21">
        <f>14017.4+7748.04</f>
        <v>21765.439999999999</v>
      </c>
      <c r="V53" s="21">
        <f>8140.28+5854.28</f>
        <v>13994.56</v>
      </c>
      <c r="W53" s="21">
        <f>8704.57+4253.99</f>
        <v>12958.56</v>
      </c>
      <c r="X53" s="21">
        <f>4214.87+4373.63</f>
        <v>8588.5</v>
      </c>
      <c r="Y53" s="21">
        <f>7500.51+5572.26</f>
        <v>13072.77</v>
      </c>
      <c r="Z53" s="21">
        <f>6514.86+5677.9</f>
        <v>12192.759999999998</v>
      </c>
      <c r="AA53" s="21">
        <f>6553.68+5670.04</f>
        <v>12223.720000000001</v>
      </c>
      <c r="AB53" s="21">
        <f>8127.74+5409.02</f>
        <v>13536.76</v>
      </c>
      <c r="AC53" s="21">
        <f>8185.09+5427.86</f>
        <v>13612.95</v>
      </c>
      <c r="AD53" s="21">
        <f>8747.32+5024.65</f>
        <v>13771.97</v>
      </c>
      <c r="AE53" s="21">
        <f>8167.11+5174.09</f>
        <v>13341.2</v>
      </c>
      <c r="AF53" s="21"/>
      <c r="AG53" s="21"/>
      <c r="AH53" s="21"/>
      <c r="AI53" s="22">
        <f>SUM(D53:AG53)</f>
        <v>323210.36</v>
      </c>
      <c r="AJ53" s="6"/>
    </row>
    <row r="54" spans="1:36" x14ac:dyDescent="0.3">
      <c r="A54" s="2"/>
      <c r="B54" s="14"/>
      <c r="C54" s="15" t="s">
        <v>34</v>
      </c>
      <c r="D54" s="20">
        <v>649.66999999999996</v>
      </c>
      <c r="E54" s="21">
        <v>649.66999999999996</v>
      </c>
      <c r="F54" s="21">
        <v>444.92</v>
      </c>
      <c r="G54" s="21">
        <v>866.26</v>
      </c>
      <c r="H54" s="21">
        <v>469.48</v>
      </c>
      <c r="I54" s="21">
        <v>585.69000000000005</v>
      </c>
      <c r="J54" s="21">
        <f>209.72</f>
        <v>209.72</v>
      </c>
      <c r="K54" s="21">
        <v>609.15</v>
      </c>
      <c r="L54" s="21">
        <v>306.70999999999998</v>
      </c>
      <c r="M54" s="21">
        <v>1417.43</v>
      </c>
      <c r="N54" s="21">
        <v>1075.95</v>
      </c>
      <c r="O54" s="21">
        <v>398.18</v>
      </c>
      <c r="P54" s="21">
        <v>1812.61</v>
      </c>
      <c r="Q54" s="21">
        <v>1994.48</v>
      </c>
      <c r="R54" s="21">
        <v>0</v>
      </c>
      <c r="S54" s="21">
        <v>0</v>
      </c>
      <c r="T54" s="21">
        <v>4162.6499999999996</v>
      </c>
      <c r="U54" s="21">
        <v>2605.7600000000002</v>
      </c>
      <c r="V54" s="21">
        <v>483.69</v>
      </c>
      <c r="W54" s="21">
        <v>557.91</v>
      </c>
      <c r="X54" s="21">
        <v>500.16</v>
      </c>
      <c r="Y54" s="21">
        <v>824.78</v>
      </c>
      <c r="Z54" s="21">
        <v>569.41999999999996</v>
      </c>
      <c r="AA54" s="21">
        <v>662.56</v>
      </c>
      <c r="AB54" s="21">
        <v>565.54999999999995</v>
      </c>
      <c r="AC54" s="21">
        <v>665.34</v>
      </c>
      <c r="AD54" s="21">
        <v>582.94000000000005</v>
      </c>
      <c r="AE54" s="21">
        <v>1027.4100000000001</v>
      </c>
      <c r="AF54" s="21"/>
      <c r="AG54" s="21"/>
      <c r="AH54" s="21"/>
      <c r="AI54" s="22">
        <f>SUM(D54:AH54)</f>
        <v>24698.089999999997</v>
      </c>
      <c r="AJ54" s="6"/>
    </row>
    <row r="55" spans="1:36" ht="15" thickBot="1" x14ac:dyDescent="0.35">
      <c r="A55" s="2"/>
      <c r="B55" s="14"/>
      <c r="C55" s="15" t="s">
        <v>35</v>
      </c>
      <c r="D55" s="20">
        <f>5152.91+3002.18</f>
        <v>8155.09</v>
      </c>
      <c r="E55" s="21">
        <f>5152.91+3002.18</f>
        <v>8155.09</v>
      </c>
      <c r="F55" s="21">
        <f>6334.74+2181.88</f>
        <v>8516.619999999999</v>
      </c>
      <c r="G55" s="21">
        <f>5980.6+2186.36</f>
        <v>8166.9600000000009</v>
      </c>
      <c r="H55" s="21">
        <f>5259.49+1789.98</f>
        <v>7049.4699999999993</v>
      </c>
      <c r="I55" s="21">
        <f>4877.31+1535</f>
        <v>6412.31</v>
      </c>
      <c r="J55" s="21">
        <f>3375.72+2224.5</f>
        <v>5600.2199999999993</v>
      </c>
      <c r="K55" s="21">
        <f>4031.72+2853.62</f>
        <v>6885.34</v>
      </c>
      <c r="L55" s="21">
        <f>5553.15+3513</f>
        <v>9066.15</v>
      </c>
      <c r="M55" s="21">
        <f>9659.35+2850.1</f>
        <v>12509.45</v>
      </c>
      <c r="N55" s="21">
        <f>8662.49+3237.72</f>
        <v>11900.21</v>
      </c>
      <c r="O55" s="21">
        <f>5703.31+3028.9</f>
        <v>8732.2100000000009</v>
      </c>
      <c r="P55" s="21">
        <f>13965.7+3762.23</f>
        <v>17727.93</v>
      </c>
      <c r="Q55" s="21">
        <f>12000.25+6633.6</f>
        <v>18633.849999999999</v>
      </c>
      <c r="R55" s="21">
        <f>10366.6+6750.14</f>
        <v>17116.740000000002</v>
      </c>
      <c r="S55" s="21">
        <f>10441.34+4353.43</f>
        <v>14794.77</v>
      </c>
      <c r="T55" s="21">
        <f>14464.35+6980.78</f>
        <v>21445.13</v>
      </c>
      <c r="U55" s="21">
        <f>16708.89+7808.28</f>
        <v>24517.17</v>
      </c>
      <c r="V55" s="21">
        <f>8699.35+5926.04</f>
        <v>14625.39</v>
      </c>
      <c r="W55" s="102">
        <f>9316.37+4257.59</f>
        <v>13573.960000000001</v>
      </c>
      <c r="X55" s="21">
        <f>4814.42+4494.3</f>
        <v>9308.7200000000012</v>
      </c>
      <c r="Y55" s="21">
        <f>9157.37+5612.91</f>
        <v>14770.28</v>
      </c>
      <c r="Z55" s="21">
        <f>25812.73+5683.44</f>
        <v>31496.17</v>
      </c>
      <c r="AA55" s="21">
        <f>7351.57+5680.21</f>
        <v>13031.779999999999</v>
      </c>
      <c r="AB55" s="21">
        <f>31545.5+5520.46</f>
        <v>37065.96</v>
      </c>
      <c r="AC55" s="21">
        <f>22193.54+5445.22</f>
        <v>27638.760000000002</v>
      </c>
      <c r="AD55" s="21">
        <f>9526.71+5038.5</f>
        <v>14565.21</v>
      </c>
      <c r="AE55" s="21">
        <f>10724.42+5197.28</f>
        <v>15921.7</v>
      </c>
      <c r="AF55" s="21"/>
      <c r="AG55" s="21"/>
      <c r="AH55" s="21"/>
      <c r="AI55" s="22">
        <f>SUM(D55:AG55)</f>
        <v>407382.64000000007</v>
      </c>
      <c r="AJ55" s="6"/>
    </row>
    <row r="56" spans="1:36" ht="15" thickBot="1" x14ac:dyDescent="0.35">
      <c r="A56" s="23"/>
      <c r="B56" s="24"/>
      <c r="C56" s="15" t="s">
        <v>20</v>
      </c>
      <c r="D56" s="25">
        <f>2013.61/D55</f>
        <v>0.24691450370259554</v>
      </c>
      <c r="E56" s="26">
        <f>2763.86/E55</f>
        <v>0.33891226215774445</v>
      </c>
      <c r="F56" s="26">
        <f>2522.07/F55</f>
        <v>0.2961350864544855</v>
      </c>
      <c r="G56" s="26">
        <f>3019.6/G55</f>
        <v>0.36973365854614199</v>
      </c>
      <c r="H56" s="26">
        <f>2478.37/H55</f>
        <v>0.35156827392697609</v>
      </c>
      <c r="I56" s="26">
        <f>1336.18/I55</f>
        <v>0.20837732424040634</v>
      </c>
      <c r="J56" s="26">
        <f>1444.07/J55</f>
        <v>0.25785951266200258</v>
      </c>
      <c r="K56" s="26">
        <f>2237.47/K55</f>
        <v>0.32496143981270348</v>
      </c>
      <c r="L56" s="26">
        <f>1393.7/L55</f>
        <v>0.15372567186733069</v>
      </c>
      <c r="M56" s="26">
        <f>904.3/M55</f>
        <v>7.2289349251965507E-2</v>
      </c>
      <c r="N56" s="26">
        <f>1526.35/N55</f>
        <v>0.12826244242748658</v>
      </c>
      <c r="O56" s="26">
        <f>1089.56/O55</f>
        <v>0.12477482790725369</v>
      </c>
      <c r="P56" s="26">
        <f>1948.77/P55</f>
        <v>0.10992653964676079</v>
      </c>
      <c r="Q56" s="72">
        <f>IFERROR(2251.39/Q55,0)</f>
        <v>0.12082258899797949</v>
      </c>
      <c r="R56" s="115">
        <f>IFERROR(2251.39/R55,0)</f>
        <v>0.13153147153020958</v>
      </c>
      <c r="S56" s="120">
        <f>IFERROR(2251.39/S55,0)</f>
        <v>0.15217472120215453</v>
      </c>
      <c r="T56" s="120">
        <f>IFERROR(2251.39/T55,0)</f>
        <v>0.10498374222958778</v>
      </c>
      <c r="U56" s="120">
        <f>2460.24/U55</f>
        <v>0.10034763392349116</v>
      </c>
      <c r="V56" s="120">
        <f>811.92/V55</f>
        <v>5.5514417051442728E-2</v>
      </c>
      <c r="W56" s="120">
        <f>1416.77/W55</f>
        <v>0.10437411042908627</v>
      </c>
      <c r="X56" s="120">
        <f>374.55/X55</f>
        <v>4.023646645296023E-2</v>
      </c>
      <c r="Y56" s="120">
        <f>1281.03/Y55</f>
        <v>8.6730244788859781E-2</v>
      </c>
      <c r="Z56" s="121">
        <f>2137.08/Z55</f>
        <v>6.7852059472627943E-2</v>
      </c>
      <c r="AA56" s="120">
        <f>1529.33/AA55</f>
        <v>0.11735388412020462</v>
      </c>
      <c r="AB56" s="120">
        <f>2080.24/AB55</f>
        <v>5.6122652698055032E-2</v>
      </c>
      <c r="AC56" s="120">
        <f>1818.78/AC55</f>
        <v>6.5805412399109073E-2</v>
      </c>
      <c r="AD56" s="120">
        <f>673.69/AD55</f>
        <v>4.6253366755439854E-2</v>
      </c>
      <c r="AE56" s="120">
        <f>1323.88/AE55</f>
        <v>8.3149412437114129E-2</v>
      </c>
      <c r="AF56" s="88">
        <f>IFERROR(2251.39/AF55,0)</f>
        <v>0</v>
      </c>
      <c r="AG56" s="88">
        <f>IFERROR(2251.39/AG55,0)</f>
        <v>0</v>
      </c>
      <c r="AH56" s="88">
        <f>IFERROR(2251.39/AH55,0)</f>
        <v>0</v>
      </c>
      <c r="AI56" s="27">
        <f>AVERAGE(D56:AG56)</f>
        <v>0.14388976923640584</v>
      </c>
      <c r="AJ56" s="56"/>
    </row>
    <row r="57" spans="1:36" ht="15" thickBot="1" x14ac:dyDescent="0.35">
      <c r="A57" s="23"/>
      <c r="B57" s="346" t="s">
        <v>80</v>
      </c>
      <c r="C57" s="347"/>
      <c r="D57" s="25">
        <f t="shared" ref="D57:I57" si="46">D56</f>
        <v>0.24691450370259554</v>
      </c>
      <c r="E57" s="26">
        <f t="shared" si="46"/>
        <v>0.33891226215774445</v>
      </c>
      <c r="F57" s="26">
        <f t="shared" si="46"/>
        <v>0.2961350864544855</v>
      </c>
      <c r="G57" s="26">
        <f t="shared" si="46"/>
        <v>0.36973365854614199</v>
      </c>
      <c r="H57" s="26">
        <f t="shared" si="46"/>
        <v>0.35156827392697609</v>
      </c>
      <c r="I57" s="26">
        <f t="shared" si="46"/>
        <v>0.20837732424040634</v>
      </c>
      <c r="J57" s="26">
        <f t="shared" ref="J57:Q57" si="47">J56</f>
        <v>0.25785951266200258</v>
      </c>
      <c r="K57" s="26">
        <f t="shared" si="47"/>
        <v>0.32496143981270348</v>
      </c>
      <c r="L57" s="26">
        <f t="shared" si="47"/>
        <v>0.15372567186733069</v>
      </c>
      <c r="M57" s="26">
        <f t="shared" si="47"/>
        <v>7.2289349251965507E-2</v>
      </c>
      <c r="N57" s="26">
        <f t="shared" si="47"/>
        <v>0.12826244242748658</v>
      </c>
      <c r="O57" s="26">
        <f t="shared" si="47"/>
        <v>0.12477482790725369</v>
      </c>
      <c r="P57" s="26">
        <f t="shared" si="47"/>
        <v>0.10992653964676079</v>
      </c>
      <c r="Q57" s="72">
        <f t="shared" si="47"/>
        <v>0.12082258899797949</v>
      </c>
      <c r="R57" s="116">
        <f t="shared" ref="R57:Y57" si="48">R56</f>
        <v>0.13153147153020958</v>
      </c>
      <c r="S57" s="26">
        <f t="shared" si="48"/>
        <v>0.15217472120215453</v>
      </c>
      <c r="T57" s="26">
        <f t="shared" si="48"/>
        <v>0.10498374222958778</v>
      </c>
      <c r="U57" s="26">
        <f t="shared" si="48"/>
        <v>0.10034763392349116</v>
      </c>
      <c r="V57" s="26">
        <f t="shared" si="48"/>
        <v>5.5514417051442728E-2</v>
      </c>
      <c r="W57" s="26">
        <f t="shared" si="48"/>
        <v>0.10437411042908627</v>
      </c>
      <c r="X57" s="26">
        <f t="shared" si="48"/>
        <v>4.023646645296023E-2</v>
      </c>
      <c r="Y57" s="26">
        <f t="shared" si="48"/>
        <v>8.6730244788859781E-2</v>
      </c>
      <c r="Z57" s="57">
        <f t="shared" ref="Z57:AE57" si="49">Z56</f>
        <v>6.7852059472627943E-2</v>
      </c>
      <c r="AA57" s="26">
        <f t="shared" si="49"/>
        <v>0.11735388412020462</v>
      </c>
      <c r="AB57" s="26">
        <f t="shared" si="49"/>
        <v>5.6122652698055032E-2</v>
      </c>
      <c r="AC57" s="26">
        <f t="shared" si="49"/>
        <v>6.5805412399109073E-2</v>
      </c>
      <c r="AD57" s="26">
        <f t="shared" si="49"/>
        <v>4.6253366755439854E-2</v>
      </c>
      <c r="AE57" s="26">
        <f t="shared" si="49"/>
        <v>8.3149412437114129E-2</v>
      </c>
      <c r="AF57" s="26"/>
      <c r="AG57" s="26"/>
      <c r="AH57" s="26"/>
      <c r="AI57" s="27">
        <f>AVERAGE(D57:AH57)</f>
        <v>0.15416760989614911</v>
      </c>
      <c r="AJ57" s="58"/>
    </row>
    <row r="58" spans="1:36" x14ac:dyDescent="0.3">
      <c r="A58" s="2">
        <v>74</v>
      </c>
      <c r="B58" s="33" t="s">
        <v>36</v>
      </c>
      <c r="C58" s="34" t="s">
        <v>15</v>
      </c>
      <c r="D58" s="59">
        <v>20</v>
      </c>
      <c r="E58" s="60">
        <v>25</v>
      </c>
      <c r="F58" s="60">
        <v>30</v>
      </c>
      <c r="G58" s="60">
        <v>36</v>
      </c>
      <c r="H58" s="60">
        <v>32</v>
      </c>
      <c r="I58" s="60">
        <v>22</v>
      </c>
      <c r="J58" s="60">
        <v>11</v>
      </c>
      <c r="K58" s="60">
        <v>20</v>
      </c>
      <c r="L58" s="60">
        <v>32</v>
      </c>
      <c r="M58" s="60">
        <v>30</v>
      </c>
      <c r="N58" s="60">
        <v>53</v>
      </c>
      <c r="O58" s="60">
        <v>28</v>
      </c>
      <c r="P58" s="60">
        <v>35</v>
      </c>
      <c r="Q58" s="60">
        <v>55</v>
      </c>
      <c r="R58" s="60">
        <v>62</v>
      </c>
      <c r="S58" s="60">
        <v>42</v>
      </c>
      <c r="T58" s="60">
        <v>40</v>
      </c>
      <c r="U58" s="60">
        <v>29</v>
      </c>
      <c r="V58" s="60">
        <v>33</v>
      </c>
      <c r="W58" s="60">
        <v>30</v>
      </c>
      <c r="X58" s="60">
        <v>23</v>
      </c>
      <c r="Y58" s="60">
        <v>43</v>
      </c>
      <c r="Z58" s="61">
        <v>48</v>
      </c>
      <c r="AA58" s="60">
        <v>54</v>
      </c>
      <c r="AB58" s="60">
        <v>55</v>
      </c>
      <c r="AC58" s="60"/>
      <c r="AD58" s="60">
        <v>45</v>
      </c>
      <c r="AE58" s="60">
        <v>30</v>
      </c>
      <c r="AF58" s="60"/>
      <c r="AG58" s="60"/>
      <c r="AH58" s="60"/>
      <c r="AI58" s="62">
        <f>SUM(D58:AH58)</f>
        <v>963</v>
      </c>
      <c r="AJ58" s="6"/>
    </row>
    <row r="59" spans="1:36" x14ac:dyDescent="0.3">
      <c r="A59" s="2"/>
      <c r="B59" s="33"/>
      <c r="C59" s="34" t="s">
        <v>16</v>
      </c>
      <c r="D59" s="35">
        <f t="shared" ref="D59:AE59" si="50">+D58/$A58</f>
        <v>0.27027027027027029</v>
      </c>
      <c r="E59" s="35">
        <f t="shared" si="50"/>
        <v>0.33783783783783783</v>
      </c>
      <c r="F59" s="35">
        <f t="shared" si="50"/>
        <v>0.40540540540540543</v>
      </c>
      <c r="G59" s="35">
        <f t="shared" si="50"/>
        <v>0.48648648648648651</v>
      </c>
      <c r="H59" s="35">
        <f t="shared" si="50"/>
        <v>0.43243243243243246</v>
      </c>
      <c r="I59" s="35">
        <f t="shared" si="50"/>
        <v>0.29729729729729731</v>
      </c>
      <c r="J59" s="35">
        <f t="shared" si="50"/>
        <v>0.14864864864864866</v>
      </c>
      <c r="K59" s="35">
        <f t="shared" si="50"/>
        <v>0.27027027027027029</v>
      </c>
      <c r="L59" s="35">
        <f t="shared" si="50"/>
        <v>0.43243243243243246</v>
      </c>
      <c r="M59" s="35">
        <f t="shared" si="50"/>
        <v>0.40540540540540543</v>
      </c>
      <c r="N59" s="35">
        <f t="shared" si="50"/>
        <v>0.71621621621621623</v>
      </c>
      <c r="O59" s="35">
        <f t="shared" si="50"/>
        <v>0.3783783783783784</v>
      </c>
      <c r="P59" s="35">
        <f t="shared" si="50"/>
        <v>0.47297297297297297</v>
      </c>
      <c r="Q59" s="35">
        <f t="shared" si="50"/>
        <v>0.7432432432432432</v>
      </c>
      <c r="R59" s="35">
        <f t="shared" si="50"/>
        <v>0.83783783783783783</v>
      </c>
      <c r="S59" s="35">
        <f t="shared" si="50"/>
        <v>0.56756756756756754</v>
      </c>
      <c r="T59" s="35">
        <f t="shared" si="50"/>
        <v>0.54054054054054057</v>
      </c>
      <c r="U59" s="35">
        <f t="shared" si="50"/>
        <v>0.39189189189189189</v>
      </c>
      <c r="V59" s="35">
        <f t="shared" si="50"/>
        <v>0.44594594594594594</v>
      </c>
      <c r="W59" s="35">
        <f t="shared" si="50"/>
        <v>0.40540540540540543</v>
      </c>
      <c r="X59" s="35">
        <f t="shared" si="50"/>
        <v>0.3108108108108108</v>
      </c>
      <c r="Y59" s="35">
        <f t="shared" si="50"/>
        <v>0.58108108108108103</v>
      </c>
      <c r="Z59" s="35">
        <f t="shared" si="50"/>
        <v>0.64864864864864868</v>
      </c>
      <c r="AA59" s="35">
        <f t="shared" si="50"/>
        <v>0.72972972972972971</v>
      </c>
      <c r="AB59" s="35">
        <f t="shared" si="50"/>
        <v>0.7432432432432432</v>
      </c>
      <c r="AC59" s="35">
        <f t="shared" si="50"/>
        <v>0</v>
      </c>
      <c r="AD59" s="35">
        <f t="shared" si="50"/>
        <v>0.60810810810810811</v>
      </c>
      <c r="AE59" s="35">
        <f t="shared" si="50"/>
        <v>0.40540540540540543</v>
      </c>
      <c r="AF59" s="35"/>
      <c r="AG59" s="35"/>
      <c r="AH59" s="35"/>
      <c r="AI59" s="63">
        <f>+AI58/(A58*A$1)</f>
        <v>0.46476833976833976</v>
      </c>
      <c r="AJ59" s="6"/>
    </row>
    <row r="60" spans="1:36" x14ac:dyDescent="0.3">
      <c r="A60" s="2"/>
      <c r="B60" s="33"/>
      <c r="C60" s="34" t="s">
        <v>17</v>
      </c>
      <c r="D60" s="37">
        <f t="shared" ref="D60:AE60" si="51">+IFERROR(D62/D58,0)</f>
        <v>67.944000000000003</v>
      </c>
      <c r="E60" s="37">
        <f t="shared" si="51"/>
        <v>62.171999999999997</v>
      </c>
      <c r="F60" s="37">
        <f t="shared" si="51"/>
        <v>62.658000000000001</v>
      </c>
      <c r="G60" s="37">
        <f t="shared" si="51"/>
        <v>60.483055555555552</v>
      </c>
      <c r="H60" s="37">
        <f t="shared" si="51"/>
        <v>68.685937499999994</v>
      </c>
      <c r="I60" s="37">
        <f t="shared" si="51"/>
        <v>69.285909090909087</v>
      </c>
      <c r="J60" s="37">
        <f t="shared" si="51"/>
        <v>63.595454545454544</v>
      </c>
      <c r="K60" s="37">
        <f t="shared" si="51"/>
        <v>60.345000000000006</v>
      </c>
      <c r="L60" s="37">
        <f t="shared" si="51"/>
        <v>63.720312499999999</v>
      </c>
      <c r="M60" s="37">
        <f t="shared" si="51"/>
        <v>65.825000000000003</v>
      </c>
      <c r="N60" s="37">
        <f t="shared" si="51"/>
        <v>63.280754716981136</v>
      </c>
      <c r="O60" s="37">
        <f t="shared" si="51"/>
        <v>61.736785714285716</v>
      </c>
      <c r="P60" s="37">
        <f t="shared" si="51"/>
        <v>65.022285714285715</v>
      </c>
      <c r="Q60" s="37">
        <f t="shared" si="51"/>
        <v>73.732363636363644</v>
      </c>
      <c r="R60" s="37">
        <f t="shared" si="51"/>
        <v>69.345645161290321</v>
      </c>
      <c r="S60" s="37">
        <f t="shared" si="51"/>
        <v>62.863809523809529</v>
      </c>
      <c r="T60" s="37">
        <f t="shared" si="51"/>
        <v>64.802499999999995</v>
      </c>
      <c r="U60" s="37">
        <f t="shared" si="51"/>
        <v>47.951034482758615</v>
      </c>
      <c r="V60" s="37">
        <f t="shared" si="51"/>
        <v>73.914545454545447</v>
      </c>
      <c r="W60" s="37">
        <f t="shared" si="51"/>
        <v>83.970666666666659</v>
      </c>
      <c r="X60" s="37">
        <f t="shared" si="51"/>
        <v>74.35521739130435</v>
      </c>
      <c r="Y60" s="37">
        <f t="shared" si="51"/>
        <v>75.562093023255812</v>
      </c>
      <c r="Z60" s="37">
        <f t="shared" si="51"/>
        <v>71.573750000000004</v>
      </c>
      <c r="AA60" s="37">
        <f t="shared" si="51"/>
        <v>72.178703703703704</v>
      </c>
      <c r="AB60" s="37">
        <f t="shared" si="51"/>
        <v>73.664181818181817</v>
      </c>
      <c r="AC60" s="37">
        <f t="shared" si="51"/>
        <v>0</v>
      </c>
      <c r="AD60" s="37">
        <f t="shared" si="51"/>
        <v>67.85733333333333</v>
      </c>
      <c r="AE60" s="37">
        <f t="shared" si="51"/>
        <v>59.857999999999997</v>
      </c>
      <c r="AF60" s="37"/>
      <c r="AG60" s="37"/>
      <c r="AH60" s="37"/>
      <c r="AI60" s="64">
        <f>+AI62/AI58</f>
        <v>67.601703011422629</v>
      </c>
      <c r="AJ60" s="6"/>
    </row>
    <row r="61" spans="1:36" x14ac:dyDescent="0.3">
      <c r="A61" s="2"/>
      <c r="B61" s="33"/>
      <c r="C61" s="34" t="s">
        <v>18</v>
      </c>
      <c r="D61" s="37">
        <f t="shared" ref="D61:AE61" si="52">+D59*D60</f>
        <v>18.363243243243247</v>
      </c>
      <c r="E61" s="37">
        <f t="shared" si="52"/>
        <v>21.004054054054052</v>
      </c>
      <c r="F61" s="37">
        <f t="shared" si="52"/>
        <v>25.401891891891893</v>
      </c>
      <c r="G61" s="37">
        <f t="shared" si="52"/>
        <v>29.424189189189189</v>
      </c>
      <c r="H61" s="37">
        <f t="shared" si="52"/>
        <v>29.702027027027025</v>
      </c>
      <c r="I61" s="37">
        <f t="shared" si="52"/>
        <v>20.598513513513513</v>
      </c>
      <c r="J61" s="37">
        <f t="shared" si="52"/>
        <v>9.4533783783783782</v>
      </c>
      <c r="K61" s="37">
        <f t="shared" si="52"/>
        <v>16.309459459459461</v>
      </c>
      <c r="L61" s="37">
        <f t="shared" si="52"/>
        <v>27.554729729729729</v>
      </c>
      <c r="M61" s="37">
        <f t="shared" si="52"/>
        <v>26.685810810810814</v>
      </c>
      <c r="N61" s="37">
        <f t="shared" si="52"/>
        <v>45.322702702702706</v>
      </c>
      <c r="O61" s="37">
        <f t="shared" si="52"/>
        <v>23.359864864864868</v>
      </c>
      <c r="P61" s="37">
        <f t="shared" si="52"/>
        <v>30.753783783783785</v>
      </c>
      <c r="Q61" s="37">
        <f t="shared" si="52"/>
        <v>54.801081081081087</v>
      </c>
      <c r="R61" s="37">
        <f t="shared" si="52"/>
        <v>58.100405405405404</v>
      </c>
      <c r="S61" s="37">
        <f t="shared" si="52"/>
        <v>35.679459459459459</v>
      </c>
      <c r="T61" s="37">
        <f t="shared" si="52"/>
        <v>35.028378378378378</v>
      </c>
      <c r="U61" s="37">
        <f t="shared" si="52"/>
        <v>18.791621621621619</v>
      </c>
      <c r="V61" s="37">
        <f t="shared" si="52"/>
        <v>32.961891891891888</v>
      </c>
      <c r="W61" s="37">
        <f t="shared" si="52"/>
        <v>34.042162162162164</v>
      </c>
      <c r="X61" s="37">
        <f t="shared" si="52"/>
        <v>23.110405405405405</v>
      </c>
      <c r="Y61" s="37">
        <f t="shared" si="52"/>
        <v>43.9077027027027</v>
      </c>
      <c r="Z61" s="37">
        <f t="shared" si="52"/>
        <v>46.426216216216218</v>
      </c>
      <c r="AA61" s="37">
        <f t="shared" si="52"/>
        <v>52.670945945945945</v>
      </c>
      <c r="AB61" s="37">
        <f t="shared" si="52"/>
        <v>54.750405405405402</v>
      </c>
      <c r="AC61" s="37">
        <f t="shared" si="52"/>
        <v>0</v>
      </c>
      <c r="AD61" s="37">
        <f t="shared" si="52"/>
        <v>41.264594594594591</v>
      </c>
      <c r="AE61" s="37">
        <f t="shared" si="52"/>
        <v>24.266756756756756</v>
      </c>
      <c r="AF61" s="37"/>
      <c r="AG61" s="37"/>
      <c r="AH61" s="37"/>
      <c r="AI61" s="64">
        <f>+AI60*AI59</f>
        <v>31.419131274131271</v>
      </c>
      <c r="AJ61" s="6"/>
    </row>
    <row r="62" spans="1:36" ht="15" thickBot="1" x14ac:dyDescent="0.35">
      <c r="A62" s="2"/>
      <c r="B62" s="48"/>
      <c r="C62" s="65" t="s">
        <v>19</v>
      </c>
      <c r="D62" s="66">
        <v>1358.88</v>
      </c>
      <c r="E62" s="67">
        <v>1554.3</v>
      </c>
      <c r="F62" s="67">
        <v>1879.74</v>
      </c>
      <c r="G62" s="67">
        <v>2177.39</v>
      </c>
      <c r="H62" s="67">
        <v>2197.9499999999998</v>
      </c>
      <c r="I62" s="67">
        <v>1524.29</v>
      </c>
      <c r="J62" s="67">
        <v>699.55</v>
      </c>
      <c r="K62" s="67">
        <v>1206.9000000000001</v>
      </c>
      <c r="L62" s="67">
        <v>2039.05</v>
      </c>
      <c r="M62" s="67">
        <v>1974.75</v>
      </c>
      <c r="N62" s="67">
        <v>3353.88</v>
      </c>
      <c r="O62" s="67">
        <v>1728.63</v>
      </c>
      <c r="P62" s="67">
        <v>2275.7800000000002</v>
      </c>
      <c r="Q62" s="67">
        <v>4055.28</v>
      </c>
      <c r="R62" s="67">
        <v>4299.43</v>
      </c>
      <c r="S62" s="67">
        <v>2640.28</v>
      </c>
      <c r="T62" s="67">
        <v>2592.1</v>
      </c>
      <c r="U62" s="67">
        <v>1390.58</v>
      </c>
      <c r="V62" s="67">
        <v>2439.1799999999998</v>
      </c>
      <c r="W62" s="67">
        <v>2519.12</v>
      </c>
      <c r="X62" s="67">
        <v>1710.17</v>
      </c>
      <c r="Y62" s="67">
        <v>3249.17</v>
      </c>
      <c r="Z62" s="67">
        <v>3435.54</v>
      </c>
      <c r="AA62" s="67">
        <v>3897.65</v>
      </c>
      <c r="AB62" s="67">
        <v>4051.53</v>
      </c>
      <c r="AC62" s="67"/>
      <c r="AD62" s="67">
        <v>3053.58</v>
      </c>
      <c r="AE62" s="67">
        <v>1795.74</v>
      </c>
      <c r="AF62" s="67"/>
      <c r="AG62" s="67"/>
      <c r="AH62" s="67"/>
      <c r="AI62" s="68">
        <f>SUM(D62:AH62)</f>
        <v>65100.439999999995</v>
      </c>
      <c r="AJ62" s="6"/>
    </row>
    <row r="63" spans="1:36" ht="15" thickTop="1" x14ac:dyDescent="0.3">
      <c r="A63" s="2">
        <v>120</v>
      </c>
      <c r="B63" s="14" t="s">
        <v>37</v>
      </c>
      <c r="C63" s="15" t="s">
        <v>15</v>
      </c>
      <c r="D63" s="69">
        <v>86</v>
      </c>
      <c r="E63" s="70">
        <v>108</v>
      </c>
      <c r="F63" s="70">
        <v>98</v>
      </c>
      <c r="G63" s="70">
        <v>92</v>
      </c>
      <c r="H63" s="70">
        <v>87</v>
      </c>
      <c r="I63" s="70">
        <v>69</v>
      </c>
      <c r="J63" s="70">
        <v>48</v>
      </c>
      <c r="K63" s="70">
        <v>79</v>
      </c>
      <c r="L63" s="70">
        <v>88</v>
      </c>
      <c r="M63" s="70">
        <v>83</v>
      </c>
      <c r="N63" s="70">
        <v>111</v>
      </c>
      <c r="O63" s="70">
        <v>118</v>
      </c>
      <c r="P63" s="70">
        <v>115</v>
      </c>
      <c r="Q63" s="70">
        <v>117</v>
      </c>
      <c r="R63" s="70">
        <v>116</v>
      </c>
      <c r="S63" s="70">
        <v>115</v>
      </c>
      <c r="T63" s="70">
        <v>115</v>
      </c>
      <c r="U63" s="70">
        <v>116</v>
      </c>
      <c r="V63" s="70">
        <v>119</v>
      </c>
      <c r="W63" s="70">
        <v>119</v>
      </c>
      <c r="X63" s="70">
        <v>105</v>
      </c>
      <c r="Y63" s="70">
        <v>119</v>
      </c>
      <c r="Z63" s="70">
        <v>120</v>
      </c>
      <c r="AA63" s="70">
        <v>119</v>
      </c>
      <c r="AB63" s="70">
        <v>119</v>
      </c>
      <c r="AC63" s="70">
        <v>119</v>
      </c>
      <c r="AD63" s="70">
        <v>113</v>
      </c>
      <c r="AE63" s="70">
        <v>66</v>
      </c>
      <c r="AF63" s="70"/>
      <c r="AG63" s="70"/>
      <c r="AH63" s="70"/>
      <c r="AI63" s="71">
        <f>SUM(D63:AH63)</f>
        <v>2879</v>
      </c>
      <c r="AJ63" s="6"/>
    </row>
    <row r="64" spans="1:36" x14ac:dyDescent="0.3">
      <c r="A64" s="2"/>
      <c r="B64" s="14"/>
      <c r="C64" s="15" t="s">
        <v>16</v>
      </c>
      <c r="D64" s="16">
        <f>+D63/$A63</f>
        <v>0.71666666666666667</v>
      </c>
      <c r="E64" s="16">
        <f t="shared" ref="E64:AE64" si="53">+E63/$A63</f>
        <v>0.9</v>
      </c>
      <c r="F64" s="16">
        <f t="shared" si="53"/>
        <v>0.81666666666666665</v>
      </c>
      <c r="G64" s="16">
        <f t="shared" si="53"/>
        <v>0.76666666666666672</v>
      </c>
      <c r="H64" s="16">
        <f t="shared" si="53"/>
        <v>0.72499999999999998</v>
      </c>
      <c r="I64" s="16">
        <f t="shared" si="53"/>
        <v>0.57499999999999996</v>
      </c>
      <c r="J64" s="16">
        <f t="shared" si="53"/>
        <v>0.4</v>
      </c>
      <c r="K64" s="16">
        <f t="shared" si="53"/>
        <v>0.65833333333333333</v>
      </c>
      <c r="L64" s="16">
        <f t="shared" si="53"/>
        <v>0.73333333333333328</v>
      </c>
      <c r="M64" s="16">
        <f t="shared" si="53"/>
        <v>0.69166666666666665</v>
      </c>
      <c r="N64" s="16">
        <f t="shared" si="53"/>
        <v>0.92500000000000004</v>
      </c>
      <c r="O64" s="16">
        <f t="shared" si="53"/>
        <v>0.98333333333333328</v>
      </c>
      <c r="P64" s="16">
        <f t="shared" si="53"/>
        <v>0.95833333333333337</v>
      </c>
      <c r="Q64" s="16">
        <f t="shared" si="53"/>
        <v>0.97499999999999998</v>
      </c>
      <c r="R64" s="16">
        <f t="shared" si="53"/>
        <v>0.96666666666666667</v>
      </c>
      <c r="S64" s="16">
        <f t="shared" si="53"/>
        <v>0.95833333333333337</v>
      </c>
      <c r="T64" s="16">
        <f t="shared" si="53"/>
        <v>0.95833333333333337</v>
      </c>
      <c r="U64" s="16">
        <f t="shared" si="53"/>
        <v>0.96666666666666667</v>
      </c>
      <c r="V64" s="16">
        <f t="shared" si="53"/>
        <v>0.9916666666666667</v>
      </c>
      <c r="W64" s="16">
        <f t="shared" si="53"/>
        <v>0.9916666666666667</v>
      </c>
      <c r="X64" s="16">
        <f t="shared" si="53"/>
        <v>0.875</v>
      </c>
      <c r="Y64" s="16">
        <f t="shared" si="53"/>
        <v>0.9916666666666667</v>
      </c>
      <c r="Z64" s="16">
        <f t="shared" si="53"/>
        <v>1</v>
      </c>
      <c r="AA64" s="16">
        <f t="shared" si="53"/>
        <v>0.9916666666666667</v>
      </c>
      <c r="AB64" s="16">
        <f t="shared" si="53"/>
        <v>0.9916666666666667</v>
      </c>
      <c r="AC64" s="16">
        <f t="shared" si="53"/>
        <v>0.9916666666666667</v>
      </c>
      <c r="AD64" s="16">
        <f t="shared" si="53"/>
        <v>0.94166666666666665</v>
      </c>
      <c r="AE64" s="16">
        <f t="shared" si="53"/>
        <v>0.55000000000000004</v>
      </c>
      <c r="AF64" s="16"/>
      <c r="AG64" s="16"/>
      <c r="AH64" s="16"/>
      <c r="AI64" s="17">
        <f>+AI63/(A63*A$1)</f>
        <v>0.85684523809523805</v>
      </c>
      <c r="AJ64" s="6"/>
    </row>
    <row r="65" spans="1:36" x14ac:dyDescent="0.3">
      <c r="A65" s="2"/>
      <c r="B65" s="14"/>
      <c r="C65" s="15" t="s">
        <v>17</v>
      </c>
      <c r="D65" s="18">
        <f t="shared" ref="D65:AE65" si="54">+IFERROR(D67/D63,0)</f>
        <v>80.149883720930234</v>
      </c>
      <c r="E65" s="18">
        <f t="shared" si="54"/>
        <v>81.594074074074072</v>
      </c>
      <c r="F65" s="18">
        <f t="shared" si="54"/>
        <v>77.235204081632659</v>
      </c>
      <c r="G65" s="18">
        <f t="shared" si="54"/>
        <v>79.929891304347834</v>
      </c>
      <c r="H65" s="18">
        <f t="shared" si="54"/>
        <v>82.275632183908044</v>
      </c>
      <c r="I65" s="18">
        <f t="shared" si="54"/>
        <v>77.522463768115941</v>
      </c>
      <c r="J65" s="18">
        <f t="shared" si="54"/>
        <v>77.089583333333337</v>
      </c>
      <c r="K65" s="18">
        <f t="shared" si="54"/>
        <v>80.771392405063281</v>
      </c>
      <c r="L65" s="18">
        <f t="shared" si="54"/>
        <v>79.733863636363637</v>
      </c>
      <c r="M65" s="18">
        <f t="shared" si="54"/>
        <v>82.475421686746984</v>
      </c>
      <c r="N65" s="18">
        <f t="shared" si="54"/>
        <v>81.17990990990991</v>
      </c>
      <c r="O65" s="18">
        <f t="shared" si="54"/>
        <v>80.859661016949161</v>
      </c>
      <c r="P65" s="18">
        <f t="shared" si="54"/>
        <v>81.571739130434779</v>
      </c>
      <c r="Q65" s="18">
        <f t="shared" si="54"/>
        <v>76.082820512820518</v>
      </c>
      <c r="R65" s="18">
        <f t="shared" si="54"/>
        <v>81.641551724137926</v>
      </c>
      <c r="S65" s="18">
        <f t="shared" si="54"/>
        <v>78.390956521739128</v>
      </c>
      <c r="T65" s="18">
        <f t="shared" si="54"/>
        <v>79.768695652173903</v>
      </c>
      <c r="U65" s="18">
        <f t="shared" si="54"/>
        <v>81.434741379310353</v>
      </c>
      <c r="V65" s="18">
        <f t="shared" si="54"/>
        <v>78.030672268907566</v>
      </c>
      <c r="W65" s="18">
        <f t="shared" si="54"/>
        <v>85.815882352941173</v>
      </c>
      <c r="X65" s="18">
        <f t="shared" si="54"/>
        <v>78.060571428571436</v>
      </c>
      <c r="Y65" s="18">
        <f t="shared" si="54"/>
        <v>83.408991596638657</v>
      </c>
      <c r="Z65" s="18">
        <f t="shared" si="54"/>
        <v>83.782499999999999</v>
      </c>
      <c r="AA65" s="18">
        <f t="shared" si="54"/>
        <v>90.463529411764711</v>
      </c>
      <c r="AB65" s="18">
        <f t="shared" si="54"/>
        <v>91.498235294117649</v>
      </c>
      <c r="AC65" s="18">
        <f t="shared" si="54"/>
        <v>90.910420168067233</v>
      </c>
      <c r="AD65" s="18">
        <f t="shared" si="54"/>
        <v>91.085044247787621</v>
      </c>
      <c r="AE65" s="18">
        <f t="shared" si="54"/>
        <v>80.690303030303042</v>
      </c>
      <c r="AF65" s="18"/>
      <c r="AG65" s="18"/>
      <c r="AH65" s="18"/>
      <c r="AI65" s="19">
        <f>+AI67/AI63</f>
        <v>82.244407780479335</v>
      </c>
      <c r="AJ65" s="6"/>
    </row>
    <row r="66" spans="1:36" x14ac:dyDescent="0.3">
      <c r="A66" s="2"/>
      <c r="B66" s="14"/>
      <c r="C66" s="15" t="s">
        <v>18</v>
      </c>
      <c r="D66" s="18">
        <f t="shared" ref="D66:AE66" si="55">+D64*D65</f>
        <v>57.440750000000001</v>
      </c>
      <c r="E66" s="18">
        <f t="shared" si="55"/>
        <v>73.434666666666672</v>
      </c>
      <c r="F66" s="18">
        <f t="shared" si="55"/>
        <v>63.075416666666669</v>
      </c>
      <c r="G66" s="18">
        <f t="shared" si="55"/>
        <v>61.279583333333342</v>
      </c>
      <c r="H66" s="18">
        <f t="shared" si="55"/>
        <v>59.649833333333333</v>
      </c>
      <c r="I66" s="18">
        <f t="shared" si="55"/>
        <v>44.575416666666662</v>
      </c>
      <c r="J66" s="18">
        <f t="shared" si="55"/>
        <v>30.835833333333337</v>
      </c>
      <c r="K66" s="18">
        <f t="shared" si="55"/>
        <v>53.174499999999995</v>
      </c>
      <c r="L66" s="18">
        <f t="shared" si="55"/>
        <v>58.471499999999999</v>
      </c>
      <c r="M66" s="18">
        <f t="shared" si="55"/>
        <v>57.045499999999997</v>
      </c>
      <c r="N66" s="18">
        <f t="shared" si="55"/>
        <v>75.091416666666674</v>
      </c>
      <c r="O66" s="18">
        <f t="shared" si="55"/>
        <v>79.512</v>
      </c>
      <c r="P66" s="18">
        <f t="shared" si="55"/>
        <v>78.172916666666666</v>
      </c>
      <c r="Q66" s="18">
        <f t="shared" si="55"/>
        <v>74.180750000000003</v>
      </c>
      <c r="R66" s="18">
        <f t="shared" si="55"/>
        <v>78.92016666666666</v>
      </c>
      <c r="S66" s="18">
        <f t="shared" si="55"/>
        <v>75.12466666666667</v>
      </c>
      <c r="T66" s="18">
        <f t="shared" si="55"/>
        <v>76.444999999999993</v>
      </c>
      <c r="U66" s="18">
        <f t="shared" si="55"/>
        <v>78.720250000000007</v>
      </c>
      <c r="V66" s="18">
        <f t="shared" si="55"/>
        <v>77.380416666666676</v>
      </c>
      <c r="W66" s="18">
        <f t="shared" si="55"/>
        <v>85.100750000000005</v>
      </c>
      <c r="X66" s="18">
        <f t="shared" si="55"/>
        <v>68.303000000000011</v>
      </c>
      <c r="Y66" s="18">
        <f t="shared" si="55"/>
        <v>82.713916666666677</v>
      </c>
      <c r="Z66" s="18">
        <f t="shared" si="55"/>
        <v>83.782499999999999</v>
      </c>
      <c r="AA66" s="18">
        <f t="shared" si="55"/>
        <v>89.709666666666678</v>
      </c>
      <c r="AB66" s="18">
        <f t="shared" si="55"/>
        <v>90.73575000000001</v>
      </c>
      <c r="AC66" s="18">
        <f t="shared" si="55"/>
        <v>90.152833333333348</v>
      </c>
      <c r="AD66" s="18">
        <f t="shared" si="55"/>
        <v>85.771750000000011</v>
      </c>
      <c r="AE66" s="18">
        <f t="shared" si="55"/>
        <v>44.379666666666679</v>
      </c>
      <c r="AF66" s="18"/>
      <c r="AG66" s="18"/>
      <c r="AH66" s="18"/>
      <c r="AI66" s="19">
        <f>+AI65*AI64</f>
        <v>70.470729166666658</v>
      </c>
      <c r="AJ66" s="6"/>
    </row>
    <row r="67" spans="1:36" x14ac:dyDescent="0.3">
      <c r="A67" s="2"/>
      <c r="B67" s="14"/>
      <c r="C67" s="15" t="s">
        <v>19</v>
      </c>
      <c r="D67" s="20">
        <v>6892.89</v>
      </c>
      <c r="E67" s="20">
        <v>8812.16</v>
      </c>
      <c r="F67" s="20">
        <v>7569.05</v>
      </c>
      <c r="G67" s="20">
        <v>7353.55</v>
      </c>
      <c r="H67" s="20">
        <v>7157.98</v>
      </c>
      <c r="I67" s="20">
        <v>5349.05</v>
      </c>
      <c r="J67" s="20">
        <v>3700.3</v>
      </c>
      <c r="K67" s="20">
        <v>6380.94</v>
      </c>
      <c r="L67" s="20">
        <v>7016.58</v>
      </c>
      <c r="M67" s="20">
        <v>6845.46</v>
      </c>
      <c r="N67" s="20">
        <v>9010.9699999999993</v>
      </c>
      <c r="O67" s="20">
        <v>9541.44</v>
      </c>
      <c r="P67" s="20">
        <v>9380.75</v>
      </c>
      <c r="Q67" s="20">
        <v>8901.69</v>
      </c>
      <c r="R67" s="20">
        <v>9470.42</v>
      </c>
      <c r="S67" s="20">
        <v>9014.9599999999991</v>
      </c>
      <c r="T67" s="20">
        <v>9173.4</v>
      </c>
      <c r="U67" s="20">
        <v>9446.43</v>
      </c>
      <c r="V67" s="20">
        <v>9285.65</v>
      </c>
      <c r="W67" s="20">
        <v>10212.09</v>
      </c>
      <c r="X67" s="20">
        <v>8196.36</v>
      </c>
      <c r="Y67" s="20">
        <v>9925.67</v>
      </c>
      <c r="Z67" s="20">
        <v>10053.9</v>
      </c>
      <c r="AA67" s="20">
        <v>10765.16</v>
      </c>
      <c r="AB67" s="20">
        <v>10888.29</v>
      </c>
      <c r="AC67" s="20">
        <v>10818.34</v>
      </c>
      <c r="AD67" s="20">
        <v>10292.61</v>
      </c>
      <c r="AE67" s="20">
        <v>5325.56</v>
      </c>
      <c r="AF67" s="20"/>
      <c r="AG67" s="20"/>
      <c r="AH67" s="20"/>
      <c r="AI67" s="22">
        <f>SUM(D67:AH67)</f>
        <v>236781.65000000002</v>
      </c>
      <c r="AJ67" s="6"/>
    </row>
    <row r="68" spans="1:36" ht="15" thickBot="1" x14ac:dyDescent="0.35">
      <c r="A68" s="23"/>
      <c r="B68" s="24"/>
      <c r="C68" s="15" t="s">
        <v>20</v>
      </c>
      <c r="D68" s="25">
        <f>958.91/D67</f>
        <v>0.1391158135411997</v>
      </c>
      <c r="E68" s="26">
        <f>1290.61/E67</f>
        <v>0.14645784915389642</v>
      </c>
      <c r="F68" s="72">
        <f>1311.24/F67</f>
        <v>0.1732370640965511</v>
      </c>
      <c r="G68" s="26">
        <f>1313.17/G67</f>
        <v>0.17857633387955477</v>
      </c>
      <c r="H68" s="26">
        <f>1448.46/H67</f>
        <v>0.20235597193621666</v>
      </c>
      <c r="I68" s="26">
        <f>1341.87/I67</f>
        <v>0.25086136790645064</v>
      </c>
      <c r="J68" s="26">
        <f>1103.06/J67</f>
        <v>0.29810015404156415</v>
      </c>
      <c r="K68" s="26">
        <f>885.46/K67</f>
        <v>0.13876638865120189</v>
      </c>
      <c r="L68" s="26">
        <f>1356.16/L67</f>
        <v>0.19327934691829923</v>
      </c>
      <c r="M68" s="26">
        <f>1543.92/M67</f>
        <v>0.22553926251851594</v>
      </c>
      <c r="N68" s="26">
        <f>1368.61/N67</f>
        <v>0.15188264970363902</v>
      </c>
      <c r="O68" s="26">
        <f>1291.96/O67</f>
        <v>0.13540513800851864</v>
      </c>
      <c r="P68" s="26">
        <f>1337.03/P67</f>
        <v>0.14252911547584149</v>
      </c>
      <c r="Q68" s="26">
        <f>846.29/Q67</f>
        <v>9.5070711291900742E-2</v>
      </c>
      <c r="R68" s="26">
        <f>962.61/R67</f>
        <v>0.10164385528836102</v>
      </c>
      <c r="S68" s="26">
        <f>1558.73/S67</f>
        <v>0.17290481599474652</v>
      </c>
      <c r="T68" s="26">
        <f>729.52/T67</f>
        <v>7.9525584843133407E-2</v>
      </c>
      <c r="U68" s="26">
        <f>1500.66/U67</f>
        <v>0.1588600137829847</v>
      </c>
      <c r="V68" s="26">
        <f>1428.01/V67</f>
        <v>0.15378675698524066</v>
      </c>
      <c r="W68" s="26">
        <f>1398.93/W67</f>
        <v>0.13698762936871883</v>
      </c>
      <c r="X68" s="26">
        <f>1035.56/X67</f>
        <v>0.12634388923863762</v>
      </c>
      <c r="Y68" s="26">
        <f>1244.86/Y67</f>
        <v>0.12541823373132494</v>
      </c>
      <c r="Z68" s="26">
        <f>1568.11/Z67</f>
        <v>0.15597031997533295</v>
      </c>
      <c r="AA68" s="26">
        <f>1366.97/AA67</f>
        <v>0.12698092736197139</v>
      </c>
      <c r="AB68" s="26">
        <f>1478.87/AB67</f>
        <v>0.13582206205014744</v>
      </c>
      <c r="AC68" s="26"/>
      <c r="AD68" s="26"/>
      <c r="AE68" s="26"/>
      <c r="AF68" s="26"/>
      <c r="AG68" s="26"/>
      <c r="AH68" s="92"/>
      <c r="AI68" s="27">
        <f>AVERAGE(D68:AG68)</f>
        <v>0.157816850229758</v>
      </c>
      <c r="AJ68" s="6"/>
    </row>
    <row r="69" spans="1:36" ht="15" thickTop="1" x14ac:dyDescent="0.3">
      <c r="A69" s="2">
        <v>93</v>
      </c>
      <c r="B69" s="28" t="s">
        <v>38</v>
      </c>
      <c r="C69" s="29" t="s">
        <v>15</v>
      </c>
      <c r="D69" s="30">
        <v>85</v>
      </c>
      <c r="E69" s="31">
        <v>89</v>
      </c>
      <c r="F69" s="31">
        <v>89</v>
      </c>
      <c r="G69" s="31">
        <v>89</v>
      </c>
      <c r="H69" s="31">
        <v>86</v>
      </c>
      <c r="I69" s="31">
        <v>82</v>
      </c>
      <c r="J69" s="31">
        <v>84</v>
      </c>
      <c r="K69" s="31">
        <v>91</v>
      </c>
      <c r="L69" s="31">
        <v>93</v>
      </c>
      <c r="M69" s="31">
        <v>85</v>
      </c>
      <c r="N69" s="31">
        <v>81</v>
      </c>
      <c r="O69" s="31">
        <v>79</v>
      </c>
      <c r="P69" s="31">
        <v>90</v>
      </c>
      <c r="Q69" s="31">
        <v>85</v>
      </c>
      <c r="R69" s="31">
        <v>88</v>
      </c>
      <c r="S69" s="31">
        <v>87</v>
      </c>
      <c r="T69" s="31">
        <v>85</v>
      </c>
      <c r="U69" s="31">
        <v>67</v>
      </c>
      <c r="V69" s="31">
        <v>67</v>
      </c>
      <c r="W69" s="31">
        <v>64</v>
      </c>
      <c r="X69" s="31">
        <v>68</v>
      </c>
      <c r="Y69" s="31">
        <v>88</v>
      </c>
      <c r="Z69" s="31">
        <v>90</v>
      </c>
      <c r="AA69" s="31">
        <v>88</v>
      </c>
      <c r="AB69" s="31">
        <v>89</v>
      </c>
      <c r="AC69" s="31">
        <v>90</v>
      </c>
      <c r="AD69" s="31">
        <v>80</v>
      </c>
      <c r="AE69" s="31">
        <v>71</v>
      </c>
      <c r="AF69" s="31"/>
      <c r="AG69" s="31"/>
      <c r="AH69" s="31"/>
      <c r="AI69" s="32">
        <f>SUM(D69:AH69)</f>
        <v>2330</v>
      </c>
      <c r="AJ69" s="6"/>
    </row>
    <row r="70" spans="1:36" x14ac:dyDescent="0.3">
      <c r="A70" s="2"/>
      <c r="B70" s="33"/>
      <c r="C70" s="34" t="s">
        <v>16</v>
      </c>
      <c r="D70" s="35">
        <f t="shared" ref="D70:AE70" si="56">+D69/$A69</f>
        <v>0.91397849462365588</v>
      </c>
      <c r="E70" s="35">
        <f t="shared" si="56"/>
        <v>0.956989247311828</v>
      </c>
      <c r="F70" s="35">
        <f t="shared" si="56"/>
        <v>0.956989247311828</v>
      </c>
      <c r="G70" s="35">
        <f t="shared" si="56"/>
        <v>0.956989247311828</v>
      </c>
      <c r="H70" s="35">
        <f t="shared" si="56"/>
        <v>0.92473118279569888</v>
      </c>
      <c r="I70" s="35">
        <f t="shared" si="56"/>
        <v>0.88172043010752688</v>
      </c>
      <c r="J70" s="35">
        <f t="shared" si="56"/>
        <v>0.90322580645161288</v>
      </c>
      <c r="K70" s="35">
        <f t="shared" si="56"/>
        <v>0.978494623655914</v>
      </c>
      <c r="L70" s="35">
        <f t="shared" si="56"/>
        <v>1</v>
      </c>
      <c r="M70" s="35">
        <f t="shared" si="56"/>
        <v>0.91397849462365588</v>
      </c>
      <c r="N70" s="35">
        <f t="shared" si="56"/>
        <v>0.87096774193548387</v>
      </c>
      <c r="O70" s="35">
        <f t="shared" si="56"/>
        <v>0.84946236559139787</v>
      </c>
      <c r="P70" s="35">
        <f t="shared" si="56"/>
        <v>0.967741935483871</v>
      </c>
      <c r="Q70" s="35">
        <f t="shared" si="56"/>
        <v>0.91397849462365588</v>
      </c>
      <c r="R70" s="35">
        <f t="shared" si="56"/>
        <v>0.94623655913978499</v>
      </c>
      <c r="S70" s="35">
        <f t="shared" si="56"/>
        <v>0.93548387096774188</v>
      </c>
      <c r="T70" s="35">
        <f t="shared" si="56"/>
        <v>0.91397849462365588</v>
      </c>
      <c r="U70" s="35">
        <f t="shared" si="56"/>
        <v>0.72043010752688175</v>
      </c>
      <c r="V70" s="35">
        <f t="shared" si="56"/>
        <v>0.72043010752688175</v>
      </c>
      <c r="W70" s="35">
        <f t="shared" si="56"/>
        <v>0.68817204301075274</v>
      </c>
      <c r="X70" s="35">
        <f t="shared" si="56"/>
        <v>0.73118279569892475</v>
      </c>
      <c r="Y70" s="35">
        <f t="shared" si="56"/>
        <v>0.94623655913978499</v>
      </c>
      <c r="Z70" s="35">
        <f t="shared" si="56"/>
        <v>0.967741935483871</v>
      </c>
      <c r="AA70" s="35">
        <f t="shared" si="56"/>
        <v>0.94623655913978499</v>
      </c>
      <c r="AB70" s="35">
        <f t="shared" si="56"/>
        <v>0.956989247311828</v>
      </c>
      <c r="AC70" s="35">
        <f t="shared" si="56"/>
        <v>0.967741935483871</v>
      </c>
      <c r="AD70" s="35">
        <f t="shared" si="56"/>
        <v>0.86021505376344087</v>
      </c>
      <c r="AE70" s="35">
        <f t="shared" si="56"/>
        <v>0.76344086021505375</v>
      </c>
      <c r="AF70" s="35"/>
      <c r="AG70" s="35"/>
      <c r="AH70" s="35"/>
      <c r="AI70" s="36">
        <f>+AI69/(A69*A$1)</f>
        <v>0.89477726574500771</v>
      </c>
      <c r="AJ70" s="6"/>
    </row>
    <row r="71" spans="1:36" ht="24" customHeight="1" x14ac:dyDescent="0.3">
      <c r="A71" s="2"/>
      <c r="B71" s="33"/>
      <c r="C71" s="34" t="s">
        <v>17</v>
      </c>
      <c r="D71" s="37">
        <f>+IFERROR(D73/D69,0)</f>
        <v>79.703882352941179</v>
      </c>
      <c r="E71" s="37">
        <f t="shared" ref="E71:AE71" si="57">+IFERROR(E73/E69,0)</f>
        <v>78.862359550561791</v>
      </c>
      <c r="F71" s="37">
        <f t="shared" si="57"/>
        <v>79.392471910112363</v>
      </c>
      <c r="G71" s="37">
        <f t="shared" si="57"/>
        <v>79.729550561797751</v>
      </c>
      <c r="H71" s="37">
        <f t="shared" si="57"/>
        <v>78.76104651162791</v>
      </c>
      <c r="I71" s="37">
        <f t="shared" si="57"/>
        <v>78.99939024390244</v>
      </c>
      <c r="J71" s="37">
        <f t="shared" si="57"/>
        <v>76.862142857142857</v>
      </c>
      <c r="K71" s="37">
        <f t="shared" si="57"/>
        <v>79.858241758241761</v>
      </c>
      <c r="L71" s="37">
        <f t="shared" si="57"/>
        <v>80.942688172043006</v>
      </c>
      <c r="M71" s="37">
        <f t="shared" si="57"/>
        <v>79.666705882352943</v>
      </c>
      <c r="N71" s="37">
        <f t="shared" si="57"/>
        <v>77.862691358024691</v>
      </c>
      <c r="O71" s="37">
        <f t="shared" si="57"/>
        <v>77.654303797468344</v>
      </c>
      <c r="P71" s="37">
        <f t="shared" si="57"/>
        <v>83.423333333333332</v>
      </c>
      <c r="Q71" s="37">
        <f t="shared" si="57"/>
        <v>83.058823529411768</v>
      </c>
      <c r="R71" s="37">
        <f t="shared" si="57"/>
        <v>83.23863636363636</v>
      </c>
      <c r="S71" s="37">
        <f t="shared" si="57"/>
        <v>82.712643678160916</v>
      </c>
      <c r="T71" s="37">
        <f t="shared" si="57"/>
        <v>78.964705882352945</v>
      </c>
      <c r="U71" s="37">
        <f t="shared" si="57"/>
        <v>76.314925373134329</v>
      </c>
      <c r="V71" s="37">
        <f t="shared" si="57"/>
        <v>78.389552238805976</v>
      </c>
      <c r="W71" s="37">
        <f t="shared" si="57"/>
        <v>78.341406250000006</v>
      </c>
      <c r="X71" s="37">
        <f t="shared" si="57"/>
        <v>78.752941176470586</v>
      </c>
      <c r="Y71" s="37">
        <f t="shared" si="57"/>
        <v>87.659318181818193</v>
      </c>
      <c r="Z71" s="37">
        <f t="shared" si="57"/>
        <v>85.081888888888884</v>
      </c>
      <c r="AA71" s="37">
        <f t="shared" si="57"/>
        <v>84.15534090909091</v>
      </c>
      <c r="AB71" s="37">
        <f t="shared" si="57"/>
        <v>85.378651685393251</v>
      </c>
      <c r="AC71" s="37">
        <f t="shared" si="57"/>
        <v>83.12222222222222</v>
      </c>
      <c r="AD71" s="37">
        <f t="shared" si="57"/>
        <v>83.564250000000001</v>
      </c>
      <c r="AE71" s="37">
        <f t="shared" si="57"/>
        <v>83.080281690140836</v>
      </c>
      <c r="AF71" s="37"/>
      <c r="AG71" s="37"/>
      <c r="AH71" s="37"/>
      <c r="AI71" s="38">
        <f>+AI73/AI69</f>
        <v>80.96447124463522</v>
      </c>
      <c r="AJ71" s="6"/>
    </row>
    <row r="72" spans="1:36" x14ac:dyDescent="0.3">
      <c r="A72" s="2"/>
      <c r="B72" s="14"/>
      <c r="C72" s="34" t="s">
        <v>18</v>
      </c>
      <c r="D72" s="37">
        <f>+D70*D71</f>
        <v>72.847634408602147</v>
      </c>
      <c r="E72" s="37">
        <f t="shared" ref="E72:AE72" si="58">+E70*E71</f>
        <v>75.47043010752688</v>
      </c>
      <c r="F72" s="37">
        <f t="shared" si="58"/>
        <v>75.977741935483877</v>
      </c>
      <c r="G72" s="37">
        <f t="shared" si="58"/>
        <v>76.300322580645158</v>
      </c>
      <c r="H72" s="37">
        <f t="shared" si="58"/>
        <v>72.832795698924727</v>
      </c>
      <c r="I72" s="37">
        <f t="shared" si="58"/>
        <v>69.655376344086022</v>
      </c>
      <c r="J72" s="37">
        <f t="shared" si="58"/>
        <v>69.423870967741934</v>
      </c>
      <c r="K72" s="37">
        <f t="shared" si="58"/>
        <v>78.140860215053763</v>
      </c>
      <c r="L72" s="37">
        <f t="shared" si="58"/>
        <v>80.942688172043006</v>
      </c>
      <c r="M72" s="37">
        <f t="shared" si="58"/>
        <v>72.813655913978494</v>
      </c>
      <c r="N72" s="37">
        <f t="shared" si="58"/>
        <v>67.815892473118282</v>
      </c>
      <c r="O72" s="37">
        <f t="shared" si="58"/>
        <v>65.964408602150527</v>
      </c>
      <c r="P72" s="37">
        <f t="shared" si="58"/>
        <v>80.732258064516131</v>
      </c>
      <c r="Q72" s="37">
        <f t="shared" si="58"/>
        <v>75.913978494623663</v>
      </c>
      <c r="R72" s="37">
        <f t="shared" si="58"/>
        <v>78.763440860215056</v>
      </c>
      <c r="S72" s="37">
        <f t="shared" si="58"/>
        <v>77.376344086021504</v>
      </c>
      <c r="T72" s="37">
        <f t="shared" si="58"/>
        <v>72.172043010752688</v>
      </c>
      <c r="U72" s="37">
        <f t="shared" si="58"/>
        <v>54.979569892473123</v>
      </c>
      <c r="V72" s="37">
        <f t="shared" si="58"/>
        <v>56.474193548387106</v>
      </c>
      <c r="W72" s="37">
        <f t="shared" si="58"/>
        <v>53.912365591397858</v>
      </c>
      <c r="X72" s="37">
        <f t="shared" si="58"/>
        <v>57.582795698924734</v>
      </c>
      <c r="Y72" s="37">
        <f t="shared" si="58"/>
        <v>82.946451612903246</v>
      </c>
      <c r="Z72" s="37">
        <f t="shared" si="58"/>
        <v>82.337311827956981</v>
      </c>
      <c r="AA72" s="37">
        <f t="shared" si="58"/>
        <v>79.630860215053772</v>
      </c>
      <c r="AB72" s="37">
        <f t="shared" si="58"/>
        <v>81.706451612903223</v>
      </c>
      <c r="AC72" s="37">
        <f t="shared" si="58"/>
        <v>80.44086021505376</v>
      </c>
      <c r="AD72" s="37">
        <f t="shared" si="58"/>
        <v>71.88322580645162</v>
      </c>
      <c r="AE72" s="37">
        <f t="shared" si="58"/>
        <v>63.426881720430103</v>
      </c>
      <c r="AF72" s="37"/>
      <c r="AG72" s="37"/>
      <c r="AH72" s="37"/>
      <c r="AI72" s="38">
        <f>+AI71*AI70</f>
        <v>72.445168202765004</v>
      </c>
      <c r="AJ72" s="6"/>
    </row>
    <row r="73" spans="1:36" x14ac:dyDescent="0.3">
      <c r="A73" s="2"/>
      <c r="B73" s="33"/>
      <c r="C73" s="34" t="s">
        <v>19</v>
      </c>
      <c r="D73" s="20">
        <v>6774.83</v>
      </c>
      <c r="E73" s="20">
        <v>7018.75</v>
      </c>
      <c r="F73" s="20">
        <v>7065.93</v>
      </c>
      <c r="G73" s="20">
        <v>7095.93</v>
      </c>
      <c r="H73" s="20">
        <v>6773.45</v>
      </c>
      <c r="I73" s="20">
        <v>6477.95</v>
      </c>
      <c r="J73" s="20">
        <v>6456.42</v>
      </c>
      <c r="K73" s="20">
        <v>7267.1</v>
      </c>
      <c r="L73" s="20">
        <v>7527.67</v>
      </c>
      <c r="M73" s="20">
        <v>6771.67</v>
      </c>
      <c r="N73" s="20">
        <v>6306.8779999999997</v>
      </c>
      <c r="O73" s="20">
        <v>6134.69</v>
      </c>
      <c r="P73" s="20">
        <v>7508.1</v>
      </c>
      <c r="Q73" s="20">
        <v>7060</v>
      </c>
      <c r="R73" s="20">
        <v>7325</v>
      </c>
      <c r="S73" s="20">
        <v>7196</v>
      </c>
      <c r="T73" s="20">
        <v>6712</v>
      </c>
      <c r="U73" s="20">
        <v>5113.1000000000004</v>
      </c>
      <c r="V73" s="20">
        <v>5252.1</v>
      </c>
      <c r="W73" s="20">
        <v>5013.8500000000004</v>
      </c>
      <c r="X73" s="20">
        <v>5355.2</v>
      </c>
      <c r="Y73" s="20">
        <v>7714.02</v>
      </c>
      <c r="Z73" s="20">
        <v>7657.37</v>
      </c>
      <c r="AA73" s="20">
        <v>7405.67</v>
      </c>
      <c r="AB73" s="20">
        <v>7598.7</v>
      </c>
      <c r="AC73" s="20">
        <v>7481</v>
      </c>
      <c r="AD73" s="20">
        <v>6685.14</v>
      </c>
      <c r="AE73" s="20">
        <v>5898.7</v>
      </c>
      <c r="AF73" s="20"/>
      <c r="AG73" s="20"/>
      <c r="AH73" s="20"/>
      <c r="AI73" s="39">
        <f>SUM(D73:AH73)</f>
        <v>188647.21800000005</v>
      </c>
      <c r="AJ73" s="6"/>
    </row>
    <row r="74" spans="1:36" ht="15" thickBot="1" x14ac:dyDescent="0.35">
      <c r="A74" s="23"/>
      <c r="B74" s="48"/>
      <c r="C74" s="41" t="s">
        <v>20</v>
      </c>
      <c r="D74" s="49">
        <f>1024.31/D73</f>
        <v>0.15119346168095729</v>
      </c>
      <c r="E74" s="50">
        <f>840.19/E73</f>
        <v>0.11970650044523598</v>
      </c>
      <c r="F74" s="73">
        <f>1198.17/F73</f>
        <v>0.16957003536689438</v>
      </c>
      <c r="G74" s="50">
        <f>997.62/G73</f>
        <v>0.14059045114593857</v>
      </c>
      <c r="H74" s="50">
        <f>724.19/H73</f>
        <v>0.10691597339612754</v>
      </c>
      <c r="I74" s="50">
        <f>759.55/I73</f>
        <v>0.11725159965729899</v>
      </c>
      <c r="J74" s="50">
        <f>1016.81/J73</f>
        <v>0.15748820553805359</v>
      </c>
      <c r="K74" s="50">
        <f>765.05/K73</f>
        <v>0.10527583217514551</v>
      </c>
      <c r="L74" s="50">
        <f>903.42/L73</f>
        <v>0.12001323118574539</v>
      </c>
      <c r="M74" s="50">
        <f>1250.62/M73</f>
        <v>0.18468413256995689</v>
      </c>
      <c r="N74" s="50">
        <f>1165.83/N73</f>
        <v>0.1848505710749439</v>
      </c>
      <c r="O74" s="50">
        <f>758.04/O73</f>
        <v>0.12356614596662586</v>
      </c>
      <c r="P74" s="50">
        <f>295.69/P73</f>
        <v>3.9382799909431145E-2</v>
      </c>
      <c r="Q74" s="50">
        <f>237/Q73</f>
        <v>3.3569405099150143E-2</v>
      </c>
      <c r="R74" s="50">
        <f>174.78/R73</f>
        <v>2.3860750853242321E-2</v>
      </c>
      <c r="S74" s="50">
        <f>397.97/S73</f>
        <v>5.5304335742078936E-2</v>
      </c>
      <c r="T74" s="50">
        <f>875.36/T73</f>
        <v>0.13041716328963052</v>
      </c>
      <c r="U74" s="50">
        <f>1209.88/U73</f>
        <v>0.23662357473939488</v>
      </c>
      <c r="V74" s="50">
        <f>885.63/V73</f>
        <v>0.16862397897983664</v>
      </c>
      <c r="W74" s="50">
        <f>750.85/W73</f>
        <v>0.14975517815650646</v>
      </c>
      <c r="X74" s="50">
        <f>609.82/X73</f>
        <v>0.1138743651030774</v>
      </c>
      <c r="Y74" s="50">
        <f>1108.75/Y73</f>
        <v>0.14373180261394189</v>
      </c>
      <c r="Z74" s="50">
        <f>985.58/Z73</f>
        <v>0.12870998789401583</v>
      </c>
      <c r="AA74" s="50">
        <f>1295.09/AA73</f>
        <v>0.17487816767422798</v>
      </c>
      <c r="AB74" s="50">
        <f>1021.89/AB73</f>
        <v>0.13448221406293182</v>
      </c>
      <c r="AC74" s="50"/>
      <c r="AD74" s="50"/>
      <c r="AE74" s="50"/>
      <c r="AF74" s="50"/>
      <c r="AG74" s="50"/>
      <c r="AH74" s="90"/>
      <c r="AI74" s="51">
        <f>AVERAGE(D74:AG74)</f>
        <v>0.12857279457281556</v>
      </c>
      <c r="AJ74" s="6"/>
    </row>
    <row r="75" spans="1:36" ht="15" thickTop="1" x14ac:dyDescent="0.3">
      <c r="A75" s="2">
        <v>118</v>
      </c>
      <c r="B75" s="45" t="s">
        <v>39</v>
      </c>
      <c r="C75" s="46" t="s">
        <v>15</v>
      </c>
      <c r="D75" s="11">
        <v>67</v>
      </c>
      <c r="E75" s="12">
        <v>62</v>
      </c>
      <c r="F75" s="12">
        <v>71</v>
      </c>
      <c r="G75" s="12">
        <v>65</v>
      </c>
      <c r="H75" s="12">
        <v>84</v>
      </c>
      <c r="I75" s="12">
        <v>59</v>
      </c>
      <c r="J75" s="12">
        <v>37</v>
      </c>
      <c r="K75" s="12">
        <v>28</v>
      </c>
      <c r="L75" s="12">
        <v>41</v>
      </c>
      <c r="M75" s="12">
        <v>43</v>
      </c>
      <c r="N75" s="12">
        <v>90</v>
      </c>
      <c r="O75" s="12">
        <v>52</v>
      </c>
      <c r="P75" s="12">
        <v>39</v>
      </c>
      <c r="Q75" s="12">
        <v>70</v>
      </c>
      <c r="R75" s="12">
        <v>116</v>
      </c>
      <c r="S75" s="12">
        <v>113</v>
      </c>
      <c r="T75" s="12">
        <v>105</v>
      </c>
      <c r="U75" s="12">
        <v>86</v>
      </c>
      <c r="V75" s="12">
        <v>44</v>
      </c>
      <c r="W75" s="12">
        <v>59</v>
      </c>
      <c r="X75" s="12">
        <v>39</v>
      </c>
      <c r="Y75" s="12">
        <v>54</v>
      </c>
      <c r="Z75" s="12">
        <v>71</v>
      </c>
      <c r="AA75" s="12">
        <v>61</v>
      </c>
      <c r="AB75" s="12">
        <v>69</v>
      </c>
      <c r="AC75" s="12">
        <v>72</v>
      </c>
      <c r="AD75" s="12">
        <v>60</v>
      </c>
      <c r="AE75" s="12">
        <v>37</v>
      </c>
      <c r="AF75" s="12"/>
      <c r="AG75" s="12"/>
      <c r="AH75" s="12"/>
      <c r="AI75" s="13">
        <f>SUM(D75:AH75)</f>
        <v>1794</v>
      </c>
      <c r="AJ75" s="6"/>
    </row>
    <row r="76" spans="1:36" x14ac:dyDescent="0.3">
      <c r="A76" s="2"/>
      <c r="B76" s="14"/>
      <c r="C76" s="15" t="s">
        <v>16</v>
      </c>
      <c r="D76" s="16">
        <f t="shared" ref="D76:AE76" si="59">+D75/$A75</f>
        <v>0.56779661016949157</v>
      </c>
      <c r="E76" s="16">
        <f t="shared" si="59"/>
        <v>0.52542372881355937</v>
      </c>
      <c r="F76" s="16">
        <f t="shared" si="59"/>
        <v>0.60169491525423724</v>
      </c>
      <c r="G76" s="16">
        <f t="shared" si="59"/>
        <v>0.55084745762711862</v>
      </c>
      <c r="H76" s="16">
        <f t="shared" si="59"/>
        <v>0.71186440677966101</v>
      </c>
      <c r="I76" s="16">
        <f t="shared" si="59"/>
        <v>0.5</v>
      </c>
      <c r="J76" s="16">
        <f t="shared" si="59"/>
        <v>0.3135593220338983</v>
      </c>
      <c r="K76" s="16">
        <f t="shared" si="59"/>
        <v>0.23728813559322035</v>
      </c>
      <c r="L76" s="16">
        <f t="shared" si="59"/>
        <v>0.34745762711864409</v>
      </c>
      <c r="M76" s="16">
        <f t="shared" si="59"/>
        <v>0.36440677966101692</v>
      </c>
      <c r="N76" s="16">
        <f t="shared" si="59"/>
        <v>0.76271186440677963</v>
      </c>
      <c r="O76" s="16">
        <f t="shared" si="59"/>
        <v>0.44067796610169491</v>
      </c>
      <c r="P76" s="16">
        <f t="shared" si="59"/>
        <v>0.33050847457627119</v>
      </c>
      <c r="Q76" s="16">
        <f t="shared" si="59"/>
        <v>0.59322033898305082</v>
      </c>
      <c r="R76" s="16">
        <f t="shared" si="59"/>
        <v>0.98305084745762716</v>
      </c>
      <c r="S76" s="16">
        <f t="shared" si="59"/>
        <v>0.9576271186440678</v>
      </c>
      <c r="T76" s="16">
        <f t="shared" si="59"/>
        <v>0.88983050847457623</v>
      </c>
      <c r="U76" s="16">
        <f t="shared" si="59"/>
        <v>0.72881355932203384</v>
      </c>
      <c r="V76" s="16">
        <f t="shared" si="59"/>
        <v>0.3728813559322034</v>
      </c>
      <c r="W76" s="16">
        <f t="shared" si="59"/>
        <v>0.5</v>
      </c>
      <c r="X76" s="16">
        <f t="shared" si="59"/>
        <v>0.33050847457627119</v>
      </c>
      <c r="Y76" s="16">
        <f t="shared" si="59"/>
        <v>0.4576271186440678</v>
      </c>
      <c r="Z76" s="16">
        <f t="shared" si="59"/>
        <v>0.60169491525423724</v>
      </c>
      <c r="AA76" s="16">
        <f t="shared" si="59"/>
        <v>0.51694915254237284</v>
      </c>
      <c r="AB76" s="16">
        <f t="shared" si="59"/>
        <v>0.5847457627118644</v>
      </c>
      <c r="AC76" s="16">
        <f t="shared" si="59"/>
        <v>0.61016949152542377</v>
      </c>
      <c r="AD76" s="16">
        <f t="shared" si="59"/>
        <v>0.50847457627118642</v>
      </c>
      <c r="AE76" s="16">
        <f t="shared" si="59"/>
        <v>0.3135593220338983</v>
      </c>
      <c r="AF76" s="16"/>
      <c r="AG76" s="16"/>
      <c r="AH76" s="16"/>
      <c r="AI76" s="17">
        <f>+AI75/(A75*A$1)</f>
        <v>0.54297820823244547</v>
      </c>
      <c r="AJ76" s="6"/>
    </row>
    <row r="77" spans="1:36" x14ac:dyDescent="0.3">
      <c r="A77" s="2"/>
      <c r="B77" s="14"/>
      <c r="C77" s="15" t="s">
        <v>17</v>
      </c>
      <c r="D77" s="18">
        <f t="shared" ref="D77:AE77" si="60">+IFERROR(D79/D75,0)</f>
        <v>67.631044776119396</v>
      </c>
      <c r="E77" s="18">
        <f t="shared" si="60"/>
        <v>70.564999999999998</v>
      </c>
      <c r="F77" s="18">
        <f t="shared" si="60"/>
        <v>66.206478873239433</v>
      </c>
      <c r="G77" s="18">
        <f t="shared" si="60"/>
        <v>67.619692307692304</v>
      </c>
      <c r="H77" s="18">
        <f t="shared" si="60"/>
        <v>64.756190476190483</v>
      </c>
      <c r="I77" s="18">
        <f t="shared" si="60"/>
        <v>68.901016949152535</v>
      </c>
      <c r="J77" s="18">
        <f t="shared" si="60"/>
        <v>67.387297297297295</v>
      </c>
      <c r="K77" s="18">
        <f t="shared" si="60"/>
        <v>64.391428571428577</v>
      </c>
      <c r="L77" s="18">
        <f t="shared" si="60"/>
        <v>69.108780487804879</v>
      </c>
      <c r="M77" s="18">
        <f t="shared" si="60"/>
        <v>67.963720930232554</v>
      </c>
      <c r="N77" s="18">
        <f t="shared" si="60"/>
        <v>73.899222222222221</v>
      </c>
      <c r="O77" s="18">
        <f t="shared" si="60"/>
        <v>68.729615384615386</v>
      </c>
      <c r="P77" s="18">
        <f t="shared" si="60"/>
        <v>69.183589743589735</v>
      </c>
      <c r="Q77" s="18">
        <f t="shared" si="60"/>
        <v>74.116857142857143</v>
      </c>
      <c r="R77" s="18">
        <f t="shared" si="60"/>
        <v>88.306637931034487</v>
      </c>
      <c r="S77" s="18">
        <f t="shared" si="60"/>
        <v>82.431150442477872</v>
      </c>
      <c r="T77" s="18">
        <f t="shared" si="60"/>
        <v>85.515142857142862</v>
      </c>
      <c r="U77" s="18">
        <f t="shared" si="60"/>
        <v>86.679186046511632</v>
      </c>
      <c r="V77" s="18">
        <f t="shared" si="60"/>
        <v>80.968181818181819</v>
      </c>
      <c r="W77" s="18">
        <f t="shared" si="60"/>
        <v>85.289152542372889</v>
      </c>
      <c r="X77" s="18">
        <f t="shared" si="60"/>
        <v>61.980769230769234</v>
      </c>
      <c r="Y77" s="18">
        <f t="shared" si="60"/>
        <v>73.207962962962966</v>
      </c>
      <c r="Z77" s="18">
        <f t="shared" si="60"/>
        <v>77.563661971830996</v>
      </c>
      <c r="AA77" s="18">
        <f t="shared" si="60"/>
        <v>78.897377049180321</v>
      </c>
      <c r="AB77" s="18">
        <f t="shared" si="60"/>
        <v>68.594927536231893</v>
      </c>
      <c r="AC77" s="18">
        <f t="shared" si="60"/>
        <v>73.42972222222221</v>
      </c>
      <c r="AD77" s="18">
        <f t="shared" si="60"/>
        <v>78.768000000000001</v>
      </c>
      <c r="AE77" s="18">
        <f t="shared" si="60"/>
        <v>70.925945945945955</v>
      </c>
      <c r="AF77" s="18"/>
      <c r="AG77" s="18"/>
      <c r="AH77" s="18"/>
      <c r="AI77" s="19">
        <f>+AI79/AI75</f>
        <v>74.870317725752528</v>
      </c>
      <c r="AJ77" s="6"/>
    </row>
    <row r="78" spans="1:36" x14ac:dyDescent="0.3">
      <c r="A78" s="2"/>
      <c r="B78" s="14"/>
      <c r="C78" s="15" t="s">
        <v>18</v>
      </c>
      <c r="D78" s="18">
        <f t="shared" ref="D78:AE78" si="61">+D76*D77</f>
        <v>38.400677966101696</v>
      </c>
      <c r="E78" s="18">
        <f t="shared" si="61"/>
        <v>37.076525423728818</v>
      </c>
      <c r="F78" s="18">
        <f t="shared" si="61"/>
        <v>39.83610169491525</v>
      </c>
      <c r="G78" s="18">
        <f t="shared" si="61"/>
        <v>37.248135593220333</v>
      </c>
      <c r="H78" s="18">
        <f t="shared" si="61"/>
        <v>46.09762711864407</v>
      </c>
      <c r="I78" s="18">
        <f t="shared" si="61"/>
        <v>34.450508474576267</v>
      </c>
      <c r="J78" s="18">
        <f t="shared" si="61"/>
        <v>21.129915254237286</v>
      </c>
      <c r="K78" s="18">
        <f t="shared" si="61"/>
        <v>15.279322033898307</v>
      </c>
      <c r="L78" s="18">
        <f t="shared" si="61"/>
        <v>24.012372881355933</v>
      </c>
      <c r="M78" s="18">
        <f t="shared" si="61"/>
        <v>24.766440677966099</v>
      </c>
      <c r="N78" s="18">
        <f t="shared" si="61"/>
        <v>56.363813559322033</v>
      </c>
      <c r="O78" s="18">
        <f t="shared" si="61"/>
        <v>30.287627118644068</v>
      </c>
      <c r="P78" s="18">
        <f t="shared" si="61"/>
        <v>22.865762711864406</v>
      </c>
      <c r="Q78" s="18">
        <f t="shared" si="61"/>
        <v>43.967627118644067</v>
      </c>
      <c r="R78" s="18">
        <f t="shared" si="61"/>
        <v>86.809915254237296</v>
      </c>
      <c r="S78" s="18">
        <f t="shared" si="61"/>
        <v>78.938305084745764</v>
      </c>
      <c r="T78" s="18">
        <f t="shared" si="61"/>
        <v>76.093983050847456</v>
      </c>
      <c r="U78" s="18">
        <f t="shared" si="61"/>
        <v>63.172966101694911</v>
      </c>
      <c r="V78" s="18">
        <f t="shared" si="61"/>
        <v>30.191525423728816</v>
      </c>
      <c r="W78" s="18">
        <f t="shared" si="61"/>
        <v>42.644576271186445</v>
      </c>
      <c r="X78" s="18">
        <f t="shared" si="61"/>
        <v>20.485169491525426</v>
      </c>
      <c r="Y78" s="18">
        <f t="shared" si="61"/>
        <v>33.501949152542373</v>
      </c>
      <c r="Z78" s="18">
        <f t="shared" si="61"/>
        <v>46.669661016949156</v>
      </c>
      <c r="AA78" s="18">
        <f t="shared" si="61"/>
        <v>40.785932203389827</v>
      </c>
      <c r="AB78" s="18">
        <f t="shared" si="61"/>
        <v>40.110593220338991</v>
      </c>
      <c r="AC78" s="18">
        <f t="shared" si="61"/>
        <v>44.804576271186434</v>
      </c>
      <c r="AD78" s="18">
        <f t="shared" si="61"/>
        <v>40.051525423728812</v>
      </c>
      <c r="AE78" s="18">
        <f t="shared" si="61"/>
        <v>22.23949152542373</v>
      </c>
      <c r="AF78" s="18"/>
      <c r="AG78" s="18"/>
      <c r="AH78" s="18"/>
      <c r="AI78" s="19">
        <f>+AI77*AI76</f>
        <v>40.652950968523008</v>
      </c>
      <c r="AJ78" s="6"/>
    </row>
    <row r="79" spans="1:36" x14ac:dyDescent="0.3">
      <c r="A79" s="2"/>
      <c r="B79" s="14"/>
      <c r="C79" s="15" t="s">
        <v>19</v>
      </c>
      <c r="D79" s="20">
        <v>4531.28</v>
      </c>
      <c r="E79" s="20">
        <v>4375.03</v>
      </c>
      <c r="F79" s="20">
        <v>4700.66</v>
      </c>
      <c r="G79" s="20">
        <v>4395.28</v>
      </c>
      <c r="H79" s="20">
        <v>5439.52</v>
      </c>
      <c r="I79" s="20">
        <v>4065.16</v>
      </c>
      <c r="J79" s="20">
        <v>2493.33</v>
      </c>
      <c r="K79" s="20">
        <v>1802.96</v>
      </c>
      <c r="L79" s="20">
        <v>2833.46</v>
      </c>
      <c r="M79" s="20">
        <v>2922.44</v>
      </c>
      <c r="N79" s="20">
        <v>6650.93</v>
      </c>
      <c r="O79" s="20">
        <v>3573.94</v>
      </c>
      <c r="P79" s="20">
        <v>2698.16</v>
      </c>
      <c r="Q79" s="20">
        <v>5188.18</v>
      </c>
      <c r="R79" s="20">
        <v>10243.57</v>
      </c>
      <c r="S79" s="20">
        <v>9314.7199999999993</v>
      </c>
      <c r="T79" s="20">
        <v>8979.09</v>
      </c>
      <c r="U79" s="20">
        <v>7454.41</v>
      </c>
      <c r="V79" s="20">
        <v>3562.6</v>
      </c>
      <c r="W79" s="20">
        <v>5032.0600000000004</v>
      </c>
      <c r="X79" s="20">
        <v>2417.25</v>
      </c>
      <c r="Y79" s="20">
        <v>3953.23</v>
      </c>
      <c r="Z79" s="20">
        <v>5507.02</v>
      </c>
      <c r="AA79" s="20">
        <v>4812.74</v>
      </c>
      <c r="AB79" s="20">
        <v>4733.05</v>
      </c>
      <c r="AC79" s="20">
        <v>5286.94</v>
      </c>
      <c r="AD79" s="20">
        <v>4726.08</v>
      </c>
      <c r="AE79" s="20">
        <v>2624.26</v>
      </c>
      <c r="AF79" s="20"/>
      <c r="AG79" s="20"/>
      <c r="AH79" s="20"/>
      <c r="AI79" s="22">
        <f>SUM(D79:AH79)</f>
        <v>134317.35000000003</v>
      </c>
      <c r="AJ79" s="6"/>
    </row>
    <row r="80" spans="1:36" ht="15" thickBot="1" x14ac:dyDescent="0.35">
      <c r="A80" s="2"/>
      <c r="B80" s="14"/>
      <c r="C80" s="15" t="s">
        <v>20</v>
      </c>
      <c r="D80" s="74">
        <f>570.73/D79</f>
        <v>0.1259533729983581</v>
      </c>
      <c r="E80" s="74">
        <f>757.64/E79</f>
        <v>0.17317366966626516</v>
      </c>
      <c r="F80" s="74">
        <f>767.28/F79</f>
        <v>0.16322814243106287</v>
      </c>
      <c r="G80" s="74">
        <f>928.76/G79</f>
        <v>0.21130849456689904</v>
      </c>
      <c r="H80" s="74">
        <f>824.51/H79</f>
        <v>0.15157771273935935</v>
      </c>
      <c r="I80" s="75">
        <f>529.68/I79</f>
        <v>0.13029745446673685</v>
      </c>
      <c r="J80" s="74">
        <f>439.01/J79</f>
        <v>0.17607376480449841</v>
      </c>
      <c r="K80" s="75">
        <f>800.19/K79</f>
        <v>0.44382016239960953</v>
      </c>
      <c r="L80" s="74">
        <f>637.69/L79</f>
        <v>0.22505699745187863</v>
      </c>
      <c r="M80" s="74">
        <f>660.93/M79</f>
        <v>0.22615690997933233</v>
      </c>
      <c r="N80" s="74">
        <f>547.57/N79</f>
        <v>8.2329839586343573E-2</v>
      </c>
      <c r="O80" s="74">
        <f>503.61/O79</f>
        <v>0.14091171088490573</v>
      </c>
      <c r="P80" s="74">
        <f>908.98/P79</f>
        <v>0.33688884276692266</v>
      </c>
      <c r="Q80" s="74">
        <f>779.84/Q79</f>
        <v>0.15031089900504607</v>
      </c>
      <c r="R80" s="74">
        <f>472.46/R79</f>
        <v>4.6122592026022174E-2</v>
      </c>
      <c r="S80" s="74">
        <f>186.48/S79</f>
        <v>2.0019925451328649E-2</v>
      </c>
      <c r="T80" s="74">
        <f>594.13/T79</f>
        <v>6.616817517142605E-2</v>
      </c>
      <c r="U80" s="74">
        <f>931.32/U79</f>
        <v>0.12493544090008465</v>
      </c>
      <c r="V80" s="74">
        <f>911.81/V79</f>
        <v>0.25593948240049402</v>
      </c>
      <c r="W80" s="74">
        <f>733.06/W79</f>
        <v>0.14567791322043058</v>
      </c>
      <c r="X80" s="74">
        <f>835.12/X79</f>
        <v>0.3454835039817975</v>
      </c>
      <c r="Y80" s="74">
        <f>629.78/Y79</f>
        <v>0.15930770534474339</v>
      </c>
      <c r="Z80" s="74">
        <f>582.16/Z79</f>
        <v>0.10571234533377397</v>
      </c>
      <c r="AA80" s="74">
        <f>897.39/AA79</f>
        <v>0.18646135049888421</v>
      </c>
      <c r="AB80" s="74">
        <f>821.65/AB79</f>
        <v>0.17359841962370987</v>
      </c>
      <c r="AC80" s="26"/>
      <c r="AD80" s="26"/>
      <c r="AE80" s="26"/>
      <c r="AF80" s="26"/>
      <c r="AG80" s="26"/>
      <c r="AH80" s="92"/>
      <c r="AI80" s="76">
        <f>AVERAGE(D80:AG80)</f>
        <v>0.1746605931079965</v>
      </c>
      <c r="AJ80" s="6"/>
    </row>
    <row r="81" spans="1:36" ht="15" thickTop="1" x14ac:dyDescent="0.3">
      <c r="A81" s="2">
        <v>103</v>
      </c>
      <c r="B81" s="28" t="s">
        <v>40</v>
      </c>
      <c r="C81" s="29" t="s">
        <v>15</v>
      </c>
      <c r="D81" s="30">
        <v>46</v>
      </c>
      <c r="E81" s="31">
        <v>37</v>
      </c>
      <c r="F81" s="31">
        <v>29</v>
      </c>
      <c r="G81" s="31">
        <v>35</v>
      </c>
      <c r="H81" s="31">
        <v>37</v>
      </c>
      <c r="I81" s="31">
        <v>60</v>
      </c>
      <c r="J81" s="31">
        <v>37</v>
      </c>
      <c r="K81" s="31">
        <v>40</v>
      </c>
      <c r="L81" s="31">
        <v>44</v>
      </c>
      <c r="M81" s="31">
        <v>41</v>
      </c>
      <c r="N81" s="31">
        <v>37</v>
      </c>
      <c r="O81" s="31">
        <v>38</v>
      </c>
      <c r="P81" s="31">
        <v>42</v>
      </c>
      <c r="Q81" s="31">
        <v>58</v>
      </c>
      <c r="R81" s="31">
        <v>79</v>
      </c>
      <c r="S81" s="31">
        <v>81</v>
      </c>
      <c r="T81" s="31">
        <v>77</v>
      </c>
      <c r="U81" s="31">
        <v>70</v>
      </c>
      <c r="V81" s="31">
        <v>75</v>
      </c>
      <c r="W81" s="31">
        <v>74</v>
      </c>
      <c r="X81" s="31">
        <v>47</v>
      </c>
      <c r="Y81" s="31">
        <v>50</v>
      </c>
      <c r="Z81" s="31">
        <v>58</v>
      </c>
      <c r="AA81" s="31">
        <v>66</v>
      </c>
      <c r="AB81" s="31">
        <v>68</v>
      </c>
      <c r="AC81" s="31">
        <v>66</v>
      </c>
      <c r="AD81" s="31">
        <v>82</v>
      </c>
      <c r="AE81" s="31">
        <v>57</v>
      </c>
      <c r="AF81" s="31"/>
      <c r="AG81" s="31"/>
      <c r="AH81" s="31"/>
      <c r="AI81" s="32">
        <f>SUM(D81:AH81)</f>
        <v>1531</v>
      </c>
      <c r="AJ81" s="6"/>
    </row>
    <row r="82" spans="1:36" x14ac:dyDescent="0.3">
      <c r="A82" s="2"/>
      <c r="B82" s="33"/>
      <c r="C82" s="34" t="s">
        <v>16</v>
      </c>
      <c r="D82" s="35">
        <f t="shared" ref="D82:AE82" si="62">+D81/$A81</f>
        <v>0.44660194174757284</v>
      </c>
      <c r="E82" s="35">
        <f t="shared" si="62"/>
        <v>0.35922330097087379</v>
      </c>
      <c r="F82" s="35">
        <f t="shared" si="62"/>
        <v>0.28155339805825241</v>
      </c>
      <c r="G82" s="35">
        <f t="shared" si="62"/>
        <v>0.33980582524271846</v>
      </c>
      <c r="H82" s="35">
        <f t="shared" si="62"/>
        <v>0.35922330097087379</v>
      </c>
      <c r="I82" s="35">
        <f t="shared" si="62"/>
        <v>0.58252427184466016</v>
      </c>
      <c r="J82" s="35">
        <f t="shared" si="62"/>
        <v>0.35922330097087379</v>
      </c>
      <c r="K82" s="35">
        <f t="shared" si="62"/>
        <v>0.38834951456310679</v>
      </c>
      <c r="L82" s="35">
        <f t="shared" si="62"/>
        <v>0.42718446601941745</v>
      </c>
      <c r="M82" s="35">
        <f t="shared" si="62"/>
        <v>0.39805825242718446</v>
      </c>
      <c r="N82" s="35">
        <f t="shared" si="62"/>
        <v>0.35922330097087379</v>
      </c>
      <c r="O82" s="35">
        <f t="shared" si="62"/>
        <v>0.36893203883495146</v>
      </c>
      <c r="P82" s="35">
        <f t="shared" si="62"/>
        <v>0.40776699029126212</v>
      </c>
      <c r="Q82" s="35">
        <f t="shared" si="62"/>
        <v>0.56310679611650483</v>
      </c>
      <c r="R82" s="35">
        <f t="shared" si="62"/>
        <v>0.76699029126213591</v>
      </c>
      <c r="S82" s="35">
        <f t="shared" si="62"/>
        <v>0.78640776699029125</v>
      </c>
      <c r="T82" s="35">
        <f t="shared" si="62"/>
        <v>0.74757281553398058</v>
      </c>
      <c r="U82" s="35">
        <f t="shared" si="62"/>
        <v>0.67961165048543692</v>
      </c>
      <c r="V82" s="35">
        <f t="shared" si="62"/>
        <v>0.72815533980582525</v>
      </c>
      <c r="W82" s="35">
        <f t="shared" si="62"/>
        <v>0.71844660194174759</v>
      </c>
      <c r="X82" s="35">
        <f t="shared" si="62"/>
        <v>0.4563106796116505</v>
      </c>
      <c r="Y82" s="35">
        <f t="shared" si="62"/>
        <v>0.4854368932038835</v>
      </c>
      <c r="Z82" s="35">
        <f t="shared" si="62"/>
        <v>0.56310679611650483</v>
      </c>
      <c r="AA82" s="35">
        <f t="shared" si="62"/>
        <v>0.64077669902912626</v>
      </c>
      <c r="AB82" s="35">
        <f t="shared" si="62"/>
        <v>0.66019417475728159</v>
      </c>
      <c r="AC82" s="35">
        <f t="shared" si="62"/>
        <v>0.64077669902912626</v>
      </c>
      <c r="AD82" s="35">
        <f t="shared" si="62"/>
        <v>0.79611650485436891</v>
      </c>
      <c r="AE82" s="35">
        <f t="shared" si="62"/>
        <v>0.55339805825242716</v>
      </c>
      <c r="AF82" s="35"/>
      <c r="AG82" s="35"/>
      <c r="AH82" s="35"/>
      <c r="AI82" s="36">
        <f>+AI81/(A81*A$1)</f>
        <v>0.53085991678224687</v>
      </c>
      <c r="AJ82" s="6"/>
    </row>
    <row r="83" spans="1:36" x14ac:dyDescent="0.3">
      <c r="A83" s="2"/>
      <c r="B83" s="33"/>
      <c r="C83" s="34" t="s">
        <v>17</v>
      </c>
      <c r="D83" s="37">
        <f t="shared" ref="D83:AE83" si="63">+IFERROR(D85/D81,0)</f>
        <v>64.542173913043484</v>
      </c>
      <c r="E83" s="37">
        <f t="shared" si="63"/>
        <v>57.924864864864858</v>
      </c>
      <c r="F83" s="37">
        <f t="shared" si="63"/>
        <v>56.419655172413798</v>
      </c>
      <c r="G83" s="37">
        <f t="shared" si="63"/>
        <v>57.222571428571428</v>
      </c>
      <c r="H83" s="37">
        <f t="shared" si="63"/>
        <v>124.62297297297297</v>
      </c>
      <c r="I83" s="37">
        <f t="shared" si="63"/>
        <v>70.090666666666664</v>
      </c>
      <c r="J83" s="37">
        <f t="shared" si="63"/>
        <v>60.861891891891887</v>
      </c>
      <c r="K83" s="37">
        <f t="shared" si="63"/>
        <v>58.829499999999996</v>
      </c>
      <c r="L83" s="37">
        <f t="shared" si="63"/>
        <v>59.30772727272727</v>
      </c>
      <c r="M83" s="37">
        <f t="shared" si="63"/>
        <v>64.319268292682935</v>
      </c>
      <c r="N83" s="37">
        <f t="shared" si="63"/>
        <v>54.312972972972972</v>
      </c>
      <c r="O83" s="37">
        <f t="shared" si="63"/>
        <v>62.094736842105263</v>
      </c>
      <c r="P83" s="37">
        <f t="shared" si="63"/>
        <v>65.534047619047612</v>
      </c>
      <c r="Q83" s="37">
        <f t="shared" si="63"/>
        <v>59.922413793103445</v>
      </c>
      <c r="R83" s="37">
        <f t="shared" si="63"/>
        <v>73.675696202531654</v>
      </c>
      <c r="S83" s="37">
        <f t="shared" si="63"/>
        <v>85.870740740740743</v>
      </c>
      <c r="T83" s="37">
        <f t="shared" si="63"/>
        <v>84.910909090909101</v>
      </c>
      <c r="U83" s="37">
        <f t="shared" si="63"/>
        <v>84.701142857142855</v>
      </c>
      <c r="V83" s="37">
        <f t="shared" si="63"/>
        <v>77.793733333333336</v>
      </c>
      <c r="W83" s="37">
        <f t="shared" si="63"/>
        <v>77.712972972972977</v>
      </c>
      <c r="X83" s="37">
        <f t="shared" si="63"/>
        <v>73.273191489361707</v>
      </c>
      <c r="Y83" s="37">
        <f t="shared" si="63"/>
        <v>83.288799999999995</v>
      </c>
      <c r="Z83" s="37">
        <f t="shared" si="63"/>
        <v>65.583965517241381</v>
      </c>
      <c r="AA83" s="37">
        <f t="shared" si="63"/>
        <v>67.049090909090907</v>
      </c>
      <c r="AB83" s="37">
        <f t="shared" si="63"/>
        <v>56.283088235294116</v>
      </c>
      <c r="AC83" s="37">
        <f t="shared" si="63"/>
        <v>67.304848484848478</v>
      </c>
      <c r="AD83" s="37">
        <f t="shared" si="63"/>
        <v>71.420121951219514</v>
      </c>
      <c r="AE83" s="37">
        <f t="shared" si="63"/>
        <v>65.42280701754386</v>
      </c>
      <c r="AF83" s="37"/>
      <c r="AG83" s="37"/>
      <c r="AH83" s="37"/>
      <c r="AI83" s="38">
        <f>+AI85/AI81</f>
        <v>70.892978445460486</v>
      </c>
      <c r="AJ83" s="6"/>
    </row>
    <row r="84" spans="1:36" x14ac:dyDescent="0.3">
      <c r="A84" s="2"/>
      <c r="B84" s="33"/>
      <c r="C84" s="34" t="s">
        <v>18</v>
      </c>
      <c r="D84" s="37">
        <f t="shared" ref="D84:AE84" si="64">+D82*D83</f>
        <v>28.824660194174761</v>
      </c>
      <c r="E84" s="37">
        <f t="shared" si="64"/>
        <v>20.807961165048543</v>
      </c>
      <c r="F84" s="37">
        <f t="shared" si="64"/>
        <v>15.885145631067962</v>
      </c>
      <c r="G84" s="37">
        <f t="shared" si="64"/>
        <v>19.444563106796117</v>
      </c>
      <c r="H84" s="37">
        <f t="shared" si="64"/>
        <v>44.76747572815534</v>
      </c>
      <c r="I84" s="37">
        <f t="shared" si="64"/>
        <v>40.829514563106791</v>
      </c>
      <c r="J84" s="37">
        <f t="shared" si="64"/>
        <v>21.863009708737863</v>
      </c>
      <c r="K84" s="37">
        <f t="shared" si="64"/>
        <v>22.846407766990289</v>
      </c>
      <c r="L84" s="37">
        <f t="shared" si="64"/>
        <v>25.335339805825239</v>
      </c>
      <c r="M84" s="37">
        <f t="shared" si="64"/>
        <v>25.602815533980586</v>
      </c>
      <c r="N84" s="37">
        <f t="shared" si="64"/>
        <v>19.510485436893205</v>
      </c>
      <c r="O84" s="37">
        <f t="shared" si="64"/>
        <v>22.908737864077668</v>
      </c>
      <c r="P84" s="37">
        <f t="shared" si="64"/>
        <v>26.722621359223297</v>
      </c>
      <c r="Q84" s="37">
        <f t="shared" si="64"/>
        <v>33.742718446601941</v>
      </c>
      <c r="R84" s="37">
        <f t="shared" si="64"/>
        <v>56.508543689320398</v>
      </c>
      <c r="S84" s="37">
        <f t="shared" si="64"/>
        <v>67.529417475728152</v>
      </c>
      <c r="T84" s="37">
        <f t="shared" si="64"/>
        <v>63.477087378640782</v>
      </c>
      <c r="U84" s="37">
        <f t="shared" si="64"/>
        <v>57.563883495145632</v>
      </c>
      <c r="V84" s="37">
        <f t="shared" si="64"/>
        <v>56.645922330097093</v>
      </c>
      <c r="W84" s="37">
        <f t="shared" si="64"/>
        <v>55.832621359223303</v>
      </c>
      <c r="X84" s="37">
        <f t="shared" si="64"/>
        <v>33.435339805825244</v>
      </c>
      <c r="Y84" s="37">
        <f t="shared" si="64"/>
        <v>40.431456310679607</v>
      </c>
      <c r="Z84" s="37">
        <f t="shared" si="64"/>
        <v>36.930776699029124</v>
      </c>
      <c r="AA84" s="37">
        <f t="shared" si="64"/>
        <v>42.963495145631072</v>
      </c>
      <c r="AB84" s="37">
        <f t="shared" si="64"/>
        <v>37.157766990291265</v>
      </c>
      <c r="AC84" s="37">
        <f t="shared" si="64"/>
        <v>43.127378640776698</v>
      </c>
      <c r="AD84" s="37">
        <f t="shared" si="64"/>
        <v>56.858737864077668</v>
      </c>
      <c r="AE84" s="37">
        <f t="shared" si="64"/>
        <v>36.20485436893204</v>
      </c>
      <c r="AF84" s="37"/>
      <c r="AG84" s="37"/>
      <c r="AH84" s="37"/>
      <c r="AI84" s="38">
        <f>+AI83*AI82</f>
        <v>37.634240638002773</v>
      </c>
      <c r="AJ84" s="6"/>
    </row>
    <row r="85" spans="1:36" x14ac:dyDescent="0.3">
      <c r="A85" s="2"/>
      <c r="B85" s="33"/>
      <c r="C85" s="34" t="s">
        <v>19</v>
      </c>
      <c r="D85" s="20">
        <v>2968.94</v>
      </c>
      <c r="E85" s="20">
        <v>2143.2199999999998</v>
      </c>
      <c r="F85" s="20">
        <v>1636.17</v>
      </c>
      <c r="G85" s="20">
        <v>2002.79</v>
      </c>
      <c r="H85" s="20">
        <v>4611.05</v>
      </c>
      <c r="I85" s="20">
        <v>4205.4399999999996</v>
      </c>
      <c r="J85" s="20">
        <v>2251.89</v>
      </c>
      <c r="K85" s="20">
        <v>2353.1799999999998</v>
      </c>
      <c r="L85" s="20">
        <v>2609.54</v>
      </c>
      <c r="M85" s="20">
        <v>2637.09</v>
      </c>
      <c r="N85" s="20">
        <v>2009.58</v>
      </c>
      <c r="O85" s="20">
        <v>2359.6</v>
      </c>
      <c r="P85" s="20">
        <v>2752.43</v>
      </c>
      <c r="Q85" s="20">
        <v>3475.5</v>
      </c>
      <c r="R85" s="20">
        <v>5820.38</v>
      </c>
      <c r="S85" s="20">
        <v>6955.53</v>
      </c>
      <c r="T85" s="20">
        <v>6538.14</v>
      </c>
      <c r="U85" s="20">
        <v>5929.08</v>
      </c>
      <c r="V85" s="20">
        <v>5834.53</v>
      </c>
      <c r="W85" s="20">
        <v>5750.76</v>
      </c>
      <c r="X85" s="20">
        <v>3443.84</v>
      </c>
      <c r="Y85" s="20">
        <v>4164.4399999999996</v>
      </c>
      <c r="Z85" s="20">
        <v>3803.87</v>
      </c>
      <c r="AA85" s="20">
        <v>4425.24</v>
      </c>
      <c r="AB85" s="20">
        <v>3827.25</v>
      </c>
      <c r="AC85" s="20">
        <v>4442.12</v>
      </c>
      <c r="AD85" s="20">
        <v>5856.45</v>
      </c>
      <c r="AE85" s="20">
        <v>3729.1</v>
      </c>
      <c r="AF85" s="20"/>
      <c r="AG85" s="20"/>
      <c r="AH85" s="20"/>
      <c r="AI85" s="39">
        <f>SUM(D85:AH85)</f>
        <v>108537.15</v>
      </c>
      <c r="AJ85" s="6"/>
    </row>
    <row r="86" spans="1:36" ht="15" thickBot="1" x14ac:dyDescent="0.35">
      <c r="A86" s="23"/>
      <c r="B86" s="48"/>
      <c r="C86" s="41" t="s">
        <v>20</v>
      </c>
      <c r="D86" s="49">
        <f>910.05/D85</f>
        <v>0.30652354038815199</v>
      </c>
      <c r="E86" s="50">
        <f>911.4/E85</f>
        <v>0.42524799134013308</v>
      </c>
      <c r="F86" s="73">
        <f>1195.79/F85</f>
        <v>0.73084703912185156</v>
      </c>
      <c r="G86" s="50">
        <f>1266.69/G85</f>
        <v>0.63246271451325409</v>
      </c>
      <c r="H86" s="50">
        <f>953.27/H85</f>
        <v>0.2067359928866527</v>
      </c>
      <c r="I86" s="50">
        <f>651.6/I85</f>
        <v>0.154942170141531</v>
      </c>
      <c r="J86" s="50">
        <f>954.83/J85</f>
        <v>0.42401271820559622</v>
      </c>
      <c r="K86" s="50">
        <f>1289.44/K85</f>
        <v>0.5479563824271837</v>
      </c>
      <c r="L86" s="50">
        <f>795.01/L85</f>
        <v>0.30465522659165983</v>
      </c>
      <c r="M86" s="50">
        <f>1132.74/M85</f>
        <v>0.42954165386846865</v>
      </c>
      <c r="N86" s="50">
        <f>1127.54/N85</f>
        <v>0.5610824152310433</v>
      </c>
      <c r="O86" s="50">
        <f>634.35/O85</f>
        <v>0.26883793863366673</v>
      </c>
      <c r="P86" s="50">
        <f>340.49/P85</f>
        <v>0.12370523501051799</v>
      </c>
      <c r="Q86" s="50">
        <f>544.54/Q85</f>
        <v>0.15667961444396489</v>
      </c>
      <c r="R86" s="50">
        <f>737.55/R85</f>
        <v>0.12671853040523126</v>
      </c>
      <c r="S86" s="50">
        <f>931.34/S85</f>
        <v>0.13389921400669683</v>
      </c>
      <c r="T86" s="50">
        <f>1046.4/T85</f>
        <v>0.16004551753250926</v>
      </c>
      <c r="U86" s="50">
        <f>1310.23/U85</f>
        <v>0.22098369392890635</v>
      </c>
      <c r="V86" s="50">
        <f>1058.26/V85</f>
        <v>0.1813787914364996</v>
      </c>
      <c r="W86" s="50">
        <f>372.17/W85</f>
        <v>6.4716663536645597E-2</v>
      </c>
      <c r="X86" s="50">
        <f>711.31/X85</f>
        <v>0.20654560026017466</v>
      </c>
      <c r="Y86" s="50">
        <f>1454.57/Y85</f>
        <v>0.34928345707946329</v>
      </c>
      <c r="Z86" s="50">
        <f>1044.6/Z85</f>
        <v>0.27461506308049433</v>
      </c>
      <c r="AA86" s="50">
        <f>1280.8/AA85</f>
        <v>0.28943062975115474</v>
      </c>
      <c r="AB86" s="50">
        <f>1047.23/AB85</f>
        <v>0.27362466522960349</v>
      </c>
      <c r="AC86" s="50"/>
      <c r="AD86" s="50"/>
      <c r="AE86" s="50"/>
      <c r="AF86" s="50"/>
      <c r="AG86" s="26"/>
      <c r="AH86" s="50"/>
      <c r="AI86" s="51">
        <f>AVERAGE(D86:AG86)</f>
        <v>0.30217889836204226</v>
      </c>
      <c r="AJ86" s="6"/>
    </row>
    <row r="87" spans="1:36" ht="15" thickTop="1" x14ac:dyDescent="0.3">
      <c r="A87" s="2">
        <v>115</v>
      </c>
      <c r="B87" s="45" t="s">
        <v>41</v>
      </c>
      <c r="C87" s="46" t="s">
        <v>15</v>
      </c>
      <c r="D87" s="11">
        <v>32</v>
      </c>
      <c r="E87" s="12">
        <v>39</v>
      </c>
      <c r="F87" s="12">
        <v>41</v>
      </c>
      <c r="G87" s="12">
        <v>49</v>
      </c>
      <c r="H87" s="12">
        <v>87</v>
      </c>
      <c r="I87" s="12">
        <v>87</v>
      </c>
      <c r="J87" s="12">
        <v>23</v>
      </c>
      <c r="K87" s="12">
        <v>34</v>
      </c>
      <c r="L87" s="12">
        <v>48</v>
      </c>
      <c r="M87" s="12">
        <v>42</v>
      </c>
      <c r="N87" s="12">
        <v>53</v>
      </c>
      <c r="O87" s="12">
        <v>53</v>
      </c>
      <c r="P87" s="12">
        <v>64</v>
      </c>
      <c r="Q87" s="12">
        <v>0</v>
      </c>
      <c r="R87" s="12">
        <v>0</v>
      </c>
      <c r="S87" s="12">
        <v>64</v>
      </c>
      <c r="T87" s="12">
        <v>69</v>
      </c>
      <c r="U87" s="12">
        <v>46</v>
      </c>
      <c r="V87" s="12">
        <v>40</v>
      </c>
      <c r="W87" s="12">
        <v>51</v>
      </c>
      <c r="X87" s="12">
        <v>37</v>
      </c>
      <c r="Y87" s="12">
        <v>38</v>
      </c>
      <c r="Z87" s="12">
        <v>38</v>
      </c>
      <c r="AA87" s="12">
        <v>75</v>
      </c>
      <c r="AB87" s="12">
        <v>78</v>
      </c>
      <c r="AC87" s="12">
        <v>83</v>
      </c>
      <c r="AD87" s="12">
        <v>82</v>
      </c>
      <c r="AE87" s="12">
        <v>18</v>
      </c>
      <c r="AF87" s="12"/>
      <c r="AG87" s="12"/>
      <c r="AH87" s="12"/>
      <c r="AI87" s="13">
        <f>SUM(D87:AH87)</f>
        <v>1371</v>
      </c>
      <c r="AJ87" s="6"/>
    </row>
    <row r="88" spans="1:36" x14ac:dyDescent="0.3">
      <c r="A88" s="2"/>
      <c r="B88" s="14"/>
      <c r="C88" s="15" t="s">
        <v>16</v>
      </c>
      <c r="D88" s="16">
        <f t="shared" ref="D88:AE88" si="65">+D87/$A87</f>
        <v>0.27826086956521739</v>
      </c>
      <c r="E88" s="16">
        <f t="shared" si="65"/>
        <v>0.33913043478260868</v>
      </c>
      <c r="F88" s="16">
        <f t="shared" si="65"/>
        <v>0.35652173913043478</v>
      </c>
      <c r="G88" s="16">
        <f t="shared" si="65"/>
        <v>0.42608695652173911</v>
      </c>
      <c r="H88" s="16">
        <f t="shared" si="65"/>
        <v>0.75652173913043474</v>
      </c>
      <c r="I88" s="16">
        <f t="shared" si="65"/>
        <v>0.75652173913043474</v>
      </c>
      <c r="J88" s="16">
        <f t="shared" si="65"/>
        <v>0.2</v>
      </c>
      <c r="K88" s="16">
        <f t="shared" si="65"/>
        <v>0.29565217391304349</v>
      </c>
      <c r="L88" s="16">
        <f t="shared" si="65"/>
        <v>0.41739130434782606</v>
      </c>
      <c r="M88" s="16">
        <f t="shared" si="65"/>
        <v>0.36521739130434783</v>
      </c>
      <c r="N88" s="16">
        <f t="shared" si="65"/>
        <v>0.46086956521739131</v>
      </c>
      <c r="O88" s="16">
        <f t="shared" si="65"/>
        <v>0.46086956521739131</v>
      </c>
      <c r="P88" s="16">
        <f t="shared" si="65"/>
        <v>0.55652173913043479</v>
      </c>
      <c r="Q88" s="16">
        <f t="shared" si="65"/>
        <v>0</v>
      </c>
      <c r="R88" s="16">
        <f t="shared" si="65"/>
        <v>0</v>
      </c>
      <c r="S88" s="16">
        <f t="shared" si="65"/>
        <v>0.55652173913043479</v>
      </c>
      <c r="T88" s="16">
        <f t="shared" si="65"/>
        <v>0.6</v>
      </c>
      <c r="U88" s="16">
        <f t="shared" si="65"/>
        <v>0.4</v>
      </c>
      <c r="V88" s="16">
        <f t="shared" si="65"/>
        <v>0.34782608695652173</v>
      </c>
      <c r="W88" s="16">
        <f t="shared" si="65"/>
        <v>0.44347826086956521</v>
      </c>
      <c r="X88" s="16">
        <f t="shared" si="65"/>
        <v>0.32173913043478258</v>
      </c>
      <c r="Y88" s="16">
        <f t="shared" si="65"/>
        <v>0.33043478260869563</v>
      </c>
      <c r="Z88" s="16">
        <f t="shared" si="65"/>
        <v>0.33043478260869563</v>
      </c>
      <c r="AA88" s="16">
        <f t="shared" si="65"/>
        <v>0.65217391304347827</v>
      </c>
      <c r="AB88" s="16">
        <f t="shared" si="65"/>
        <v>0.67826086956521736</v>
      </c>
      <c r="AC88" s="16">
        <f t="shared" si="65"/>
        <v>0.72173913043478266</v>
      </c>
      <c r="AD88" s="16">
        <f t="shared" si="65"/>
        <v>0.71304347826086956</v>
      </c>
      <c r="AE88" s="16">
        <f t="shared" si="65"/>
        <v>0.15652173913043479</v>
      </c>
      <c r="AF88" s="16"/>
      <c r="AG88" s="16"/>
      <c r="AH88" s="16"/>
      <c r="AI88" s="17">
        <f>+AI87/(A87*A$1)</f>
        <v>0.42577639751552793</v>
      </c>
      <c r="AJ88" s="6"/>
    </row>
    <row r="89" spans="1:36" x14ac:dyDescent="0.3">
      <c r="A89" s="2"/>
      <c r="B89" s="14"/>
      <c r="C89" s="15" t="s">
        <v>17</v>
      </c>
      <c r="D89" s="18">
        <f t="shared" ref="D89:AE89" si="66">+IFERROR(D91/D87,0)</f>
        <v>74.252812500000005</v>
      </c>
      <c r="E89" s="18">
        <f t="shared" si="66"/>
        <v>68.267435897435888</v>
      </c>
      <c r="F89" s="18">
        <f t="shared" si="66"/>
        <v>63.700975609756092</v>
      </c>
      <c r="G89" s="18">
        <f t="shared" si="66"/>
        <v>68.939183673469387</v>
      </c>
      <c r="H89" s="18">
        <f t="shared" si="66"/>
        <v>79.680689655172415</v>
      </c>
      <c r="I89" s="18">
        <f t="shared" si="66"/>
        <v>74.635402298850565</v>
      </c>
      <c r="J89" s="18">
        <f t="shared" si="66"/>
        <v>63.546521739130434</v>
      </c>
      <c r="K89" s="18">
        <f t="shared" si="66"/>
        <v>71.457647058823525</v>
      </c>
      <c r="L89" s="18">
        <f t="shared" si="66"/>
        <v>70.411249999999995</v>
      </c>
      <c r="M89" s="18">
        <f t="shared" si="66"/>
        <v>72.010714285714286</v>
      </c>
      <c r="N89" s="18">
        <f t="shared" si="66"/>
        <v>66.437735849056594</v>
      </c>
      <c r="O89" s="18">
        <f t="shared" si="66"/>
        <v>68.79245283018868</v>
      </c>
      <c r="P89" s="18">
        <f t="shared" si="66"/>
        <v>70.15625</v>
      </c>
      <c r="Q89" s="18">
        <f t="shared" si="66"/>
        <v>0</v>
      </c>
      <c r="R89" s="18">
        <f t="shared" si="66"/>
        <v>0</v>
      </c>
      <c r="S89" s="18">
        <f t="shared" si="66"/>
        <v>81.286249999999995</v>
      </c>
      <c r="T89" s="18">
        <f t="shared" si="66"/>
        <v>79.60840579710144</v>
      </c>
      <c r="U89" s="18">
        <f t="shared" si="66"/>
        <v>91.631304347826088</v>
      </c>
      <c r="V89" s="18">
        <f t="shared" si="66"/>
        <v>134.86475000000002</v>
      </c>
      <c r="W89" s="18">
        <f t="shared" si="66"/>
        <v>68.094901960784313</v>
      </c>
      <c r="X89" s="18">
        <f t="shared" si="66"/>
        <v>68.098648648648648</v>
      </c>
      <c r="Y89" s="18">
        <f t="shared" si="66"/>
        <v>71.87842105263158</v>
      </c>
      <c r="Z89" s="18">
        <f t="shared" si="66"/>
        <v>72.033684210526317</v>
      </c>
      <c r="AA89" s="18">
        <f t="shared" si="66"/>
        <v>73.862933333333331</v>
      </c>
      <c r="AB89" s="18">
        <f t="shared" si="66"/>
        <v>75.193717948717946</v>
      </c>
      <c r="AC89" s="18">
        <f t="shared" si="66"/>
        <v>73.5455421686747</v>
      </c>
      <c r="AD89" s="18">
        <f t="shared" si="66"/>
        <v>73.824999999999989</v>
      </c>
      <c r="AE89" s="18">
        <f t="shared" si="66"/>
        <v>77.401666666666671</v>
      </c>
      <c r="AF89" s="18"/>
      <c r="AG89" s="18"/>
      <c r="AH89" s="18"/>
      <c r="AI89" s="19">
        <f>+AI91/AI87</f>
        <v>75.22127644055432</v>
      </c>
      <c r="AJ89" s="6"/>
    </row>
    <row r="90" spans="1:36" x14ac:dyDescent="0.3">
      <c r="A90" s="2"/>
      <c r="B90" s="14"/>
      <c r="C90" s="15" t="s">
        <v>18</v>
      </c>
      <c r="D90" s="18">
        <f t="shared" ref="D90:AE90" si="67">+D88*D89</f>
        <v>20.661652173913044</v>
      </c>
      <c r="E90" s="18">
        <f t="shared" si="67"/>
        <v>23.151565217391301</v>
      </c>
      <c r="F90" s="18">
        <f t="shared" si="67"/>
        <v>22.710782608695649</v>
      </c>
      <c r="G90" s="18">
        <f t="shared" si="67"/>
        <v>29.374086956521737</v>
      </c>
      <c r="H90" s="18">
        <f t="shared" si="67"/>
        <v>60.280173913043477</v>
      </c>
      <c r="I90" s="18">
        <f t="shared" si="67"/>
        <v>56.463304347826075</v>
      </c>
      <c r="J90" s="18">
        <f t="shared" si="67"/>
        <v>12.709304347826087</v>
      </c>
      <c r="K90" s="18">
        <f t="shared" si="67"/>
        <v>21.126608695652173</v>
      </c>
      <c r="L90" s="18">
        <f t="shared" si="67"/>
        <v>29.389043478260866</v>
      </c>
      <c r="M90" s="18">
        <f t="shared" si="67"/>
        <v>26.299565217391304</v>
      </c>
      <c r="N90" s="18">
        <f t="shared" si="67"/>
        <v>30.619130434782605</v>
      </c>
      <c r="O90" s="18">
        <f t="shared" si="67"/>
        <v>31.704347826086956</v>
      </c>
      <c r="P90" s="18">
        <f t="shared" si="67"/>
        <v>39.043478260869563</v>
      </c>
      <c r="Q90" s="18">
        <f t="shared" si="67"/>
        <v>0</v>
      </c>
      <c r="R90" s="18">
        <f t="shared" si="67"/>
        <v>0</v>
      </c>
      <c r="S90" s="18">
        <f t="shared" si="67"/>
        <v>45.2375652173913</v>
      </c>
      <c r="T90" s="18">
        <f t="shared" si="67"/>
        <v>47.765043478260864</v>
      </c>
      <c r="U90" s="18">
        <f t="shared" si="67"/>
        <v>36.652521739130435</v>
      </c>
      <c r="V90" s="18">
        <f t="shared" si="67"/>
        <v>46.90947826086957</v>
      </c>
      <c r="W90" s="18">
        <f t="shared" si="67"/>
        <v>30.198608695652172</v>
      </c>
      <c r="X90" s="18">
        <f t="shared" si="67"/>
        <v>21.909999999999997</v>
      </c>
      <c r="Y90" s="18">
        <f t="shared" si="67"/>
        <v>23.751130434782606</v>
      </c>
      <c r="Z90" s="18">
        <f t="shared" si="67"/>
        <v>23.802434782608696</v>
      </c>
      <c r="AA90" s="18">
        <f t="shared" si="67"/>
        <v>48.171478260869563</v>
      </c>
      <c r="AB90" s="18">
        <f t="shared" si="67"/>
        <v>51.000956521739127</v>
      </c>
      <c r="AC90" s="18">
        <f t="shared" si="67"/>
        <v>53.080695652173915</v>
      </c>
      <c r="AD90" s="18">
        <f t="shared" si="67"/>
        <v>52.640434782608686</v>
      </c>
      <c r="AE90" s="18">
        <f t="shared" si="67"/>
        <v>12.115043478260871</v>
      </c>
      <c r="AF90" s="18"/>
      <c r="AG90" s="18"/>
      <c r="AH90" s="18"/>
      <c r="AI90" s="19">
        <f>+AI89*AI88</f>
        <v>32.027444099378869</v>
      </c>
      <c r="AJ90" s="6"/>
    </row>
    <row r="91" spans="1:36" x14ac:dyDescent="0.3">
      <c r="A91" s="2"/>
      <c r="B91" s="14"/>
      <c r="C91" s="15" t="s">
        <v>19</v>
      </c>
      <c r="D91" s="21">
        <v>2376.09</v>
      </c>
      <c r="E91" s="21">
        <v>2662.43</v>
      </c>
      <c r="F91" s="21">
        <v>2611.7399999999998</v>
      </c>
      <c r="G91" s="21">
        <v>3378.02</v>
      </c>
      <c r="H91" s="21">
        <v>6932.22</v>
      </c>
      <c r="I91" s="21">
        <v>6493.28</v>
      </c>
      <c r="J91" s="21">
        <v>1461.57</v>
      </c>
      <c r="K91" s="21">
        <v>2429.56</v>
      </c>
      <c r="L91" s="21">
        <v>3379.74</v>
      </c>
      <c r="M91" s="21">
        <v>3024.45</v>
      </c>
      <c r="N91" s="21">
        <v>3521.2</v>
      </c>
      <c r="O91" s="21">
        <v>3646</v>
      </c>
      <c r="P91" s="21">
        <v>4490</v>
      </c>
      <c r="Q91" s="21"/>
      <c r="R91" s="21"/>
      <c r="S91" s="21">
        <v>5202.32</v>
      </c>
      <c r="T91" s="21">
        <v>5492.98</v>
      </c>
      <c r="U91" s="21">
        <v>4215.04</v>
      </c>
      <c r="V91" s="21">
        <v>5394.59</v>
      </c>
      <c r="W91" s="21">
        <v>3472.84</v>
      </c>
      <c r="X91" s="21">
        <v>2519.65</v>
      </c>
      <c r="Y91" s="21">
        <v>2731.38</v>
      </c>
      <c r="Z91" s="21">
        <v>2737.28</v>
      </c>
      <c r="AA91" s="21">
        <v>5539.72</v>
      </c>
      <c r="AB91" s="21">
        <v>5865.11</v>
      </c>
      <c r="AC91" s="21">
        <v>6104.28</v>
      </c>
      <c r="AD91" s="21">
        <v>6053.65</v>
      </c>
      <c r="AE91" s="21">
        <v>1393.23</v>
      </c>
      <c r="AF91" s="21"/>
      <c r="AG91" s="21"/>
      <c r="AH91" s="21"/>
      <c r="AI91" s="22">
        <f>SUM(D91:AH91)</f>
        <v>103128.36999999998</v>
      </c>
      <c r="AJ91" s="6"/>
    </row>
    <row r="92" spans="1:36" ht="15" thickBot="1" x14ac:dyDescent="0.35">
      <c r="A92" s="23"/>
      <c r="B92" s="24"/>
      <c r="C92" s="77" t="s">
        <v>79</v>
      </c>
      <c r="D92" s="25">
        <f>852.94/D91</f>
        <v>0.35896788421314008</v>
      </c>
      <c r="E92" s="26">
        <f>872.35/E91</f>
        <v>0.32765180680806633</v>
      </c>
      <c r="F92" s="72">
        <f>558.44/F91</f>
        <v>0.2138191397306011</v>
      </c>
      <c r="G92" s="26">
        <f>971.48/G91</f>
        <v>0.2875885873973511</v>
      </c>
      <c r="H92" s="26">
        <f>840.9/H91</f>
        <v>0.12130313232990297</v>
      </c>
      <c r="I92" s="26">
        <f>422.6/I91</f>
        <v>6.5082670083532523E-2</v>
      </c>
      <c r="J92" s="26">
        <f>702.95/J91</f>
        <v>0.48095541096218453</v>
      </c>
      <c r="K92" s="26">
        <f>875.65/K91</f>
        <v>0.36041505457778361</v>
      </c>
      <c r="L92" s="26">
        <f>886.39/L91</f>
        <v>0.26226573641759426</v>
      </c>
      <c r="M92" s="26">
        <f>938.16/M91</f>
        <v>0.31019193572385062</v>
      </c>
      <c r="N92" s="78">
        <f>1089.88/N91</f>
        <v>0.30951948199477458</v>
      </c>
      <c r="O92" s="78">
        <f>698.75/O91</f>
        <v>0.1916483817882611</v>
      </c>
      <c r="P92" s="26">
        <f>697.8/P91</f>
        <v>0.15541202672605789</v>
      </c>
      <c r="Q92" s="97">
        <f>IFERROR(504.12/Q91,0)</f>
        <v>0</v>
      </c>
      <c r="R92" s="97">
        <f>IFERROR(504.12/R91,0)</f>
        <v>0</v>
      </c>
      <c r="S92" s="26">
        <f>136.8/S91</f>
        <v>2.629596026388227E-2</v>
      </c>
      <c r="T92" s="26">
        <f>305.72/T91</f>
        <v>5.5656492468568984E-2</v>
      </c>
      <c r="U92" s="26">
        <f>1236.51/U91</f>
        <v>0.29335664667476463</v>
      </c>
      <c r="V92" s="26">
        <f>636.53/V91</f>
        <v>0.11799413857216211</v>
      </c>
      <c r="W92" s="26">
        <f>456.98/W91</f>
        <v>0.13158682807154951</v>
      </c>
      <c r="X92" s="26">
        <f>837.73/X91</f>
        <v>0.33247871728216222</v>
      </c>
      <c r="Y92" s="26">
        <f>398.33/Y91</f>
        <v>0.14583470626569719</v>
      </c>
      <c r="Z92" s="26">
        <f>858.04/Z91</f>
        <v>0.31346446107084402</v>
      </c>
      <c r="AA92" s="26">
        <f>827.21/AA91</f>
        <v>0.14932343150917374</v>
      </c>
      <c r="AB92" s="26">
        <f>951.21/AB91</f>
        <v>0.16218110146271769</v>
      </c>
      <c r="AC92" s="26"/>
      <c r="AD92" s="26"/>
      <c r="AE92" s="26"/>
      <c r="AF92" s="97">
        <f>IFERROR(504.12/AF91,0)</f>
        <v>0</v>
      </c>
      <c r="AG92" s="97">
        <f>IFERROR(504.12/AG91,0)</f>
        <v>0</v>
      </c>
      <c r="AH92" s="97">
        <f>IFERROR(504.12/AH91,0)</f>
        <v>0</v>
      </c>
      <c r="AI92" s="79">
        <f>AVERAGE(D92:AG92)</f>
        <v>0.19159236045906014</v>
      </c>
      <c r="AJ92" s="6"/>
    </row>
    <row r="93" spans="1:36" ht="15" thickTop="1" x14ac:dyDescent="0.3">
      <c r="A93" s="2">
        <v>100</v>
      </c>
      <c r="B93" s="28" t="s">
        <v>42</v>
      </c>
      <c r="C93" s="29" t="s">
        <v>15</v>
      </c>
      <c r="D93" s="30">
        <v>59</v>
      </c>
      <c r="E93" s="31">
        <v>58</v>
      </c>
      <c r="F93" s="31">
        <v>42</v>
      </c>
      <c r="G93" s="31">
        <v>57</v>
      </c>
      <c r="H93" s="31">
        <v>48</v>
      </c>
      <c r="I93" s="31">
        <v>45</v>
      </c>
      <c r="J93" s="31">
        <v>39</v>
      </c>
      <c r="K93" s="31">
        <v>51</v>
      </c>
      <c r="L93" s="31">
        <v>57</v>
      </c>
      <c r="M93" s="31">
        <v>58</v>
      </c>
      <c r="N93" s="31">
        <v>56</v>
      </c>
      <c r="O93" s="31">
        <v>42</v>
      </c>
      <c r="P93" s="31">
        <v>51</v>
      </c>
      <c r="Q93" s="31">
        <v>82</v>
      </c>
      <c r="R93" s="31">
        <v>49</v>
      </c>
      <c r="S93" s="31">
        <v>40</v>
      </c>
      <c r="T93" s="31">
        <v>40</v>
      </c>
      <c r="U93" s="31">
        <v>34</v>
      </c>
      <c r="V93" s="31">
        <v>78</v>
      </c>
      <c r="W93" s="31">
        <v>86</v>
      </c>
      <c r="X93" s="31">
        <v>76</v>
      </c>
      <c r="Y93" s="31">
        <v>76</v>
      </c>
      <c r="Z93" s="31">
        <v>68</v>
      </c>
      <c r="AA93" s="31">
        <v>85</v>
      </c>
      <c r="AB93" s="31">
        <v>86</v>
      </c>
      <c r="AC93" s="31">
        <v>82</v>
      </c>
      <c r="AD93" s="31">
        <v>81</v>
      </c>
      <c r="AE93" s="31">
        <v>88</v>
      </c>
      <c r="AF93" s="31"/>
      <c r="AG93" s="31"/>
      <c r="AH93" s="31"/>
      <c r="AI93" s="32">
        <f>SUM(D93:AH93)</f>
        <v>1714</v>
      </c>
      <c r="AJ93" s="6"/>
    </row>
    <row r="94" spans="1:36" x14ac:dyDescent="0.3">
      <c r="A94" s="2"/>
      <c r="B94" s="33"/>
      <c r="C94" s="34" t="s">
        <v>16</v>
      </c>
      <c r="D94" s="35">
        <f t="shared" ref="D94:AE94" si="68">+D93/$A93</f>
        <v>0.59</v>
      </c>
      <c r="E94" s="35">
        <f t="shared" si="68"/>
        <v>0.57999999999999996</v>
      </c>
      <c r="F94" s="35">
        <f t="shared" si="68"/>
        <v>0.42</v>
      </c>
      <c r="G94" s="35">
        <f t="shared" si="68"/>
        <v>0.56999999999999995</v>
      </c>
      <c r="H94" s="35">
        <f t="shared" si="68"/>
        <v>0.48</v>
      </c>
      <c r="I94" s="35">
        <f t="shared" si="68"/>
        <v>0.45</v>
      </c>
      <c r="J94" s="35">
        <f t="shared" si="68"/>
        <v>0.39</v>
      </c>
      <c r="K94" s="35">
        <f t="shared" si="68"/>
        <v>0.51</v>
      </c>
      <c r="L94" s="35">
        <f t="shared" si="68"/>
        <v>0.56999999999999995</v>
      </c>
      <c r="M94" s="35">
        <f t="shared" si="68"/>
        <v>0.57999999999999996</v>
      </c>
      <c r="N94" s="35">
        <f t="shared" si="68"/>
        <v>0.56000000000000005</v>
      </c>
      <c r="O94" s="35">
        <f t="shared" si="68"/>
        <v>0.42</v>
      </c>
      <c r="P94" s="35">
        <f t="shared" si="68"/>
        <v>0.51</v>
      </c>
      <c r="Q94" s="35">
        <f t="shared" si="68"/>
        <v>0.82</v>
      </c>
      <c r="R94" s="35">
        <f t="shared" si="68"/>
        <v>0.49</v>
      </c>
      <c r="S94" s="35">
        <f t="shared" si="68"/>
        <v>0.4</v>
      </c>
      <c r="T94" s="35">
        <f t="shared" si="68"/>
        <v>0.4</v>
      </c>
      <c r="U94" s="35">
        <f t="shared" si="68"/>
        <v>0.34</v>
      </c>
      <c r="V94" s="35">
        <f t="shared" si="68"/>
        <v>0.78</v>
      </c>
      <c r="W94" s="35">
        <f t="shared" si="68"/>
        <v>0.86</v>
      </c>
      <c r="X94" s="35">
        <f t="shared" si="68"/>
        <v>0.76</v>
      </c>
      <c r="Y94" s="35">
        <f t="shared" si="68"/>
        <v>0.76</v>
      </c>
      <c r="Z94" s="35">
        <f t="shared" si="68"/>
        <v>0.68</v>
      </c>
      <c r="AA94" s="35">
        <f t="shared" si="68"/>
        <v>0.85</v>
      </c>
      <c r="AB94" s="35">
        <f t="shared" si="68"/>
        <v>0.86</v>
      </c>
      <c r="AC94" s="35">
        <f t="shared" si="68"/>
        <v>0.82</v>
      </c>
      <c r="AD94" s="35">
        <f t="shared" si="68"/>
        <v>0.81</v>
      </c>
      <c r="AE94" s="35">
        <f t="shared" si="68"/>
        <v>0.88</v>
      </c>
      <c r="AF94" s="35"/>
      <c r="AG94" s="35"/>
      <c r="AH94" s="35"/>
      <c r="AI94" s="36">
        <f>+AI93/(A93*A$1)</f>
        <v>0.6121428571428571</v>
      </c>
      <c r="AJ94" s="6"/>
    </row>
    <row r="95" spans="1:36" x14ac:dyDescent="0.3">
      <c r="A95" s="2"/>
      <c r="B95" s="33"/>
      <c r="C95" s="34" t="s">
        <v>17</v>
      </c>
      <c r="D95" s="37">
        <f t="shared" ref="D95:AE95" si="69">+IFERROR(D97/D93,0)</f>
        <v>76.238983050847466</v>
      </c>
      <c r="E95" s="37">
        <f t="shared" si="69"/>
        <v>76.653103448275857</v>
      </c>
      <c r="F95" s="37">
        <f t="shared" si="69"/>
        <v>103.53904761904762</v>
      </c>
      <c r="G95" s="37">
        <f t="shared" si="69"/>
        <v>78.360350877192985</v>
      </c>
      <c r="H95" s="37">
        <f t="shared" si="69"/>
        <v>75.149999999999991</v>
      </c>
      <c r="I95" s="37">
        <f t="shared" si="69"/>
        <v>72.300888888888892</v>
      </c>
      <c r="J95" s="37">
        <f t="shared" si="69"/>
        <v>72.757948717948722</v>
      </c>
      <c r="K95" s="37">
        <f t="shared" si="69"/>
        <v>78.396470588235289</v>
      </c>
      <c r="L95" s="37">
        <f t="shared" si="69"/>
        <v>75.233859649122806</v>
      </c>
      <c r="M95" s="37">
        <f t="shared" si="69"/>
        <v>76.866379310344826</v>
      </c>
      <c r="N95" s="37">
        <f t="shared" si="69"/>
        <v>74.974642857142854</v>
      </c>
      <c r="O95" s="37">
        <f t="shared" si="69"/>
        <v>72.476190476190482</v>
      </c>
      <c r="P95" s="37">
        <f t="shared" si="69"/>
        <v>75.372549019607845</v>
      </c>
      <c r="Q95" s="37">
        <f t="shared" si="69"/>
        <v>77.060975609756099</v>
      </c>
      <c r="R95" s="37">
        <f t="shared" si="69"/>
        <v>76.326530612244895</v>
      </c>
      <c r="S95" s="37">
        <f t="shared" si="69"/>
        <v>76.723249999999993</v>
      </c>
      <c r="T95" s="37">
        <f t="shared" si="69"/>
        <v>77.710250000000002</v>
      </c>
      <c r="U95" s="37">
        <f t="shared" si="69"/>
        <v>32.805</v>
      </c>
      <c r="V95" s="37">
        <f t="shared" si="69"/>
        <v>70.709743589743582</v>
      </c>
      <c r="W95" s="37">
        <f t="shared" si="69"/>
        <v>71.084069767441861</v>
      </c>
      <c r="X95" s="37">
        <f t="shared" si="69"/>
        <v>73.066842105263163</v>
      </c>
      <c r="Y95" s="37">
        <f t="shared" si="69"/>
        <v>80.217763157894737</v>
      </c>
      <c r="Z95" s="37">
        <f t="shared" si="69"/>
        <v>76.397794117647067</v>
      </c>
      <c r="AA95" s="37">
        <f t="shared" si="69"/>
        <v>85.154705882352943</v>
      </c>
      <c r="AB95" s="37">
        <f t="shared" si="69"/>
        <v>75.847209302325581</v>
      </c>
      <c r="AC95" s="37">
        <f t="shared" si="69"/>
        <v>80.699999999999989</v>
      </c>
      <c r="AD95" s="37">
        <f t="shared" si="69"/>
        <v>75.11012345679012</v>
      </c>
      <c r="AE95" s="37">
        <f t="shared" si="69"/>
        <v>69.366818181818175</v>
      </c>
      <c r="AF95" s="37"/>
      <c r="AG95" s="37"/>
      <c r="AH95" s="37"/>
      <c r="AI95" s="38">
        <f>+AI97/AI93</f>
        <v>75.659527421236874</v>
      </c>
      <c r="AJ95" s="6"/>
    </row>
    <row r="96" spans="1:36" x14ac:dyDescent="0.3">
      <c r="A96" s="2"/>
      <c r="B96" s="33"/>
      <c r="C96" s="34" t="s">
        <v>18</v>
      </c>
      <c r="D96" s="37">
        <f t="shared" ref="D96:AE96" si="70">+D94*D95</f>
        <v>44.981000000000002</v>
      </c>
      <c r="E96" s="37">
        <f t="shared" si="70"/>
        <v>44.458799999999997</v>
      </c>
      <c r="F96" s="37">
        <f t="shared" si="70"/>
        <v>43.486399999999996</v>
      </c>
      <c r="G96" s="37">
        <f t="shared" si="70"/>
        <v>44.665399999999998</v>
      </c>
      <c r="H96" s="37">
        <f t="shared" si="70"/>
        <v>36.071999999999996</v>
      </c>
      <c r="I96" s="37">
        <f t="shared" si="70"/>
        <v>32.535400000000003</v>
      </c>
      <c r="J96" s="37">
        <f t="shared" si="70"/>
        <v>28.375600000000002</v>
      </c>
      <c r="K96" s="37">
        <f t="shared" si="70"/>
        <v>39.982199999999999</v>
      </c>
      <c r="L96" s="37">
        <f t="shared" si="70"/>
        <v>42.883299999999998</v>
      </c>
      <c r="M96" s="37">
        <f t="shared" si="70"/>
        <v>44.582499999999996</v>
      </c>
      <c r="N96" s="37">
        <f t="shared" si="70"/>
        <v>41.985800000000005</v>
      </c>
      <c r="O96" s="37">
        <f t="shared" si="70"/>
        <v>30.44</v>
      </c>
      <c r="P96" s="37">
        <f t="shared" si="70"/>
        <v>38.440000000000005</v>
      </c>
      <c r="Q96" s="37">
        <f t="shared" si="70"/>
        <v>63.19</v>
      </c>
      <c r="R96" s="37">
        <f t="shared" si="70"/>
        <v>37.4</v>
      </c>
      <c r="S96" s="37">
        <f t="shared" si="70"/>
        <v>30.689299999999999</v>
      </c>
      <c r="T96" s="37">
        <f t="shared" si="70"/>
        <v>31.084100000000003</v>
      </c>
      <c r="U96" s="37">
        <f t="shared" si="70"/>
        <v>11.153700000000001</v>
      </c>
      <c r="V96" s="37">
        <f t="shared" si="70"/>
        <v>55.153599999999997</v>
      </c>
      <c r="W96" s="37">
        <f t="shared" si="70"/>
        <v>61.132300000000001</v>
      </c>
      <c r="X96" s="37">
        <f t="shared" si="70"/>
        <v>55.530800000000006</v>
      </c>
      <c r="Y96" s="37">
        <f t="shared" si="70"/>
        <v>60.965499999999999</v>
      </c>
      <c r="Z96" s="37">
        <f t="shared" si="70"/>
        <v>51.950500000000012</v>
      </c>
      <c r="AA96" s="37">
        <f t="shared" si="70"/>
        <v>72.381500000000003</v>
      </c>
      <c r="AB96" s="37">
        <f t="shared" si="70"/>
        <v>65.2286</v>
      </c>
      <c r="AC96" s="37">
        <f t="shared" si="70"/>
        <v>66.173999999999992</v>
      </c>
      <c r="AD96" s="37">
        <f t="shared" si="70"/>
        <v>60.839199999999998</v>
      </c>
      <c r="AE96" s="37">
        <f t="shared" si="70"/>
        <v>61.042799999999993</v>
      </c>
      <c r="AF96" s="37"/>
      <c r="AG96" s="37"/>
      <c r="AH96" s="37"/>
      <c r="AI96" s="38">
        <f>+AI95*AI94</f>
        <v>46.314439285714286</v>
      </c>
      <c r="AJ96" s="6"/>
    </row>
    <row r="97" spans="1:36" x14ac:dyDescent="0.3">
      <c r="A97" s="2"/>
      <c r="B97" s="14"/>
      <c r="C97" s="15" t="s">
        <v>19</v>
      </c>
      <c r="D97" s="21">
        <v>4498.1000000000004</v>
      </c>
      <c r="E97" s="21">
        <v>4445.88</v>
      </c>
      <c r="F97" s="21">
        <v>4348.6400000000003</v>
      </c>
      <c r="G97" s="21">
        <v>4466.54</v>
      </c>
      <c r="H97" s="21">
        <v>3607.2</v>
      </c>
      <c r="I97" s="21">
        <v>3253.54</v>
      </c>
      <c r="J97" s="21">
        <v>2837.56</v>
      </c>
      <c r="K97" s="21">
        <v>3998.22</v>
      </c>
      <c r="L97" s="21">
        <v>4288.33</v>
      </c>
      <c r="M97" s="21">
        <v>4458.25</v>
      </c>
      <c r="N97" s="21">
        <v>4198.58</v>
      </c>
      <c r="O97" s="21">
        <v>3044</v>
      </c>
      <c r="P97" s="21">
        <v>3844</v>
      </c>
      <c r="Q97" s="21">
        <v>6319</v>
      </c>
      <c r="R97" s="21">
        <v>3740</v>
      </c>
      <c r="S97" s="21">
        <v>3068.93</v>
      </c>
      <c r="T97" s="21">
        <v>3108.41</v>
      </c>
      <c r="U97" s="21">
        <v>1115.3699999999999</v>
      </c>
      <c r="V97" s="21">
        <v>5515.36</v>
      </c>
      <c r="W97" s="21">
        <v>6113.23</v>
      </c>
      <c r="X97" s="21">
        <v>5553.08</v>
      </c>
      <c r="Y97" s="21">
        <v>6096.55</v>
      </c>
      <c r="Z97" s="21">
        <v>5195.05</v>
      </c>
      <c r="AA97" s="21">
        <v>7238.15</v>
      </c>
      <c r="AB97" s="21">
        <v>6522.86</v>
      </c>
      <c r="AC97" s="21">
        <v>6617.4</v>
      </c>
      <c r="AD97" s="21">
        <v>6083.92</v>
      </c>
      <c r="AE97" s="21">
        <v>6104.28</v>
      </c>
      <c r="AF97" s="21"/>
      <c r="AG97" s="21"/>
      <c r="AH97" s="21"/>
      <c r="AI97" s="22">
        <f>SUM(D97:AH97)</f>
        <v>129680.43</v>
      </c>
      <c r="AJ97" s="6"/>
    </row>
    <row r="98" spans="1:36" ht="15" thickBot="1" x14ac:dyDescent="0.35">
      <c r="A98" s="23"/>
      <c r="B98" s="48"/>
      <c r="C98" s="41" t="s">
        <v>20</v>
      </c>
      <c r="D98" s="49">
        <f>810.99/D97</f>
        <v>0.18029612503056844</v>
      </c>
      <c r="E98" s="50">
        <f>812.85/E97</f>
        <v>0.18283219520095009</v>
      </c>
      <c r="F98" s="73">
        <f>1111.9/F97</f>
        <v>0.25568913499392915</v>
      </c>
      <c r="G98" s="50">
        <f>1016.67/G97</f>
        <v>0.22761914143833928</v>
      </c>
      <c r="H98" s="50">
        <f>1063.1/H97</f>
        <v>0.29471612330893765</v>
      </c>
      <c r="I98" s="50">
        <f>465.11/I97</f>
        <v>0.14295505818277937</v>
      </c>
      <c r="J98" s="50">
        <f>708.68/J97</f>
        <v>0.24974978502657211</v>
      </c>
      <c r="K98" s="50">
        <f>1030.85/K97</f>
        <v>0.25782723311873784</v>
      </c>
      <c r="L98" s="50">
        <f>419.47/L97</f>
        <v>9.7816632581914184E-2</v>
      </c>
      <c r="M98" s="50">
        <f>515.1/M97</f>
        <v>0.11553860819828408</v>
      </c>
      <c r="N98" s="50">
        <f>745.83/N97</f>
        <v>0.17763863020354503</v>
      </c>
      <c r="O98" s="50">
        <f>522.41/O97</f>
        <v>0.17161957950065701</v>
      </c>
      <c r="P98" s="50"/>
      <c r="Q98" s="50"/>
      <c r="R98" s="50"/>
      <c r="S98" s="50"/>
      <c r="T98" s="50">
        <f>174.24/T97</f>
        <v>5.6054381500509912E-2</v>
      </c>
      <c r="U98" s="50">
        <f>1197.19/U97</f>
        <v>1.0733568232963053</v>
      </c>
      <c r="V98" s="50">
        <f>215.76/V97</f>
        <v>3.91198398653941E-2</v>
      </c>
      <c r="W98" s="50">
        <f>250.47/W97</f>
        <v>4.0971793961620949E-2</v>
      </c>
      <c r="X98" s="50">
        <f>240.67/X97</f>
        <v>4.3339912264905238E-2</v>
      </c>
      <c r="Y98" s="50">
        <f>313.05/Y97</f>
        <v>5.1348713616717653E-2</v>
      </c>
      <c r="Z98" s="50">
        <f>356.11/Z97</f>
        <v>6.8547944678107042E-2</v>
      </c>
      <c r="AA98" s="50">
        <f>627.28/AA97</f>
        <v>8.666302853629726E-2</v>
      </c>
      <c r="AB98" s="50">
        <f>490.6/AB97</f>
        <v>7.5212406827679892E-2</v>
      </c>
      <c r="AC98" s="50"/>
      <c r="AD98" s="50"/>
      <c r="AE98" s="50"/>
      <c r="AF98" s="50"/>
      <c r="AG98" s="50"/>
      <c r="AH98" s="50"/>
      <c r="AI98" s="51">
        <f>AVERAGE(D98:AG98)</f>
        <v>0.18518633768251197</v>
      </c>
      <c r="AJ98" s="6"/>
    </row>
    <row r="99" spans="1:36" ht="15" thickTop="1" x14ac:dyDescent="0.3">
      <c r="A99" s="2">
        <v>107</v>
      </c>
      <c r="B99" s="45" t="s">
        <v>43</v>
      </c>
      <c r="C99" s="46" t="s">
        <v>15</v>
      </c>
      <c r="D99" s="11">
        <v>52</v>
      </c>
      <c r="E99" s="12">
        <v>56</v>
      </c>
      <c r="F99" s="12">
        <v>58</v>
      </c>
      <c r="G99" s="12">
        <v>52</v>
      </c>
      <c r="H99" s="12">
        <v>69</v>
      </c>
      <c r="I99" s="12">
        <v>58</v>
      </c>
      <c r="J99" s="12">
        <v>43</v>
      </c>
      <c r="K99" s="12">
        <v>48</v>
      </c>
      <c r="L99" s="12">
        <v>53</v>
      </c>
      <c r="M99" s="12">
        <v>59</v>
      </c>
      <c r="N99" s="12">
        <v>63</v>
      </c>
      <c r="O99" s="12">
        <v>54</v>
      </c>
      <c r="P99" s="12">
        <v>59</v>
      </c>
      <c r="Q99" s="12">
        <v>55</v>
      </c>
      <c r="R99" s="12">
        <v>76</v>
      </c>
      <c r="S99" s="12">
        <v>99</v>
      </c>
      <c r="T99" s="12">
        <v>86</v>
      </c>
      <c r="U99" s="12">
        <v>81</v>
      </c>
      <c r="V99" s="12">
        <v>93</v>
      </c>
      <c r="W99" s="12">
        <v>88</v>
      </c>
      <c r="X99" s="12">
        <v>91</v>
      </c>
      <c r="Y99" s="12">
        <v>101</v>
      </c>
      <c r="Z99" s="12">
        <v>95</v>
      </c>
      <c r="AA99" s="12">
        <v>89</v>
      </c>
      <c r="AB99" s="12">
        <v>96</v>
      </c>
      <c r="AC99" s="12">
        <v>103</v>
      </c>
      <c r="AD99" s="12">
        <v>103</v>
      </c>
      <c r="AE99" s="12">
        <v>80</v>
      </c>
      <c r="AF99" s="12"/>
      <c r="AG99" s="12"/>
      <c r="AH99" s="12"/>
      <c r="AI99" s="13">
        <f>SUM(D99:AH99)</f>
        <v>2060</v>
      </c>
      <c r="AJ99" s="6"/>
    </row>
    <row r="100" spans="1:36" x14ac:dyDescent="0.3">
      <c r="A100" s="2"/>
      <c r="B100" s="14"/>
      <c r="C100" s="15" t="s">
        <v>16</v>
      </c>
      <c r="D100" s="16">
        <f t="shared" ref="D100:AE100" si="71">+D99/$A99</f>
        <v>0.48598130841121495</v>
      </c>
      <c r="E100" s="16">
        <f t="shared" si="71"/>
        <v>0.52336448598130836</v>
      </c>
      <c r="F100" s="16">
        <f t="shared" si="71"/>
        <v>0.54205607476635509</v>
      </c>
      <c r="G100" s="16">
        <f t="shared" si="71"/>
        <v>0.48598130841121495</v>
      </c>
      <c r="H100" s="16">
        <f t="shared" si="71"/>
        <v>0.64485981308411211</v>
      </c>
      <c r="I100" s="16">
        <f t="shared" si="71"/>
        <v>0.54205607476635509</v>
      </c>
      <c r="J100" s="16">
        <f t="shared" si="71"/>
        <v>0.40186915887850466</v>
      </c>
      <c r="K100" s="16">
        <f t="shared" si="71"/>
        <v>0.44859813084112149</v>
      </c>
      <c r="L100" s="16">
        <f t="shared" si="71"/>
        <v>0.49532710280373832</v>
      </c>
      <c r="M100" s="16">
        <f t="shared" si="71"/>
        <v>0.55140186915887845</v>
      </c>
      <c r="N100" s="16">
        <f t="shared" si="71"/>
        <v>0.58878504672897192</v>
      </c>
      <c r="O100" s="16">
        <f t="shared" si="71"/>
        <v>0.50467289719626163</v>
      </c>
      <c r="P100" s="16">
        <f t="shared" si="71"/>
        <v>0.55140186915887845</v>
      </c>
      <c r="Q100" s="16">
        <f t="shared" si="71"/>
        <v>0.51401869158878499</v>
      </c>
      <c r="R100" s="16">
        <f t="shared" si="71"/>
        <v>0.71028037383177567</v>
      </c>
      <c r="S100" s="16">
        <f t="shared" si="71"/>
        <v>0.92523364485981308</v>
      </c>
      <c r="T100" s="16">
        <f t="shared" si="71"/>
        <v>0.80373831775700932</v>
      </c>
      <c r="U100" s="16">
        <f t="shared" si="71"/>
        <v>0.7570093457943925</v>
      </c>
      <c r="V100" s="16">
        <f t="shared" si="71"/>
        <v>0.86915887850467288</v>
      </c>
      <c r="W100" s="16">
        <f t="shared" si="71"/>
        <v>0.82242990654205606</v>
      </c>
      <c r="X100" s="16">
        <f t="shared" si="71"/>
        <v>0.85046728971962615</v>
      </c>
      <c r="Y100" s="16">
        <f t="shared" si="71"/>
        <v>0.94392523364485981</v>
      </c>
      <c r="Z100" s="16">
        <f t="shared" si="71"/>
        <v>0.88785046728971961</v>
      </c>
      <c r="AA100" s="16">
        <f t="shared" si="71"/>
        <v>0.83177570093457942</v>
      </c>
      <c r="AB100" s="16">
        <f t="shared" si="71"/>
        <v>0.89719626168224298</v>
      </c>
      <c r="AC100" s="16">
        <f t="shared" si="71"/>
        <v>0.96261682242990654</v>
      </c>
      <c r="AD100" s="16">
        <f t="shared" si="71"/>
        <v>0.96261682242990654</v>
      </c>
      <c r="AE100" s="16">
        <f t="shared" si="71"/>
        <v>0.74766355140186913</v>
      </c>
      <c r="AF100" s="16"/>
      <c r="AG100" s="16"/>
      <c r="AH100" s="16"/>
      <c r="AI100" s="17">
        <f>+AI99/(A99*A$1)</f>
        <v>0.68758344459279042</v>
      </c>
      <c r="AJ100" s="6"/>
    </row>
    <row r="101" spans="1:36" x14ac:dyDescent="0.3">
      <c r="A101" s="2"/>
      <c r="B101" s="14"/>
      <c r="C101" s="15" t="s">
        <v>17</v>
      </c>
      <c r="D101" s="18">
        <f>+IFERROR(D103/D99,0)</f>
        <v>77.993461538461531</v>
      </c>
      <c r="E101" s="18">
        <f t="shared" ref="E101:AE101" si="72">+IFERROR(E103/E99,0)</f>
        <v>78.841964285714283</v>
      </c>
      <c r="F101" s="18">
        <f t="shared" si="72"/>
        <v>80.131896551724125</v>
      </c>
      <c r="G101" s="18">
        <f t="shared" si="72"/>
        <v>77.616538461538454</v>
      </c>
      <c r="H101" s="18">
        <f t="shared" si="72"/>
        <v>79.095333333333343</v>
      </c>
      <c r="I101" s="18">
        <f t="shared" si="72"/>
        <v>90.778103448275857</v>
      </c>
      <c r="J101" s="18">
        <f t="shared" si="72"/>
        <v>82.111395348837206</v>
      </c>
      <c r="K101" s="18">
        <f t="shared" si="72"/>
        <v>129.30916666666667</v>
      </c>
      <c r="L101" s="18">
        <f t="shared" si="72"/>
        <v>78.261698113207544</v>
      </c>
      <c r="M101" s="18">
        <f t="shared" si="72"/>
        <v>79.572372881355946</v>
      </c>
      <c r="N101" s="18">
        <f t="shared" si="72"/>
        <v>80.003650793650792</v>
      </c>
      <c r="O101" s="18">
        <f t="shared" si="72"/>
        <v>89.984814814814825</v>
      </c>
      <c r="P101" s="18">
        <f t="shared" si="72"/>
        <v>79.239152542372878</v>
      </c>
      <c r="Q101" s="18">
        <f t="shared" si="72"/>
        <v>86.022363636363622</v>
      </c>
      <c r="R101" s="18">
        <f t="shared" si="72"/>
        <v>84.688947368421054</v>
      </c>
      <c r="S101" s="18">
        <f t="shared" si="72"/>
        <v>89.909191919191926</v>
      </c>
      <c r="T101" s="18">
        <f t="shared" si="72"/>
        <v>76.94406976744186</v>
      </c>
      <c r="U101" s="18">
        <f t="shared" si="72"/>
        <v>86.521604938271608</v>
      </c>
      <c r="V101" s="18">
        <f t="shared" si="72"/>
        <v>93.759784946236564</v>
      </c>
      <c r="W101" s="18">
        <f t="shared" si="72"/>
        <v>88.445681818181825</v>
      </c>
      <c r="X101" s="18">
        <f t="shared" si="72"/>
        <v>88.08461538461539</v>
      </c>
      <c r="Y101" s="18">
        <f t="shared" si="72"/>
        <v>88.533069306930699</v>
      </c>
      <c r="Z101" s="18">
        <f t="shared" si="72"/>
        <v>88.419157894736841</v>
      </c>
      <c r="AA101" s="18">
        <f t="shared" si="72"/>
        <v>89.962921348314609</v>
      </c>
      <c r="AB101" s="18">
        <f t="shared" si="72"/>
        <v>84.663958333333326</v>
      </c>
      <c r="AC101" s="18">
        <f t="shared" si="72"/>
        <v>93.075242718446603</v>
      </c>
      <c r="AD101" s="18">
        <f t="shared" si="72"/>
        <v>93.214660194174769</v>
      </c>
      <c r="AE101" s="18">
        <f t="shared" si="72"/>
        <v>85.538125000000008</v>
      </c>
      <c r="AF101" s="18"/>
      <c r="AG101" s="18"/>
      <c r="AH101" s="18"/>
      <c r="AI101" s="19">
        <f>+AI103/AI99</f>
        <v>86.772644660194175</v>
      </c>
      <c r="AJ101" s="6"/>
    </row>
    <row r="102" spans="1:36" x14ac:dyDescent="0.3">
      <c r="A102" s="2"/>
      <c r="B102" s="14"/>
      <c r="C102" s="15" t="s">
        <v>18</v>
      </c>
      <c r="D102" s="18">
        <f>+D100*D101</f>
        <v>37.903364485981307</v>
      </c>
      <c r="E102" s="18">
        <f t="shared" ref="E102:U102" si="73">+E100*E101</f>
        <v>41.263084112149528</v>
      </c>
      <c r="F102" s="18">
        <f t="shared" si="73"/>
        <v>43.435981308411201</v>
      </c>
      <c r="G102" s="18">
        <f t="shared" si="73"/>
        <v>37.720186915887844</v>
      </c>
      <c r="H102" s="18">
        <f t="shared" si="73"/>
        <v>51.005401869158881</v>
      </c>
      <c r="I102" s="18">
        <f t="shared" si="73"/>
        <v>49.206822429906538</v>
      </c>
      <c r="J102" s="18">
        <f t="shared" si="73"/>
        <v>32.998037383177568</v>
      </c>
      <c r="K102" s="18">
        <f t="shared" si="73"/>
        <v>58.007850467289721</v>
      </c>
      <c r="L102" s="18">
        <f t="shared" si="73"/>
        <v>38.765140186915886</v>
      </c>
      <c r="M102" s="18">
        <f t="shared" si="73"/>
        <v>43.876355140186917</v>
      </c>
      <c r="N102" s="18">
        <f t="shared" si="73"/>
        <v>47.10495327102803</v>
      </c>
      <c r="O102" s="18">
        <f t="shared" si="73"/>
        <v>45.412897196261682</v>
      </c>
      <c r="P102" s="18">
        <f t="shared" si="73"/>
        <v>43.692616822429898</v>
      </c>
      <c r="Q102" s="18">
        <f t="shared" si="73"/>
        <v>44.217102803738307</v>
      </c>
      <c r="R102" s="18">
        <f t="shared" si="73"/>
        <v>60.152897196261684</v>
      </c>
      <c r="S102" s="18">
        <f t="shared" si="73"/>
        <v>83.187009345794394</v>
      </c>
      <c r="T102" s="18">
        <f t="shared" si="73"/>
        <v>61.842897196261681</v>
      </c>
      <c r="U102" s="18">
        <f t="shared" si="73"/>
        <v>65.497663551401871</v>
      </c>
      <c r="V102" s="18">
        <f t="shared" ref="V102:AE102" si="74">+V100*V101</f>
        <v>81.492149532710286</v>
      </c>
      <c r="W102" s="18">
        <f t="shared" si="74"/>
        <v>72.740373831775699</v>
      </c>
      <c r="X102" s="18">
        <f t="shared" si="74"/>
        <v>74.913084112149534</v>
      </c>
      <c r="Y102" s="18">
        <f t="shared" si="74"/>
        <v>83.568598130841124</v>
      </c>
      <c r="Z102" s="18">
        <f t="shared" si="74"/>
        <v>78.502990654205604</v>
      </c>
      <c r="AA102" s="18">
        <f t="shared" si="74"/>
        <v>74.828971962616819</v>
      </c>
      <c r="AB102" s="18">
        <f t="shared" si="74"/>
        <v>75.960186915887846</v>
      </c>
      <c r="AC102" s="18">
        <f t="shared" si="74"/>
        <v>89.595794392523359</v>
      </c>
      <c r="AD102" s="18">
        <f t="shared" si="74"/>
        <v>89.73</v>
      </c>
      <c r="AE102" s="18">
        <f t="shared" si="74"/>
        <v>63.953738317757015</v>
      </c>
      <c r="AF102" s="18"/>
      <c r="AG102" s="18"/>
      <c r="AH102" s="18"/>
      <c r="AI102" s="19">
        <f>+AI101*AI100</f>
        <v>59.663433911882514</v>
      </c>
      <c r="AJ102" s="6"/>
    </row>
    <row r="103" spans="1:36" x14ac:dyDescent="0.3">
      <c r="A103" s="2"/>
      <c r="B103" s="14"/>
      <c r="C103" s="15" t="s">
        <v>19</v>
      </c>
      <c r="D103" s="21">
        <v>4055.66</v>
      </c>
      <c r="E103" s="21">
        <v>4415.1499999999996</v>
      </c>
      <c r="F103" s="21">
        <v>4647.6499999999996</v>
      </c>
      <c r="G103" s="21">
        <v>4036.06</v>
      </c>
      <c r="H103" s="21">
        <v>5457.5780000000004</v>
      </c>
      <c r="I103" s="21">
        <v>5265.13</v>
      </c>
      <c r="J103" s="21">
        <v>3530.79</v>
      </c>
      <c r="K103" s="21">
        <v>6206.84</v>
      </c>
      <c r="L103" s="21">
        <v>4147.87</v>
      </c>
      <c r="M103" s="21">
        <v>4694.7700000000004</v>
      </c>
      <c r="N103" s="21">
        <v>5040.2299999999996</v>
      </c>
      <c r="O103" s="21">
        <v>4859.18</v>
      </c>
      <c r="P103" s="21">
        <v>4675.1099999999997</v>
      </c>
      <c r="Q103" s="21">
        <v>4731.2299999999996</v>
      </c>
      <c r="R103" s="21">
        <v>6436.36</v>
      </c>
      <c r="S103" s="21">
        <v>8901.01</v>
      </c>
      <c r="T103" s="21">
        <v>6617.19</v>
      </c>
      <c r="U103" s="21">
        <v>7008.25</v>
      </c>
      <c r="V103" s="21">
        <v>8719.66</v>
      </c>
      <c r="W103" s="21">
        <v>7783.22</v>
      </c>
      <c r="X103" s="21">
        <v>8015.7</v>
      </c>
      <c r="Y103" s="21">
        <v>8941.84</v>
      </c>
      <c r="Z103" s="21">
        <v>8399.82</v>
      </c>
      <c r="AA103" s="21">
        <v>8006.7</v>
      </c>
      <c r="AB103" s="21">
        <v>8127.74</v>
      </c>
      <c r="AC103" s="21">
        <v>9586.75</v>
      </c>
      <c r="AD103" s="21">
        <v>9601.11</v>
      </c>
      <c r="AE103" s="21">
        <v>6843.05</v>
      </c>
      <c r="AF103" s="21"/>
      <c r="AG103" s="21"/>
      <c r="AH103" s="21"/>
      <c r="AI103" s="22">
        <f>SUM(D103:AH103)</f>
        <v>178751.64799999999</v>
      </c>
      <c r="AJ103" s="6"/>
    </row>
    <row r="104" spans="1:36" ht="15" thickBot="1" x14ac:dyDescent="0.35">
      <c r="A104" s="23"/>
      <c r="B104" s="24"/>
      <c r="C104" s="15" t="s">
        <v>20</v>
      </c>
      <c r="D104" s="25">
        <f>821.98/D103</f>
        <v>0.20267478043031223</v>
      </c>
      <c r="E104" s="26">
        <f>934.19/E103</f>
        <v>0.21158737528736285</v>
      </c>
      <c r="F104" s="72">
        <f>655.13/F103</f>
        <v>0.14095940959409595</v>
      </c>
      <c r="G104" s="26">
        <f>745.33/G103</f>
        <v>0.18466772049969526</v>
      </c>
      <c r="H104" s="26">
        <f>786.89/H103</f>
        <v>0.14418300572158566</v>
      </c>
      <c r="I104" s="26">
        <f>819.08/I103</f>
        <v>0.15556690907916804</v>
      </c>
      <c r="J104" s="26">
        <f>384.28/J103</f>
        <v>0.10883683255022246</v>
      </c>
      <c r="K104" s="26">
        <f>485.37/K103</f>
        <v>7.8199212481713715E-2</v>
      </c>
      <c r="L104" s="26">
        <f>652.99/L103</f>
        <v>0.15742778823830061</v>
      </c>
      <c r="M104" s="26">
        <f>903.26/M103</f>
        <v>0.19239707163503214</v>
      </c>
      <c r="N104" s="26">
        <f>906.92/N103</f>
        <v>0.17993623306872902</v>
      </c>
      <c r="O104" s="26">
        <f>841.2/O103</f>
        <v>0.17311562856284393</v>
      </c>
      <c r="P104" s="26">
        <f>553.68/P103</f>
        <v>0.11843143797686044</v>
      </c>
      <c r="Q104" s="26">
        <f>215.47/Q103</f>
        <v>4.5542068341636321E-2</v>
      </c>
      <c r="R104" s="26">
        <f>215.47/R103</f>
        <v>3.3476996314687188E-2</v>
      </c>
      <c r="S104" s="26">
        <f>215.47/S103</f>
        <v>2.4207365231586078E-2</v>
      </c>
      <c r="T104" s="26">
        <f>97.92/T103</f>
        <v>1.4797822036241972E-2</v>
      </c>
      <c r="U104" s="26">
        <f>978.82/U103</f>
        <v>0.13966682124638818</v>
      </c>
      <c r="V104" s="26">
        <f>526.06/V103</f>
        <v>6.0330333980912094E-2</v>
      </c>
      <c r="W104" s="26">
        <f>653.03/W103</f>
        <v>8.3902292367426329E-2</v>
      </c>
      <c r="X104" s="26">
        <f>500.62/X103</f>
        <v>6.24549321955662E-2</v>
      </c>
      <c r="Y104" s="26">
        <f>930.13/Y103</f>
        <v>0.10401997799110697</v>
      </c>
      <c r="Z104" s="26">
        <f>823.77/Z103</f>
        <v>9.8069958641970906E-2</v>
      </c>
      <c r="AA104" s="26">
        <f>1131.41/AA103</f>
        <v>0.1413079046298725</v>
      </c>
      <c r="AB104" s="26">
        <f>1316.79/AB103</f>
        <v>0.1620118261656992</v>
      </c>
      <c r="AC104" s="26"/>
      <c r="AD104" s="26"/>
      <c r="AE104" s="26"/>
      <c r="AF104" s="26"/>
      <c r="AG104" s="26"/>
      <c r="AH104" s="26"/>
      <c r="AI104" s="27">
        <f>AVERAGE(D104:AG104)</f>
        <v>0.12071086817076063</v>
      </c>
      <c r="AJ104" s="6"/>
    </row>
    <row r="105" spans="1:36" ht="15" thickTop="1" x14ac:dyDescent="0.3">
      <c r="A105" s="2">
        <v>125</v>
      </c>
      <c r="B105" s="28" t="s">
        <v>44</v>
      </c>
      <c r="C105" s="29" t="s">
        <v>15</v>
      </c>
      <c r="D105" s="30">
        <v>53</v>
      </c>
      <c r="E105" s="31">
        <v>56</v>
      </c>
      <c r="F105" s="31">
        <v>56</v>
      </c>
      <c r="G105" s="31">
        <v>50</v>
      </c>
      <c r="H105" s="31">
        <v>93</v>
      </c>
      <c r="I105" s="31">
        <v>102</v>
      </c>
      <c r="J105" s="31">
        <v>40</v>
      </c>
      <c r="K105" s="31">
        <v>54</v>
      </c>
      <c r="L105" s="31">
        <v>58</v>
      </c>
      <c r="M105" s="31">
        <v>41</v>
      </c>
      <c r="N105" s="31">
        <v>33</v>
      </c>
      <c r="O105" s="31">
        <v>35</v>
      </c>
      <c r="P105" s="31">
        <v>33</v>
      </c>
      <c r="Q105" s="31">
        <v>28</v>
      </c>
      <c r="R105" s="31">
        <v>45</v>
      </c>
      <c r="S105" s="31">
        <v>53</v>
      </c>
      <c r="T105" s="31">
        <v>43</v>
      </c>
      <c r="U105" s="31">
        <v>79</v>
      </c>
      <c r="V105" s="31">
        <v>101</v>
      </c>
      <c r="W105" s="31">
        <v>103</v>
      </c>
      <c r="X105" s="31">
        <v>68</v>
      </c>
      <c r="Y105" s="31">
        <v>93</v>
      </c>
      <c r="Z105" s="31">
        <v>93</v>
      </c>
      <c r="AA105" s="31">
        <v>89</v>
      </c>
      <c r="AB105" s="31">
        <v>81</v>
      </c>
      <c r="AC105" s="31">
        <v>80</v>
      </c>
      <c r="AD105" s="31">
        <v>89</v>
      </c>
      <c r="AE105" s="31">
        <v>66</v>
      </c>
      <c r="AF105" s="31"/>
      <c r="AG105" s="31"/>
      <c r="AH105" s="31"/>
      <c r="AI105" s="32">
        <f>SUM(D105:AH105)</f>
        <v>1815</v>
      </c>
      <c r="AJ105" s="6"/>
    </row>
    <row r="106" spans="1:36" x14ac:dyDescent="0.3">
      <c r="A106" s="2"/>
      <c r="B106" s="33"/>
      <c r="C106" s="34" t="s">
        <v>16</v>
      </c>
      <c r="D106" s="35">
        <f t="shared" ref="D106:AE106" si="75">+D105/$A105</f>
        <v>0.42399999999999999</v>
      </c>
      <c r="E106" s="35">
        <f t="shared" si="75"/>
        <v>0.44800000000000001</v>
      </c>
      <c r="F106" s="35">
        <f t="shared" si="75"/>
        <v>0.44800000000000001</v>
      </c>
      <c r="G106" s="35">
        <f t="shared" si="75"/>
        <v>0.4</v>
      </c>
      <c r="H106" s="35">
        <f t="shared" si="75"/>
        <v>0.74399999999999999</v>
      </c>
      <c r="I106" s="35">
        <f t="shared" si="75"/>
        <v>0.81599999999999995</v>
      </c>
      <c r="J106" s="35">
        <f t="shared" si="75"/>
        <v>0.32</v>
      </c>
      <c r="K106" s="35">
        <f t="shared" si="75"/>
        <v>0.432</v>
      </c>
      <c r="L106" s="35">
        <f t="shared" si="75"/>
        <v>0.46400000000000002</v>
      </c>
      <c r="M106" s="35">
        <f t="shared" si="75"/>
        <v>0.32800000000000001</v>
      </c>
      <c r="N106" s="35">
        <f t="shared" si="75"/>
        <v>0.26400000000000001</v>
      </c>
      <c r="O106" s="35">
        <f t="shared" si="75"/>
        <v>0.28000000000000003</v>
      </c>
      <c r="P106" s="35">
        <f>+P105/$A105</f>
        <v>0.26400000000000001</v>
      </c>
      <c r="Q106" s="35">
        <f t="shared" si="75"/>
        <v>0.224</v>
      </c>
      <c r="R106" s="35">
        <f t="shared" si="75"/>
        <v>0.36</v>
      </c>
      <c r="S106" s="35">
        <f t="shared" si="75"/>
        <v>0.42399999999999999</v>
      </c>
      <c r="T106" s="35">
        <f t="shared" si="75"/>
        <v>0.34399999999999997</v>
      </c>
      <c r="U106" s="35">
        <f t="shared" si="75"/>
        <v>0.63200000000000001</v>
      </c>
      <c r="V106" s="35">
        <f t="shared" si="75"/>
        <v>0.80800000000000005</v>
      </c>
      <c r="W106" s="35">
        <f t="shared" si="75"/>
        <v>0.82399999999999995</v>
      </c>
      <c r="X106" s="35">
        <f t="shared" si="75"/>
        <v>0.54400000000000004</v>
      </c>
      <c r="Y106" s="35">
        <f t="shared" si="75"/>
        <v>0.74399999999999999</v>
      </c>
      <c r="Z106" s="35">
        <f t="shared" si="75"/>
        <v>0.74399999999999999</v>
      </c>
      <c r="AA106" s="35">
        <f t="shared" si="75"/>
        <v>0.71199999999999997</v>
      </c>
      <c r="AB106" s="35">
        <f t="shared" si="75"/>
        <v>0.64800000000000002</v>
      </c>
      <c r="AC106" s="35">
        <f t="shared" si="75"/>
        <v>0.64</v>
      </c>
      <c r="AD106" s="35">
        <f t="shared" si="75"/>
        <v>0.71199999999999997</v>
      </c>
      <c r="AE106" s="35">
        <f t="shared" si="75"/>
        <v>0.52800000000000002</v>
      </c>
      <c r="AF106" s="35"/>
      <c r="AG106" s="35"/>
      <c r="AH106" s="35"/>
      <c r="AI106" s="36">
        <f>+AI105/(A105*A$1)</f>
        <v>0.51857142857142857</v>
      </c>
      <c r="AJ106" s="6"/>
    </row>
    <row r="107" spans="1:36" x14ac:dyDescent="0.3">
      <c r="A107" s="2"/>
      <c r="B107" s="33"/>
      <c r="C107" s="34" t="s">
        <v>17</v>
      </c>
      <c r="D107" s="37">
        <f t="shared" ref="D107:AE107" si="76">+IFERROR(D109/D105,0)</f>
        <v>84.188679245283012</v>
      </c>
      <c r="E107" s="37">
        <f t="shared" si="76"/>
        <v>81.789285714285711</v>
      </c>
      <c r="F107" s="37">
        <f t="shared" si="76"/>
        <v>83.428928571428585</v>
      </c>
      <c r="G107" s="37">
        <f t="shared" si="76"/>
        <v>79.3964</v>
      </c>
      <c r="H107" s="37">
        <f t="shared" si="76"/>
        <v>82.845591397849461</v>
      </c>
      <c r="I107" s="37">
        <f t="shared" si="76"/>
        <v>84.691176470588232</v>
      </c>
      <c r="J107" s="37">
        <f t="shared" si="76"/>
        <v>79.102999999999994</v>
      </c>
      <c r="K107" s="37">
        <f t="shared" si="76"/>
        <v>81.01111111111112</v>
      </c>
      <c r="L107" s="37">
        <f t="shared" si="76"/>
        <v>82.193965517241381</v>
      </c>
      <c r="M107" s="37">
        <f t="shared" si="76"/>
        <v>84.640243902439025</v>
      </c>
      <c r="N107" s="37">
        <f t="shared" si="76"/>
        <v>76.794545454545442</v>
      </c>
      <c r="O107" s="37">
        <f t="shared" si="76"/>
        <v>73.187142857142859</v>
      </c>
      <c r="P107" s="37">
        <f>+IFERROR(P109/P105,0)</f>
        <v>75.190909090909102</v>
      </c>
      <c r="Q107" s="37">
        <f t="shared" si="76"/>
        <v>77.825714285714284</v>
      </c>
      <c r="R107" s="37">
        <f t="shared" si="76"/>
        <v>97.308444444444447</v>
      </c>
      <c r="S107" s="37">
        <f t="shared" si="76"/>
        <v>104.38849056603775</v>
      </c>
      <c r="T107" s="37">
        <f t="shared" si="76"/>
        <v>91.14232558139534</v>
      </c>
      <c r="U107" s="37">
        <f t="shared" si="76"/>
        <v>74.796329113924045</v>
      </c>
      <c r="V107" s="37">
        <f t="shared" si="76"/>
        <v>97.830693069306932</v>
      </c>
      <c r="W107" s="37">
        <f t="shared" si="76"/>
        <v>91.450679611650486</v>
      </c>
      <c r="X107" s="37">
        <f t="shared" si="76"/>
        <v>74.579411764705881</v>
      </c>
      <c r="Y107" s="37">
        <f t="shared" si="76"/>
        <v>78.357419354838711</v>
      </c>
      <c r="Z107" s="37">
        <f t="shared" si="76"/>
        <v>78.357419354838711</v>
      </c>
      <c r="AA107" s="37">
        <f t="shared" si="76"/>
        <v>81.899887640449435</v>
      </c>
      <c r="AB107" s="37">
        <f t="shared" si="76"/>
        <v>66.778024691358027</v>
      </c>
      <c r="AC107" s="37">
        <f t="shared" si="76"/>
        <v>83.484375</v>
      </c>
      <c r="AD107" s="37">
        <f t="shared" si="76"/>
        <v>92.018426966292139</v>
      </c>
      <c r="AE107" s="37">
        <f t="shared" si="76"/>
        <v>87.698484848484853</v>
      </c>
      <c r="AF107" s="37"/>
      <c r="AG107" s="37"/>
      <c r="AH107" s="37"/>
      <c r="AI107" s="38">
        <f>+AI109/AI105</f>
        <v>83.526110192837493</v>
      </c>
      <c r="AJ107" s="6"/>
    </row>
    <row r="108" spans="1:36" x14ac:dyDescent="0.3">
      <c r="A108" s="2"/>
      <c r="B108" s="33"/>
      <c r="C108" s="34" t="s">
        <v>18</v>
      </c>
      <c r="D108" s="37">
        <f t="shared" ref="D108:AE108" si="77">+D106*D107</f>
        <v>35.695999999999998</v>
      </c>
      <c r="E108" s="37">
        <f t="shared" si="77"/>
        <v>36.641599999999997</v>
      </c>
      <c r="F108" s="37">
        <f t="shared" si="77"/>
        <v>37.376160000000006</v>
      </c>
      <c r="G108" s="37">
        <f t="shared" si="77"/>
        <v>31.758560000000003</v>
      </c>
      <c r="H108" s="37">
        <f t="shared" si="77"/>
        <v>61.637119999999996</v>
      </c>
      <c r="I108" s="37">
        <f t="shared" si="77"/>
        <v>69.10799999999999</v>
      </c>
      <c r="J108" s="37">
        <f t="shared" si="77"/>
        <v>25.31296</v>
      </c>
      <c r="K108" s="37">
        <f t="shared" si="77"/>
        <v>34.9968</v>
      </c>
      <c r="L108" s="37">
        <f t="shared" si="77"/>
        <v>38.138000000000005</v>
      </c>
      <c r="M108" s="37">
        <f t="shared" si="77"/>
        <v>27.762</v>
      </c>
      <c r="N108" s="37">
        <f t="shared" si="77"/>
        <v>20.273759999999999</v>
      </c>
      <c r="O108" s="37">
        <f t="shared" si="77"/>
        <v>20.492400000000004</v>
      </c>
      <c r="P108" s="37">
        <f t="shared" si="77"/>
        <v>19.850400000000004</v>
      </c>
      <c r="Q108" s="37">
        <f t="shared" si="77"/>
        <v>17.432960000000001</v>
      </c>
      <c r="R108" s="37">
        <f t="shared" si="77"/>
        <v>35.031039999999997</v>
      </c>
      <c r="S108" s="37">
        <f t="shared" si="77"/>
        <v>44.260720000000006</v>
      </c>
      <c r="T108" s="37">
        <f t="shared" si="77"/>
        <v>31.352959999999996</v>
      </c>
      <c r="U108" s="37">
        <f t="shared" si="77"/>
        <v>47.271279999999997</v>
      </c>
      <c r="V108" s="37">
        <f t="shared" si="77"/>
        <v>79.047200000000004</v>
      </c>
      <c r="W108" s="37">
        <f t="shared" si="77"/>
        <v>75.35535999999999</v>
      </c>
      <c r="X108" s="37">
        <f t="shared" si="77"/>
        <v>40.571200000000005</v>
      </c>
      <c r="Y108" s="37">
        <f t="shared" si="77"/>
        <v>58.297919999999998</v>
      </c>
      <c r="Z108" s="37">
        <f t="shared" si="77"/>
        <v>58.297919999999998</v>
      </c>
      <c r="AA108" s="37">
        <f t="shared" si="77"/>
        <v>58.312719999999992</v>
      </c>
      <c r="AB108" s="37">
        <f t="shared" si="77"/>
        <v>43.27216</v>
      </c>
      <c r="AC108" s="37">
        <f t="shared" si="77"/>
        <v>53.43</v>
      </c>
      <c r="AD108" s="37">
        <f t="shared" si="77"/>
        <v>65.517120000000006</v>
      </c>
      <c r="AE108" s="37">
        <f t="shared" si="77"/>
        <v>46.304800000000007</v>
      </c>
      <c r="AF108" s="37"/>
      <c r="AG108" s="37"/>
      <c r="AH108" s="37"/>
      <c r="AI108" s="38">
        <f>+AI107*AI106</f>
        <v>43.314254285714298</v>
      </c>
      <c r="AJ108" s="6"/>
    </row>
    <row r="109" spans="1:36" x14ac:dyDescent="0.3">
      <c r="A109" s="2"/>
      <c r="B109" s="33"/>
      <c r="C109" s="34" t="s">
        <v>19</v>
      </c>
      <c r="D109" s="20">
        <v>4462</v>
      </c>
      <c r="E109" s="21">
        <v>4580.2</v>
      </c>
      <c r="F109" s="21">
        <v>4672.0200000000004</v>
      </c>
      <c r="G109" s="21">
        <v>3969.82</v>
      </c>
      <c r="H109" s="21">
        <v>7704.64</v>
      </c>
      <c r="I109" s="21">
        <v>8638.5</v>
      </c>
      <c r="J109" s="21">
        <v>3164.12</v>
      </c>
      <c r="K109" s="21">
        <v>4374.6000000000004</v>
      </c>
      <c r="L109" s="21">
        <v>4767.25</v>
      </c>
      <c r="M109" s="21">
        <v>3470.25</v>
      </c>
      <c r="N109" s="21">
        <v>2534.2199999999998</v>
      </c>
      <c r="O109" s="21">
        <v>2561.5500000000002</v>
      </c>
      <c r="P109" s="21">
        <v>2481.3000000000002</v>
      </c>
      <c r="Q109" s="21">
        <v>2179.12</v>
      </c>
      <c r="R109" s="21">
        <v>4378.88</v>
      </c>
      <c r="S109" s="21">
        <v>5532.59</v>
      </c>
      <c r="T109" s="21">
        <v>3919.12</v>
      </c>
      <c r="U109" s="21">
        <v>5908.91</v>
      </c>
      <c r="V109" s="21">
        <v>9880.9</v>
      </c>
      <c r="W109" s="21">
        <v>9419.42</v>
      </c>
      <c r="X109" s="21">
        <v>5071.3999999999996</v>
      </c>
      <c r="Y109" s="21">
        <v>7287.24</v>
      </c>
      <c r="Z109" s="21">
        <v>7287.24</v>
      </c>
      <c r="AA109" s="21">
        <v>7289.09</v>
      </c>
      <c r="AB109" s="21">
        <v>5409.02</v>
      </c>
      <c r="AC109" s="21">
        <v>6678.75</v>
      </c>
      <c r="AD109" s="21">
        <v>8189.64</v>
      </c>
      <c r="AE109" s="21">
        <v>5788.1</v>
      </c>
      <c r="AF109" s="21"/>
      <c r="AG109" s="21"/>
      <c r="AH109" s="21"/>
      <c r="AI109" s="39">
        <f>SUM(D109:AH109)</f>
        <v>151599.89000000004</v>
      </c>
      <c r="AJ109" s="6"/>
    </row>
    <row r="110" spans="1:36" ht="15" thickBot="1" x14ac:dyDescent="0.35">
      <c r="A110" s="23"/>
      <c r="B110" s="40"/>
      <c r="C110" s="41" t="s">
        <v>20</v>
      </c>
      <c r="D110" s="49">
        <f>1322.94/D109</f>
        <v>0.29649036306588977</v>
      </c>
      <c r="E110" s="50">
        <f>1007.81/E109</f>
        <v>0.22003624295882276</v>
      </c>
      <c r="F110" s="73">
        <f>1063.31/F109</f>
        <v>0.22759106339442037</v>
      </c>
      <c r="G110" s="50">
        <f>1171.06/G109</f>
        <v>0.29499070486823076</v>
      </c>
      <c r="H110" s="50">
        <f>1025.3/H109</f>
        <v>0.13307565311292935</v>
      </c>
      <c r="I110" s="50">
        <f>444.98/I109</f>
        <v>5.1511257741506049E-2</v>
      </c>
      <c r="J110" s="50">
        <f>741.35/J109</f>
        <v>0.23429895199929207</v>
      </c>
      <c r="K110" s="50">
        <f>1079.35/K109</f>
        <v>0.24673112970328712</v>
      </c>
      <c r="L110" s="50">
        <f>1073.36/L109</f>
        <v>0.22515286590801822</v>
      </c>
      <c r="M110" s="50">
        <f>739.59/M109</f>
        <v>0.21312297384914633</v>
      </c>
      <c r="N110" s="50">
        <f>797.31/N109</f>
        <v>0.31461751544854039</v>
      </c>
      <c r="O110" s="50">
        <f>760.58/O109</f>
        <v>0.29692178563760224</v>
      </c>
      <c r="P110" s="50">
        <f>91.23/P109</f>
        <v>3.676701728932414E-2</v>
      </c>
      <c r="Q110" s="50">
        <f>82.8/Q109</f>
        <v>3.799698961048497E-2</v>
      </c>
      <c r="R110" s="50">
        <f>257.7/R109</f>
        <v>5.8850665010230924E-2</v>
      </c>
      <c r="S110" s="50">
        <f>257.5/S109</f>
        <v>4.6542396960555545E-2</v>
      </c>
      <c r="T110" s="50">
        <f>155.77/T109</f>
        <v>3.9746167506991371E-2</v>
      </c>
      <c r="U110" s="50">
        <f>599.87/U109</f>
        <v>0.1015195695991308</v>
      </c>
      <c r="V110" s="50">
        <f>753.38/V109</f>
        <v>7.6246090943132713E-2</v>
      </c>
      <c r="W110" s="50">
        <f>212.38/W109</f>
        <v>2.254703580475231E-2</v>
      </c>
      <c r="X110" s="50">
        <f>839.37/X109</f>
        <v>0.16551050991836574</v>
      </c>
      <c r="Y110" s="50">
        <f>1007.92/Y109</f>
        <v>0.13831299641565256</v>
      </c>
      <c r="Z110" s="50">
        <f>1020.84/Z109</f>
        <v>0.14008595846987337</v>
      </c>
      <c r="AA110" s="50">
        <f>793.32/AA109</f>
        <v>0.10883663118441397</v>
      </c>
      <c r="AB110" s="50">
        <f>963.66/AB109</f>
        <v>0.17815796576829071</v>
      </c>
      <c r="AC110" s="50"/>
      <c r="AD110" s="50"/>
      <c r="AE110" s="50"/>
      <c r="AF110" s="50"/>
      <c r="AG110" s="50"/>
      <c r="AH110" s="50"/>
      <c r="AI110" s="51">
        <f>AVERAGE(D110:AG110)</f>
        <v>0.15622642008675536</v>
      </c>
      <c r="AJ110" s="6"/>
    </row>
    <row r="111" spans="1:36" ht="15" thickTop="1" x14ac:dyDescent="0.3">
      <c r="A111" s="2">
        <v>141</v>
      </c>
      <c r="B111" s="103" t="s">
        <v>45</v>
      </c>
      <c r="C111" s="104" t="s">
        <v>15</v>
      </c>
      <c r="D111" s="42"/>
      <c r="E111" s="43"/>
      <c r="F111" s="7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31">
        <v>14</v>
      </c>
      <c r="AA111" s="118">
        <v>31</v>
      </c>
      <c r="AB111" s="118">
        <v>49</v>
      </c>
      <c r="AC111" s="118"/>
      <c r="AD111" s="118"/>
      <c r="AE111" s="118"/>
      <c r="AF111" s="43"/>
      <c r="AG111" s="43"/>
      <c r="AH111" s="43"/>
      <c r="AI111" s="111">
        <f>SUM(D111:AH111)</f>
        <v>94</v>
      </c>
      <c r="AJ111" s="6"/>
    </row>
    <row r="112" spans="1:36" x14ac:dyDescent="0.3">
      <c r="A112" s="23"/>
      <c r="B112" s="40"/>
      <c r="C112" s="34" t="s">
        <v>16</v>
      </c>
      <c r="D112" s="42"/>
      <c r="E112" s="43"/>
      <c r="F112" s="7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107">
        <f>Z111/A111</f>
        <v>9.9290780141843976E-2</v>
      </c>
      <c r="AA112" s="107">
        <f>AA111/$A$111</f>
        <v>0.21985815602836881</v>
      </c>
      <c r="AB112" s="107">
        <f>AB111/$A$111</f>
        <v>0.3475177304964539</v>
      </c>
      <c r="AC112" s="107">
        <f>AC111/$A$111</f>
        <v>0</v>
      </c>
      <c r="AD112" s="107">
        <f>AD111/$A$111</f>
        <v>0</v>
      </c>
      <c r="AE112" s="107">
        <f>AE111/$A$111</f>
        <v>0</v>
      </c>
      <c r="AF112" s="43"/>
      <c r="AG112" s="43"/>
      <c r="AH112" s="43"/>
      <c r="AI112" s="113">
        <f>+AI111/(A111*A$1)</f>
        <v>2.3809523809523808E-2</v>
      </c>
      <c r="AJ112" s="6"/>
    </row>
    <row r="113" spans="1:36" x14ac:dyDescent="0.3">
      <c r="A113" s="23"/>
      <c r="B113" s="40"/>
      <c r="C113" s="34" t="s">
        <v>17</v>
      </c>
      <c r="D113" s="42"/>
      <c r="E113" s="43"/>
      <c r="F113" s="7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109">
        <f t="shared" ref="Z113:AE113" si="78">+IFERROR(Z115/Z111,0)</f>
        <v>85.412857142857135</v>
      </c>
      <c r="AA113" s="109">
        <f t="shared" si="78"/>
        <v>84.687096774193549</v>
      </c>
      <c r="AB113" s="109">
        <f t="shared" si="78"/>
        <v>82.866326530612241</v>
      </c>
      <c r="AC113" s="109">
        <f t="shared" si="78"/>
        <v>0</v>
      </c>
      <c r="AD113" s="109">
        <f t="shared" si="78"/>
        <v>0</v>
      </c>
      <c r="AE113" s="109">
        <f t="shared" si="78"/>
        <v>0</v>
      </c>
      <c r="AF113" s="43"/>
      <c r="AG113" s="43"/>
      <c r="AH113" s="43"/>
      <c r="AI113" s="112">
        <f>+AI115/AI111</f>
        <v>83.846063829787226</v>
      </c>
      <c r="AJ113" s="6"/>
    </row>
    <row r="114" spans="1:36" x14ac:dyDescent="0.3">
      <c r="A114" s="23"/>
      <c r="B114" s="40"/>
      <c r="C114" s="34" t="s">
        <v>18</v>
      </c>
      <c r="D114" s="42"/>
      <c r="E114" s="43"/>
      <c r="F114" s="7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110">
        <f t="shared" ref="Z114:AE114" si="79">+Z112*Z113</f>
        <v>8.4807092198581557</v>
      </c>
      <c r="AA114" s="110">
        <f t="shared" si="79"/>
        <v>18.619148936170212</v>
      </c>
      <c r="AB114" s="110">
        <f t="shared" si="79"/>
        <v>28.797517730496452</v>
      </c>
      <c r="AC114" s="110">
        <f t="shared" si="79"/>
        <v>0</v>
      </c>
      <c r="AD114" s="110">
        <f t="shared" si="79"/>
        <v>0</v>
      </c>
      <c r="AE114" s="110">
        <f t="shared" si="79"/>
        <v>0</v>
      </c>
      <c r="AF114" s="43"/>
      <c r="AG114" s="43"/>
      <c r="AH114" s="43"/>
      <c r="AI114" s="112">
        <f>+AI113*AI112</f>
        <v>1.9963348530901719</v>
      </c>
      <c r="AJ114" s="6"/>
    </row>
    <row r="115" spans="1:36" x14ac:dyDescent="0.3">
      <c r="A115" s="23"/>
      <c r="B115" s="40"/>
      <c r="C115" s="34" t="s">
        <v>19</v>
      </c>
      <c r="D115" s="42"/>
      <c r="E115" s="43"/>
      <c r="F115" s="7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108">
        <v>1195.78</v>
      </c>
      <c r="AA115" s="117">
        <v>2625.3</v>
      </c>
      <c r="AB115" s="117">
        <v>4060.45</v>
      </c>
      <c r="AC115" s="117"/>
      <c r="AD115" s="117"/>
      <c r="AE115" s="117"/>
      <c r="AF115" s="43"/>
      <c r="AG115" s="43"/>
      <c r="AH115" s="43"/>
      <c r="AI115" s="111">
        <f>SUM(D115:AH115)</f>
        <v>7881.53</v>
      </c>
      <c r="AJ115" s="6"/>
    </row>
    <row r="116" spans="1:36" ht="15" thickBot="1" x14ac:dyDescent="0.35">
      <c r="A116" s="23"/>
      <c r="B116" s="105"/>
      <c r="C116" s="106" t="s">
        <v>20</v>
      </c>
      <c r="D116" s="42"/>
      <c r="E116" s="43"/>
      <c r="F116" s="7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>
        <f>1184.6/Z115</f>
        <v>0.99065045409690744</v>
      </c>
      <c r="AA116" s="43"/>
      <c r="AB116" s="43">
        <f>1377.58/AB115</f>
        <v>0.33926781514364174</v>
      </c>
      <c r="AC116" s="43"/>
      <c r="AD116" s="43"/>
      <c r="AE116" s="43"/>
      <c r="AF116" s="43"/>
      <c r="AG116" s="43"/>
      <c r="AH116" s="43"/>
      <c r="AI116" s="44">
        <f>AVERAGE(D116:AG116)</f>
        <v>0.66495913462027456</v>
      </c>
      <c r="AJ116" s="6"/>
    </row>
    <row r="117" spans="1:36" ht="15" thickTop="1" x14ac:dyDescent="0.3">
      <c r="A117" s="2">
        <v>98</v>
      </c>
      <c r="B117" s="14" t="s">
        <v>46</v>
      </c>
      <c r="C117" s="15" t="s">
        <v>15</v>
      </c>
      <c r="D117" s="11">
        <v>67</v>
      </c>
      <c r="E117" s="12">
        <v>77</v>
      </c>
      <c r="F117" s="12">
        <v>83</v>
      </c>
      <c r="G117" s="12">
        <v>64</v>
      </c>
      <c r="H117" s="12">
        <v>67</v>
      </c>
      <c r="I117" s="12">
        <v>62</v>
      </c>
      <c r="J117" s="12">
        <v>38</v>
      </c>
      <c r="K117" s="12">
        <v>47</v>
      </c>
      <c r="L117" s="12">
        <v>42</v>
      </c>
      <c r="M117" s="12">
        <v>65</v>
      </c>
      <c r="N117" s="12">
        <v>43</v>
      </c>
      <c r="O117" s="12">
        <v>49</v>
      </c>
      <c r="P117" s="12">
        <v>64</v>
      </c>
      <c r="Q117" s="12">
        <v>50</v>
      </c>
      <c r="R117" s="12">
        <v>83</v>
      </c>
      <c r="S117" s="12">
        <v>88</v>
      </c>
      <c r="T117" s="12">
        <v>6</v>
      </c>
      <c r="U117" s="12">
        <v>4</v>
      </c>
      <c r="V117" s="12">
        <v>52</v>
      </c>
      <c r="W117" s="12">
        <v>80</v>
      </c>
      <c r="X117" s="12">
        <v>82</v>
      </c>
      <c r="Y117" s="12">
        <v>89</v>
      </c>
      <c r="Z117" s="12">
        <v>91</v>
      </c>
      <c r="AA117" s="12">
        <v>84</v>
      </c>
      <c r="AB117" s="12">
        <v>78</v>
      </c>
      <c r="AC117" s="12">
        <v>92</v>
      </c>
      <c r="AD117" s="12">
        <v>94</v>
      </c>
      <c r="AE117" s="12">
        <v>74</v>
      </c>
      <c r="AF117" s="12"/>
      <c r="AG117" s="12"/>
      <c r="AH117" s="12"/>
      <c r="AI117" s="13">
        <f>SUM(D117:AH117)</f>
        <v>1815</v>
      </c>
      <c r="AJ117" s="6"/>
    </row>
    <row r="118" spans="1:36" x14ac:dyDescent="0.3">
      <c r="A118" s="2"/>
      <c r="B118" s="14"/>
      <c r="C118" s="15" t="s">
        <v>16</v>
      </c>
      <c r="D118" s="16">
        <f t="shared" ref="D118:AE118" si="80">+D117/$A117</f>
        <v>0.68367346938775508</v>
      </c>
      <c r="E118" s="16">
        <f t="shared" si="80"/>
        <v>0.7857142857142857</v>
      </c>
      <c r="F118" s="16">
        <f t="shared" si="80"/>
        <v>0.84693877551020413</v>
      </c>
      <c r="G118" s="16">
        <f t="shared" si="80"/>
        <v>0.65306122448979587</v>
      </c>
      <c r="H118" s="16">
        <f t="shared" si="80"/>
        <v>0.68367346938775508</v>
      </c>
      <c r="I118" s="16">
        <f t="shared" si="80"/>
        <v>0.63265306122448983</v>
      </c>
      <c r="J118" s="16">
        <f t="shared" si="80"/>
        <v>0.38775510204081631</v>
      </c>
      <c r="K118" s="16">
        <f t="shared" si="80"/>
        <v>0.47959183673469385</v>
      </c>
      <c r="L118" s="16">
        <f t="shared" si="80"/>
        <v>0.42857142857142855</v>
      </c>
      <c r="M118" s="16">
        <f t="shared" si="80"/>
        <v>0.66326530612244894</v>
      </c>
      <c r="N118" s="16">
        <f t="shared" si="80"/>
        <v>0.43877551020408162</v>
      </c>
      <c r="O118" s="16">
        <f t="shared" si="80"/>
        <v>0.5</v>
      </c>
      <c r="P118" s="16">
        <f t="shared" si="80"/>
        <v>0.65306122448979587</v>
      </c>
      <c r="Q118" s="16">
        <f t="shared" si="80"/>
        <v>0.51020408163265307</v>
      </c>
      <c r="R118" s="16">
        <f t="shared" si="80"/>
        <v>0.84693877551020413</v>
      </c>
      <c r="S118" s="16">
        <f t="shared" si="80"/>
        <v>0.89795918367346939</v>
      </c>
      <c r="T118" s="16">
        <f t="shared" si="80"/>
        <v>6.1224489795918366E-2</v>
      </c>
      <c r="U118" s="16">
        <f t="shared" si="80"/>
        <v>4.0816326530612242E-2</v>
      </c>
      <c r="V118" s="16">
        <f t="shared" si="80"/>
        <v>0.53061224489795922</v>
      </c>
      <c r="W118" s="16">
        <f t="shared" si="80"/>
        <v>0.81632653061224492</v>
      </c>
      <c r="X118" s="16">
        <f t="shared" si="80"/>
        <v>0.83673469387755106</v>
      </c>
      <c r="Y118" s="16">
        <f t="shared" si="80"/>
        <v>0.90816326530612246</v>
      </c>
      <c r="Z118" s="16">
        <f>+Z117/$A117</f>
        <v>0.9285714285714286</v>
      </c>
      <c r="AA118" s="16">
        <f t="shared" si="80"/>
        <v>0.8571428571428571</v>
      </c>
      <c r="AB118" s="16">
        <f t="shared" si="80"/>
        <v>0.79591836734693877</v>
      </c>
      <c r="AC118" s="16">
        <f t="shared" si="80"/>
        <v>0.93877551020408168</v>
      </c>
      <c r="AD118" s="16">
        <f t="shared" si="80"/>
        <v>0.95918367346938771</v>
      </c>
      <c r="AE118" s="16">
        <f t="shared" si="80"/>
        <v>0.75510204081632648</v>
      </c>
      <c r="AF118" s="16"/>
      <c r="AG118" s="16"/>
      <c r="AH118" s="16"/>
      <c r="AI118" s="17">
        <f>+AI117/(A117*A$1)</f>
        <v>0.66144314868804666</v>
      </c>
      <c r="AJ118" s="6"/>
    </row>
    <row r="119" spans="1:36" x14ac:dyDescent="0.3">
      <c r="A119" s="2"/>
      <c r="B119" s="14"/>
      <c r="C119" s="15" t="s">
        <v>17</v>
      </c>
      <c r="D119" s="18">
        <f t="shared" ref="D119:AE119" si="81">+IFERROR(D121/D117,0)</f>
        <v>58.919850746268658</v>
      </c>
      <c r="E119" s="18">
        <f t="shared" si="81"/>
        <v>78.734935064935073</v>
      </c>
      <c r="F119" s="18">
        <f t="shared" si="81"/>
        <v>77.965421686746993</v>
      </c>
      <c r="G119" s="18">
        <f t="shared" si="81"/>
        <v>79.407812500000006</v>
      </c>
      <c r="H119" s="18">
        <f t="shared" si="81"/>
        <v>87.821641791044783</v>
      </c>
      <c r="I119" s="18">
        <f t="shared" si="81"/>
        <v>83.919193548387099</v>
      </c>
      <c r="J119" s="18">
        <f t="shared" si="81"/>
        <v>82.958157894736843</v>
      </c>
      <c r="K119" s="18">
        <f t="shared" si="81"/>
        <v>85.921489361702129</v>
      </c>
      <c r="L119" s="18">
        <f t="shared" si="81"/>
        <v>81.504523809523818</v>
      </c>
      <c r="M119" s="18">
        <f t="shared" si="81"/>
        <v>81.92338461538462</v>
      </c>
      <c r="N119" s="18">
        <f t="shared" si="81"/>
        <v>82.909069767441864</v>
      </c>
      <c r="O119" s="18">
        <f t="shared" si="81"/>
        <v>93.63428571428571</v>
      </c>
      <c r="P119" s="18">
        <f>+IFERROR(P121/P117,0)</f>
        <v>101.8078125</v>
      </c>
      <c r="Q119" s="18">
        <f t="shared" si="81"/>
        <v>111.8706</v>
      </c>
      <c r="R119" s="18">
        <f t="shared" si="81"/>
        <v>89.95903614457832</v>
      </c>
      <c r="S119" s="18">
        <f t="shared" si="81"/>
        <v>99.555568181818174</v>
      </c>
      <c r="T119" s="18">
        <f t="shared" si="81"/>
        <v>76.424999999999997</v>
      </c>
      <c r="U119" s="18">
        <f t="shared" si="81"/>
        <v>71.45</v>
      </c>
      <c r="V119" s="18">
        <f t="shared" si="81"/>
        <v>87.797499999999999</v>
      </c>
      <c r="W119" s="18">
        <f t="shared" si="81"/>
        <v>100.09287500000001</v>
      </c>
      <c r="X119" s="18">
        <f t="shared" si="81"/>
        <v>91.275731707317064</v>
      </c>
      <c r="Y119" s="18">
        <f t="shared" si="81"/>
        <v>87.803033707865168</v>
      </c>
      <c r="Z119" s="18">
        <f>+IFERROR(Z121/Z117,0)</f>
        <v>86.354175824175826</v>
      </c>
      <c r="AA119" s="18">
        <f t="shared" si="81"/>
        <v>82.891547619047628</v>
      </c>
      <c r="AB119" s="18">
        <f t="shared" si="81"/>
        <v>83.733589743589746</v>
      </c>
      <c r="AC119" s="18">
        <f t="shared" si="81"/>
        <v>92.526304347826084</v>
      </c>
      <c r="AD119" s="18">
        <f t="shared" si="81"/>
        <v>95.053936170212765</v>
      </c>
      <c r="AE119" s="18">
        <f t="shared" si="81"/>
        <v>91.645540540540551</v>
      </c>
      <c r="AF119" s="18"/>
      <c r="AG119" s="18"/>
      <c r="AH119" s="18"/>
      <c r="AI119" s="19">
        <f>+AI121/AI117</f>
        <v>87.756055096418748</v>
      </c>
      <c r="AJ119" s="6"/>
    </row>
    <row r="120" spans="1:36" x14ac:dyDescent="0.3">
      <c r="A120" s="2"/>
      <c r="B120" s="14"/>
      <c r="C120" s="15" t="s">
        <v>18</v>
      </c>
      <c r="D120" s="18">
        <f t="shared" ref="D120:AE120" si="82">+D118*D119</f>
        <v>40.281938775510206</v>
      </c>
      <c r="E120" s="18">
        <f t="shared" si="82"/>
        <v>61.863163265306127</v>
      </c>
      <c r="F120" s="18">
        <f t="shared" si="82"/>
        <v>66.031938775510213</v>
      </c>
      <c r="G120" s="18">
        <f t="shared" si="82"/>
        <v>51.858163265306125</v>
      </c>
      <c r="H120" s="18">
        <f t="shared" si="82"/>
        <v>60.041326530612245</v>
      </c>
      <c r="I120" s="18">
        <f t="shared" si="82"/>
        <v>53.091734693877555</v>
      </c>
      <c r="J120" s="18">
        <f t="shared" si="82"/>
        <v>32.167448979591839</v>
      </c>
      <c r="K120" s="18">
        <f t="shared" si="82"/>
        <v>41.207244897959185</v>
      </c>
      <c r="L120" s="18">
        <f t="shared" si="82"/>
        <v>34.930510204081635</v>
      </c>
      <c r="M120" s="18">
        <f t="shared" si="82"/>
        <v>54.336938775510205</v>
      </c>
      <c r="N120" s="18">
        <f t="shared" si="82"/>
        <v>36.378469387755104</v>
      </c>
      <c r="O120" s="18">
        <f t="shared" si="82"/>
        <v>46.817142857142855</v>
      </c>
      <c r="P120" s="18">
        <f t="shared" si="82"/>
        <v>66.486734693877537</v>
      </c>
      <c r="Q120" s="18">
        <f t="shared" si="82"/>
        <v>57.076836734693877</v>
      </c>
      <c r="R120" s="18">
        <f t="shared" si="82"/>
        <v>76.189795918367352</v>
      </c>
      <c r="S120" s="18">
        <f t="shared" si="82"/>
        <v>89.396836734693863</v>
      </c>
      <c r="T120" s="18">
        <f t="shared" si="82"/>
        <v>4.6790816326530607</v>
      </c>
      <c r="U120" s="18">
        <f t="shared" si="82"/>
        <v>2.9163265306122446</v>
      </c>
      <c r="V120" s="18">
        <f t="shared" si="82"/>
        <v>46.586428571428577</v>
      </c>
      <c r="W120" s="18">
        <f t="shared" si="82"/>
        <v>81.708469387755116</v>
      </c>
      <c r="X120" s="18">
        <f t="shared" si="82"/>
        <v>76.373571428571424</v>
      </c>
      <c r="Y120" s="18">
        <f t="shared" si="82"/>
        <v>79.739489795918374</v>
      </c>
      <c r="Z120" s="18">
        <f>+Z118*Z119</f>
        <v>80.186020408163273</v>
      </c>
      <c r="AA120" s="18">
        <f t="shared" si="82"/>
        <v>71.049897959183681</v>
      </c>
      <c r="AB120" s="18">
        <f t="shared" si="82"/>
        <v>66.645102040816326</v>
      </c>
      <c r="AC120" s="18">
        <f t="shared" si="82"/>
        <v>86.861428571428576</v>
      </c>
      <c r="AD120" s="18">
        <f t="shared" si="82"/>
        <v>91.174183673469386</v>
      </c>
      <c r="AE120" s="18">
        <f t="shared" si="82"/>
        <v>69.201734693877555</v>
      </c>
      <c r="AF120" s="18"/>
      <c r="AG120" s="18"/>
      <c r="AH120" s="18"/>
      <c r="AI120" s="19">
        <f>+AI119*AI118</f>
        <v>58.045641399416922</v>
      </c>
      <c r="AJ120" s="6"/>
    </row>
    <row r="121" spans="1:36" x14ac:dyDescent="0.3">
      <c r="A121" s="2"/>
      <c r="B121" s="33"/>
      <c r="C121" s="34" t="s">
        <v>19</v>
      </c>
      <c r="D121" s="20">
        <v>3947.63</v>
      </c>
      <c r="E121" s="21">
        <v>6062.59</v>
      </c>
      <c r="F121" s="21">
        <v>6471.13</v>
      </c>
      <c r="G121" s="21">
        <v>5082.1000000000004</v>
      </c>
      <c r="H121" s="21">
        <v>5884.05</v>
      </c>
      <c r="I121" s="21">
        <v>5202.99</v>
      </c>
      <c r="J121" s="21">
        <v>3152.41</v>
      </c>
      <c r="K121" s="21">
        <v>4038.31</v>
      </c>
      <c r="L121" s="21">
        <v>3423.19</v>
      </c>
      <c r="M121" s="21">
        <v>5325.02</v>
      </c>
      <c r="N121" s="21">
        <v>3565.09</v>
      </c>
      <c r="O121" s="21">
        <v>4588.08</v>
      </c>
      <c r="P121" s="21">
        <v>6515.7</v>
      </c>
      <c r="Q121" s="21">
        <v>5593.53</v>
      </c>
      <c r="R121" s="21">
        <v>7466.6</v>
      </c>
      <c r="S121" s="21">
        <v>8760.89</v>
      </c>
      <c r="T121" s="21">
        <v>458.55</v>
      </c>
      <c r="U121" s="21">
        <v>285.8</v>
      </c>
      <c r="V121" s="21">
        <v>4565.47</v>
      </c>
      <c r="W121" s="21">
        <v>8007.43</v>
      </c>
      <c r="X121" s="21">
        <v>7484.61</v>
      </c>
      <c r="Y121" s="21">
        <v>7814.47</v>
      </c>
      <c r="Z121" s="21">
        <v>7858.23</v>
      </c>
      <c r="AA121" s="21">
        <v>6962.89</v>
      </c>
      <c r="AB121" s="21">
        <v>6531.22</v>
      </c>
      <c r="AC121" s="21">
        <v>8512.42</v>
      </c>
      <c r="AD121" s="21">
        <v>8935.07</v>
      </c>
      <c r="AE121" s="21">
        <v>6781.77</v>
      </c>
      <c r="AF121" s="21"/>
      <c r="AG121" s="21"/>
      <c r="AH121" s="21"/>
      <c r="AI121" s="39">
        <f>SUM(D121:AH121)</f>
        <v>159277.24000000002</v>
      </c>
      <c r="AJ121" s="6"/>
    </row>
    <row r="122" spans="1:36" ht="15" thickBot="1" x14ac:dyDescent="0.35">
      <c r="A122" s="23"/>
      <c r="B122" s="80"/>
      <c r="C122" s="81" t="s">
        <v>20</v>
      </c>
      <c r="D122" s="82">
        <f>1231.21/D121</f>
        <v>0.31188586569663318</v>
      </c>
      <c r="E122" s="83">
        <f>1197.59/E121</f>
        <v>0.1975376860384753</v>
      </c>
      <c r="F122" s="83">
        <f>895.15/F121</f>
        <v>0.13832978166100821</v>
      </c>
      <c r="G122" s="83">
        <f>1248.24/G121</f>
        <v>0.24561500167253691</v>
      </c>
      <c r="H122" s="83">
        <f>1249.61/H121</f>
        <v>0.21237243055378521</v>
      </c>
      <c r="I122" s="83">
        <f>536.76/I121</f>
        <v>0.10316375776236357</v>
      </c>
      <c r="J122" s="83">
        <f>521.14/J121</f>
        <v>0.16531479090600526</v>
      </c>
      <c r="K122" s="83">
        <f>1215.4/K121</f>
        <v>0.30096748392273009</v>
      </c>
      <c r="L122" s="83">
        <f>961.53/L121</f>
        <v>0.28088712575112684</v>
      </c>
      <c r="M122" s="83">
        <f>700.62/M121</f>
        <v>0.13157133682127015</v>
      </c>
      <c r="N122" s="83">
        <f>840.83/N121</f>
        <v>0.23585098833409535</v>
      </c>
      <c r="O122" s="83">
        <f>1373.22/O121</f>
        <v>0.29930166867186275</v>
      </c>
      <c r="P122" s="83">
        <f>364.12/P121</f>
        <v>5.5883481437144132E-2</v>
      </c>
      <c r="Q122" s="83">
        <f>843.74/Q121</f>
        <v>0.15084213367944752</v>
      </c>
      <c r="R122" s="83">
        <f>653.73/R121</f>
        <v>8.7553906731310097E-2</v>
      </c>
      <c r="S122" s="83">
        <f>IFERROR(720.34/S121,0)</f>
        <v>8.2222239977901804E-2</v>
      </c>
      <c r="T122" s="83">
        <f>1046.4/T121</f>
        <v>2.2819757932613673</v>
      </c>
      <c r="U122" s="83">
        <f>640.48/U121</f>
        <v>2.241007697690693</v>
      </c>
      <c r="V122" s="83">
        <f>1130.85/V121</f>
        <v>0.24769629413839098</v>
      </c>
      <c r="W122" s="83">
        <f>649.96/W121</f>
        <v>8.116961372125639E-2</v>
      </c>
      <c r="X122" s="83">
        <f>889.94/X121</f>
        <v>0.11890265491455133</v>
      </c>
      <c r="Y122" s="83">
        <f>1089.38/Y121</f>
        <v>0.13940548751226892</v>
      </c>
      <c r="Z122" s="83">
        <f>984.59/Z121</f>
        <v>0.12529411839561835</v>
      </c>
      <c r="AA122" s="83">
        <f>1006.27/AA121</f>
        <v>0.14451901437477829</v>
      </c>
      <c r="AB122" s="83">
        <f>1205.5/AB121</f>
        <v>0.18457501048808644</v>
      </c>
      <c r="AC122" s="83"/>
      <c r="AD122" s="83"/>
      <c r="AE122" s="83"/>
      <c r="AF122" s="83"/>
      <c r="AG122" s="83"/>
      <c r="AH122" s="91"/>
      <c r="AI122" s="84">
        <f>AVERAGE(D122:AG122)</f>
        <v>0.34255381456458822</v>
      </c>
      <c r="AJ122" s="6"/>
    </row>
    <row r="123" spans="1:36" ht="15.6" thickTop="1" thickBot="1" x14ac:dyDescent="0.35">
      <c r="A123" s="2"/>
      <c r="B123" s="2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85">
        <f>+AI121+AI109+AI103+AI97+AI91+AI85+AI79+AI73+AI67+AI62+AI53+AI45+AI39+AI33+AI27+AI20+AI14+AI115</f>
        <v>2730205.5959999999</v>
      </c>
    </row>
    <row r="124" spans="1:36" ht="15" thickTop="1" x14ac:dyDescent="0.3">
      <c r="A124" s="2"/>
      <c r="B124" s="2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86"/>
    </row>
    <row r="125" spans="1:36" ht="43.2" x14ac:dyDescent="0.3">
      <c r="A125" s="2"/>
      <c r="B125" s="2"/>
      <c r="C125" s="3"/>
      <c r="D125" s="3">
        <v>1</v>
      </c>
      <c r="E125" s="4">
        <v>2</v>
      </c>
      <c r="F125" s="4">
        <v>3</v>
      </c>
      <c r="G125" s="4">
        <v>4</v>
      </c>
      <c r="H125" s="4">
        <v>5</v>
      </c>
      <c r="I125" s="4">
        <v>6</v>
      </c>
      <c r="J125" s="4">
        <v>7</v>
      </c>
      <c r="K125" s="4">
        <v>8</v>
      </c>
      <c r="L125" s="4">
        <v>9</v>
      </c>
      <c r="M125" s="4">
        <v>10</v>
      </c>
      <c r="N125" s="4">
        <v>11</v>
      </c>
      <c r="O125" s="4">
        <v>12</v>
      </c>
      <c r="P125" s="4">
        <v>13</v>
      </c>
      <c r="Q125" s="4">
        <v>14</v>
      </c>
      <c r="R125" s="4">
        <v>15</v>
      </c>
      <c r="S125" s="4">
        <v>16</v>
      </c>
      <c r="T125" s="4">
        <v>17</v>
      </c>
      <c r="U125" s="4">
        <v>18</v>
      </c>
      <c r="V125" s="4">
        <v>19</v>
      </c>
      <c r="W125" s="4">
        <v>20</v>
      </c>
      <c r="X125" s="4">
        <v>21</v>
      </c>
      <c r="Y125" s="4">
        <v>22</v>
      </c>
      <c r="Z125" s="4">
        <v>23</v>
      </c>
      <c r="AA125" s="4">
        <v>24</v>
      </c>
      <c r="AB125" s="4">
        <v>25</v>
      </c>
      <c r="AC125" s="4">
        <v>26</v>
      </c>
      <c r="AD125" s="4">
        <v>27</v>
      </c>
      <c r="AE125" s="4">
        <v>28</v>
      </c>
      <c r="AF125" s="4">
        <v>29</v>
      </c>
      <c r="AG125" s="4">
        <v>30</v>
      </c>
      <c r="AH125" s="4">
        <v>31</v>
      </c>
      <c r="AI125" s="87" t="s">
        <v>47</v>
      </c>
      <c r="AJ125" s="87" t="s">
        <v>48</v>
      </c>
    </row>
    <row r="126" spans="1:36" x14ac:dyDescent="0.3">
      <c r="A126" s="2"/>
      <c r="B126" s="2" t="s">
        <v>60</v>
      </c>
      <c r="C126" s="3"/>
      <c r="D126" s="20">
        <f>D14+D20+D27+D33+D39+D45+D55+D62+D67+D73+D79+D91+D97+D103+D109+D121+D85</f>
        <v>73863.600000000006</v>
      </c>
      <c r="E126" s="20">
        <f t="shared" ref="E126:AH126" si="83">E14+E20+E27+E33+E39+E45+E55+E62+E67+E73+E79+E91+E97+E103+E109+E121+E85</f>
        <v>79060.419999999984</v>
      </c>
      <c r="F126" s="20">
        <f t="shared" si="83"/>
        <v>81003.360000000001</v>
      </c>
      <c r="G126" s="20">
        <f t="shared" si="83"/>
        <v>76954.900000000009</v>
      </c>
      <c r="H126" s="20">
        <f t="shared" si="83"/>
        <v>91299.05799999999</v>
      </c>
      <c r="I126" s="20">
        <f t="shared" si="83"/>
        <v>88235.790000000008</v>
      </c>
      <c r="J126" s="20">
        <f t="shared" si="83"/>
        <v>58618.97</v>
      </c>
      <c r="K126" s="20">
        <f t="shared" si="83"/>
        <v>71658.139999999985</v>
      </c>
      <c r="L126" s="20">
        <f t="shared" si="83"/>
        <v>78494.25</v>
      </c>
      <c r="M126" s="20">
        <f t="shared" si="83"/>
        <v>86823.1</v>
      </c>
      <c r="N126" s="20">
        <f t="shared" si="83"/>
        <v>84585.727999999988</v>
      </c>
      <c r="O126" s="20">
        <f t="shared" si="83"/>
        <v>79436.500000000015</v>
      </c>
      <c r="P126" s="20">
        <f t="shared" si="83"/>
        <v>107050.59999999999</v>
      </c>
      <c r="Q126" s="20">
        <f t="shared" si="83"/>
        <v>110143.86999999998</v>
      </c>
      <c r="R126" s="20">
        <f t="shared" si="83"/>
        <v>122240.58</v>
      </c>
      <c r="S126" s="20">
        <f t="shared" si="83"/>
        <v>121024.60999999999</v>
      </c>
      <c r="T126" s="20">
        <f t="shared" si="83"/>
        <v>116009.29</v>
      </c>
      <c r="U126" s="20">
        <f t="shared" si="83"/>
        <v>109786.48000000001</v>
      </c>
      <c r="V126" s="20">
        <f>V14+V20+V27+V33+V39+V45+V55+V62+V67+V73+V79+V91+V97+V103+V109+V121+V85</f>
        <v>112968.72</v>
      </c>
      <c r="W126" s="20">
        <f>V14+W20+W27+W33+W39+W45+W55+W62+W67+W73+W79+W91+W97+W103+W109+W121+W85</f>
        <v>112812.02</v>
      </c>
      <c r="X126" s="20">
        <f>W14+X20+X27+X33+X39+X45+X55+X62+X67+X73+X79+X91+X97+X103+X109+X121+X85</f>
        <v>88597.29</v>
      </c>
      <c r="Y126" s="20">
        <f>X14+Y20+Y27+Y33+Y39+Y45+Y55+Y62+Y67+Y73+Y79+Y91+Y97+Y103+Y109+Y121+Y85</f>
        <v>111025.8</v>
      </c>
      <c r="Z126" s="20">
        <f>Y14+Z20+Z27+Z33+Z39+Z45+Z55+Z62+Z67+Z73+Z79+Z91+Z97+Z103+Z109+Z121+Z85+Z115</f>
        <v>132492.99</v>
      </c>
      <c r="AA126" s="20">
        <f>AA14+AA20+AA27+AA33+AA39+AA45+AA55+AA62+AA67+AA73+AA79+AA91+AA97+AA103+AA109+AA121+AA85+AA115</f>
        <v>121294.78</v>
      </c>
      <c r="AB126" s="20">
        <f>AB14+AB20+AB27+AB33+AB39+AB45+AB55+AB62+AB67+AB73+AB79+AB91+AB97+AB103+AB109+AB121+AB85+AB115</f>
        <v>144013.08000000002</v>
      </c>
      <c r="AC126" s="20">
        <f>AC14+AC20+AC27+AC33+AC39+AC45+AC55+AC62+AC67+AC73+AC79+AC91+AC97+AC103+AC109+AC121+AC85+AC115</f>
        <v>131690.88999999998</v>
      </c>
      <c r="AD126" s="20">
        <f>AD14+AD20+AD27+AD33+AD39+AD45+AD55+AD62+AD67+AD73+AD79+AD91+AD97+AD103+AD109+AD121+AD85+AD115</f>
        <v>122800.08999999998</v>
      </c>
      <c r="AE126" s="20">
        <f>AE14+AE20+AE27+AE33+AE39+AE45+AE55+AE62+AE67+AE73+AE79+AE91+AE97+AE103+AE109+AE121+AE85+AE115</f>
        <v>100021.31000000001</v>
      </c>
      <c r="AF126" s="94">
        <f t="shared" si="83"/>
        <v>0</v>
      </c>
      <c r="AG126" s="94">
        <f t="shared" si="83"/>
        <v>0</v>
      </c>
      <c r="AH126" s="94">
        <f t="shared" si="83"/>
        <v>0</v>
      </c>
      <c r="AI126" s="93">
        <f>AVERAGE(D126:AD126)</f>
        <v>100517.95948148146</v>
      </c>
      <c r="AJ126" s="119">
        <f>+AI126/AI127-1</f>
        <v>0.28268101132613266</v>
      </c>
    </row>
    <row r="127" spans="1:36" x14ac:dyDescent="0.3">
      <c r="B127" s="2" t="s">
        <v>61</v>
      </c>
      <c r="C127" s="3"/>
      <c r="D127" s="20">
        <v>82854.86</v>
      </c>
      <c r="E127" s="20">
        <v>80638.539999999994</v>
      </c>
      <c r="F127" s="20">
        <v>60554.259999999995</v>
      </c>
      <c r="G127" s="20">
        <v>64807.009999999995</v>
      </c>
      <c r="H127" s="20">
        <v>76514.759999999995</v>
      </c>
      <c r="I127" s="20">
        <v>83320.000000000015</v>
      </c>
      <c r="J127" s="20">
        <v>71398.990000000005</v>
      </c>
      <c r="K127" s="20">
        <v>79576.290000000008</v>
      </c>
      <c r="L127" s="20">
        <v>79602.19</v>
      </c>
      <c r="M127" s="20">
        <v>62180.97</v>
      </c>
      <c r="N127" s="20">
        <v>72936.51999999999</v>
      </c>
      <c r="O127" s="20">
        <v>77463.539999999994</v>
      </c>
      <c r="P127" s="20">
        <v>82155.279999999984</v>
      </c>
      <c r="Q127" s="20">
        <v>87161.51999999999</v>
      </c>
      <c r="R127" s="20">
        <v>100886.34999999999</v>
      </c>
      <c r="S127" s="20">
        <v>107066.53999999998</v>
      </c>
      <c r="T127" s="20">
        <v>74252.77</v>
      </c>
      <c r="U127" s="20">
        <v>74107.56</v>
      </c>
      <c r="V127" s="20">
        <v>83657.62</v>
      </c>
      <c r="W127" s="20">
        <v>75423.94</v>
      </c>
      <c r="X127" s="20">
        <v>70802.810000000012</v>
      </c>
      <c r="Y127" s="20">
        <v>77494.189999999988</v>
      </c>
      <c r="Z127" s="20">
        <v>84626.680000000008</v>
      </c>
      <c r="AA127" s="20">
        <v>65300.72</v>
      </c>
      <c r="AB127" s="20">
        <v>77262.150000000009</v>
      </c>
      <c r="AC127" s="20">
        <v>78740.91</v>
      </c>
      <c r="AD127" s="20">
        <v>81055.740000000005</v>
      </c>
      <c r="AE127" s="20">
        <v>80039.549999999988</v>
      </c>
      <c r="AF127" s="95">
        <v>84612.52</v>
      </c>
      <c r="AG127" s="95">
        <v>87320.98</v>
      </c>
      <c r="AH127" s="95">
        <v>65515.239999999991</v>
      </c>
      <c r="AI127" s="93">
        <f>AVERAGE(D127:AH127)</f>
        <v>78365.516129032258</v>
      </c>
      <c r="AJ127" s="119">
        <f t="shared" ref="AJ127:AJ134" si="84">+AI127/AI128-1</f>
        <v>0.15847839426499988</v>
      </c>
    </row>
    <row r="128" spans="1:36" x14ac:dyDescent="0.3">
      <c r="B128" s="2" t="s">
        <v>51</v>
      </c>
      <c r="C128" s="3"/>
      <c r="D128" s="20">
        <v>67602.77</v>
      </c>
      <c r="E128" s="20">
        <v>66458.939999999988</v>
      </c>
      <c r="F128" s="20">
        <v>83823.130000000019</v>
      </c>
      <c r="G128" s="20">
        <v>97534.23000000001</v>
      </c>
      <c r="H128" s="20">
        <v>93973.470000000016</v>
      </c>
      <c r="I128" s="20">
        <v>60633.320000000007</v>
      </c>
      <c r="J128" s="20">
        <v>71392.59</v>
      </c>
      <c r="K128" s="20">
        <v>74964.61</v>
      </c>
      <c r="L128" s="20">
        <v>77754.549999999988</v>
      </c>
      <c r="M128" s="20">
        <v>72153.59</v>
      </c>
      <c r="N128" s="20">
        <v>97852.160000000003</v>
      </c>
      <c r="O128" s="20">
        <v>96924.62</v>
      </c>
      <c r="P128" s="20">
        <v>57639.839999999997</v>
      </c>
      <c r="Q128" s="20">
        <v>66461.450000000012</v>
      </c>
      <c r="R128" s="20">
        <v>63997.119999999995</v>
      </c>
      <c r="S128" s="20">
        <v>66648.78</v>
      </c>
      <c r="T128" s="20">
        <v>67478.63</v>
      </c>
      <c r="U128" s="20">
        <v>74443.569999999992</v>
      </c>
      <c r="V128" s="20">
        <v>78196.569999999992</v>
      </c>
      <c r="W128" s="20">
        <v>55414.229999999996</v>
      </c>
      <c r="X128" s="20">
        <v>55682.65</v>
      </c>
      <c r="Y128" s="20">
        <v>49132.170000000006</v>
      </c>
      <c r="Z128" s="20">
        <v>45279.17</v>
      </c>
      <c r="AA128" s="20">
        <v>43029.96</v>
      </c>
      <c r="AB128" s="20">
        <v>52906.930000000008</v>
      </c>
      <c r="AC128" s="20">
        <v>59619.35</v>
      </c>
      <c r="AD128" s="20">
        <v>49546.95</v>
      </c>
      <c r="AE128" s="20">
        <v>55525.320000000007</v>
      </c>
      <c r="AF128" s="20">
        <v>56721.73</v>
      </c>
      <c r="AG128" s="20">
        <v>60370.54</v>
      </c>
      <c r="AH128" s="20">
        <v>77838.62000000001</v>
      </c>
      <c r="AI128" s="93">
        <v>67645.211612903237</v>
      </c>
      <c r="AJ128" s="119">
        <f t="shared" si="84"/>
        <v>-0.12070281664214377</v>
      </c>
    </row>
    <row r="129" spans="2:36" x14ac:dyDescent="0.3">
      <c r="B129" s="2" t="s">
        <v>52</v>
      </c>
      <c r="C129" s="3"/>
      <c r="D129" s="20">
        <v>70065</v>
      </c>
      <c r="E129" s="20">
        <v>66144.81</v>
      </c>
      <c r="F129" s="20">
        <v>75735.520000000019</v>
      </c>
      <c r="G129" s="20">
        <v>86485.090000000011</v>
      </c>
      <c r="H129" s="20">
        <v>83527.02</v>
      </c>
      <c r="I129" s="20">
        <v>96226.680000000008</v>
      </c>
      <c r="J129" s="20">
        <v>112884.18999999997</v>
      </c>
      <c r="K129" s="20">
        <v>66614.469999999987</v>
      </c>
      <c r="L129" s="20">
        <v>79859.41</v>
      </c>
      <c r="M129" s="20">
        <v>85053.95</v>
      </c>
      <c r="N129" s="20">
        <v>89977.71</v>
      </c>
      <c r="O129" s="20">
        <v>86370.739999999991</v>
      </c>
      <c r="P129" s="20">
        <v>109352.45999999999</v>
      </c>
      <c r="Q129" s="20">
        <v>106708.48999999999</v>
      </c>
      <c r="R129" s="20">
        <v>61864.179999999993</v>
      </c>
      <c r="S129" s="20">
        <v>72865.290000000008</v>
      </c>
      <c r="T129" s="20">
        <v>74909.69</v>
      </c>
      <c r="U129" s="20">
        <v>77430.179999999993</v>
      </c>
      <c r="V129" s="20">
        <v>78790.110000000015</v>
      </c>
      <c r="W129" s="20">
        <v>96551.599999999991</v>
      </c>
      <c r="X129" s="20">
        <v>90910.9</v>
      </c>
      <c r="Y129" s="20">
        <v>53908.470000000008</v>
      </c>
      <c r="Z129" s="20">
        <v>55233.39</v>
      </c>
      <c r="AA129" s="20">
        <v>56637.599999999999</v>
      </c>
      <c r="AB129" s="20">
        <v>54914.99</v>
      </c>
      <c r="AC129" s="20">
        <v>61969.72</v>
      </c>
      <c r="AD129" s="20">
        <v>74137.399999999994</v>
      </c>
      <c r="AE129" s="20">
        <v>72565.25</v>
      </c>
      <c r="AF129" s="20">
        <v>48777.47</v>
      </c>
      <c r="AG129" s="20">
        <v>61456.729999999996</v>
      </c>
      <c r="AH129" s="20"/>
      <c r="AI129" s="93">
        <v>76931</v>
      </c>
      <c r="AJ129" s="119">
        <f t="shared" si="84"/>
        <v>-0.15140564912971455</v>
      </c>
    </row>
    <row r="130" spans="2:36" x14ac:dyDescent="0.3">
      <c r="B130" s="2" t="s">
        <v>62</v>
      </c>
      <c r="C130" s="3"/>
      <c r="D130" s="20">
        <v>90900.959999999977</v>
      </c>
      <c r="E130" s="20">
        <v>110402.01</v>
      </c>
      <c r="F130" s="20">
        <v>105326.36999999998</v>
      </c>
      <c r="G130" s="20">
        <v>66581.670000000013</v>
      </c>
      <c r="H130" s="20">
        <v>74482.51999999999</v>
      </c>
      <c r="I130" s="20">
        <v>77418.439999999988</v>
      </c>
      <c r="J130" s="20">
        <v>79867.890000000014</v>
      </c>
      <c r="K130" s="20">
        <v>93534.050000000017</v>
      </c>
      <c r="L130" s="20">
        <v>130042.68000000001</v>
      </c>
      <c r="M130" s="20">
        <v>140749.15999999997</v>
      </c>
      <c r="N130" s="20">
        <v>73838.139999999985</v>
      </c>
      <c r="O130" s="20">
        <v>74852.73</v>
      </c>
      <c r="P130" s="20">
        <v>77689.62999999999</v>
      </c>
      <c r="Q130" s="20">
        <v>82940.800000000003</v>
      </c>
      <c r="R130" s="20">
        <v>91217.34</v>
      </c>
      <c r="S130" s="20">
        <v>120190.80000000002</v>
      </c>
      <c r="T130" s="20">
        <v>120174.86</v>
      </c>
      <c r="U130" s="20">
        <v>68984.239999999991</v>
      </c>
      <c r="V130" s="20">
        <v>78411.680000000008</v>
      </c>
      <c r="W130" s="20">
        <v>83139.08</v>
      </c>
      <c r="X130" s="20">
        <v>81866.12000000001</v>
      </c>
      <c r="Y130" s="20">
        <v>85785.35</v>
      </c>
      <c r="Z130" s="20">
        <v>117856.4</v>
      </c>
      <c r="AA130" s="20">
        <v>127161.93999999999</v>
      </c>
      <c r="AB130" s="20">
        <v>68498.410000000018</v>
      </c>
      <c r="AC130" s="20">
        <v>76958.27</v>
      </c>
      <c r="AD130" s="20">
        <v>80332.850000000006</v>
      </c>
      <c r="AE130" s="20">
        <v>80516.19</v>
      </c>
      <c r="AF130" s="20">
        <v>70980.319999999992</v>
      </c>
      <c r="AG130" s="20">
        <v>83606.89</v>
      </c>
      <c r="AH130" s="20">
        <v>96058.549999999988</v>
      </c>
      <c r="AI130" s="93">
        <v>90656.978709677423</v>
      </c>
      <c r="AJ130" s="119">
        <f t="shared" si="84"/>
        <v>4.1842966451314689E-2</v>
      </c>
    </row>
    <row r="131" spans="2:36" x14ac:dyDescent="0.3">
      <c r="B131" s="2" t="s">
        <v>54</v>
      </c>
      <c r="C131" s="3"/>
      <c r="D131" s="20">
        <v>84754.189999999988</v>
      </c>
      <c r="E131" s="20">
        <v>77509.83</v>
      </c>
      <c r="F131" s="20">
        <v>86097.87000000001</v>
      </c>
      <c r="G131" s="20">
        <v>114711.41999999998</v>
      </c>
      <c r="H131" s="20">
        <v>144350.47</v>
      </c>
      <c r="I131" s="20">
        <v>103110.33000000002</v>
      </c>
      <c r="J131" s="20">
        <v>63647.21</v>
      </c>
      <c r="K131" s="20">
        <v>76126.25</v>
      </c>
      <c r="L131" s="20">
        <v>82670.789999999979</v>
      </c>
      <c r="M131" s="20">
        <v>80723.710000000006</v>
      </c>
      <c r="N131" s="20">
        <v>91710.989999999991</v>
      </c>
      <c r="O131" s="20">
        <v>97999.8</v>
      </c>
      <c r="P131" s="20">
        <v>73673.760000000009</v>
      </c>
      <c r="Q131" s="20">
        <v>81090.11</v>
      </c>
      <c r="R131" s="20">
        <v>95424.680000000008</v>
      </c>
      <c r="S131" s="20">
        <v>88123.109999999986</v>
      </c>
      <c r="T131" s="20">
        <v>86107.98000000001</v>
      </c>
      <c r="U131" s="20">
        <v>94430.400000000009</v>
      </c>
      <c r="V131" s="20">
        <v>108674.07999999999</v>
      </c>
      <c r="W131" s="20">
        <v>63410.119999999995</v>
      </c>
      <c r="X131" s="20">
        <v>71808.240000000005</v>
      </c>
      <c r="Y131" s="20">
        <v>72142.2</v>
      </c>
      <c r="Z131" s="20">
        <v>82430.219999999987</v>
      </c>
      <c r="AA131" s="20">
        <v>78378.259999999995</v>
      </c>
      <c r="AB131" s="20">
        <v>98445.599999999977</v>
      </c>
      <c r="AC131" s="20">
        <v>111067.27900000001</v>
      </c>
      <c r="AD131" s="20">
        <v>65574.12000000001</v>
      </c>
      <c r="AE131" s="20">
        <v>68571.259999999995</v>
      </c>
      <c r="AF131" s="20">
        <v>77694.38</v>
      </c>
      <c r="AG131" s="20">
        <v>90020.51</v>
      </c>
      <c r="AH131" s="20"/>
      <c r="AI131" s="93">
        <v>87015.972299999994</v>
      </c>
      <c r="AJ131" s="119">
        <f t="shared" si="84"/>
        <v>-5.286343324641285E-3</v>
      </c>
    </row>
    <row r="132" spans="2:36" x14ac:dyDescent="0.3">
      <c r="B132" s="2" t="s">
        <v>55</v>
      </c>
      <c r="C132" s="3"/>
      <c r="D132" s="20">
        <v>100183.41</v>
      </c>
      <c r="E132" s="20">
        <v>64601.049999999996</v>
      </c>
      <c r="F132" s="20">
        <v>68269.820000000007</v>
      </c>
      <c r="G132" s="20">
        <v>72258.659999999989</v>
      </c>
      <c r="H132" s="20">
        <v>72333.430000000008</v>
      </c>
      <c r="I132" s="20">
        <v>87807.180000000008</v>
      </c>
      <c r="J132" s="20">
        <v>108556.6</v>
      </c>
      <c r="K132" s="20">
        <v>115466.53999999998</v>
      </c>
      <c r="L132" s="20">
        <v>66024.539999999994</v>
      </c>
      <c r="M132" s="20">
        <v>67539.360000000001</v>
      </c>
      <c r="N132" s="20">
        <v>74683.11</v>
      </c>
      <c r="O132" s="20">
        <v>70834.399999999994</v>
      </c>
      <c r="P132" s="20">
        <v>77578</v>
      </c>
      <c r="Q132" s="20">
        <v>95943.329999999987</v>
      </c>
      <c r="R132" s="20">
        <v>104559.17000000001</v>
      </c>
      <c r="S132" s="20">
        <v>77145.600000000006</v>
      </c>
      <c r="T132" s="20">
        <v>83957.91</v>
      </c>
      <c r="U132" s="20">
        <v>88179.42</v>
      </c>
      <c r="V132" s="20">
        <v>90305.080000000016</v>
      </c>
      <c r="W132" s="20">
        <v>90852.430000000022</v>
      </c>
      <c r="X132" s="20">
        <v>94160.400000000009</v>
      </c>
      <c r="Y132" s="20">
        <v>100448.5</v>
      </c>
      <c r="Z132" s="20">
        <v>58556.94</v>
      </c>
      <c r="AA132" s="20">
        <v>74305.420000000013</v>
      </c>
      <c r="AB132" s="20">
        <v>110828.91999999998</v>
      </c>
      <c r="AC132" s="20">
        <v>131833.35</v>
      </c>
      <c r="AD132" s="20">
        <v>108369.62000000001</v>
      </c>
      <c r="AE132" s="20">
        <v>100972.90000000002</v>
      </c>
      <c r="AF132" s="20">
        <v>102375.05999999997</v>
      </c>
      <c r="AG132" s="20">
        <v>73325.179999999993</v>
      </c>
      <c r="AH132" s="20">
        <v>79575.48000000001</v>
      </c>
      <c r="AI132" s="93">
        <v>87478.413225806449</v>
      </c>
      <c r="AJ132" s="119">
        <f t="shared" si="84"/>
        <v>0.15589313615477463</v>
      </c>
    </row>
    <row r="133" spans="2:36" x14ac:dyDescent="0.3">
      <c r="B133" s="2" t="s">
        <v>56</v>
      </c>
      <c r="C133" s="3"/>
      <c r="D133" s="20">
        <v>73444.495945945935</v>
      </c>
      <c r="E133" s="20">
        <v>70000.913513513515</v>
      </c>
      <c r="F133" s="20">
        <v>82405.333783783775</v>
      </c>
      <c r="G133" s="20">
        <v>81409.199189189181</v>
      </c>
      <c r="H133" s="20">
        <v>56865.548378378378</v>
      </c>
      <c r="I133" s="20">
        <v>62159.099054054052</v>
      </c>
      <c r="J133" s="20">
        <v>68168.310270270274</v>
      </c>
      <c r="K133" s="20">
        <v>72491.048378378386</v>
      </c>
      <c r="L133" s="20">
        <v>79462.536621621635</v>
      </c>
      <c r="M133" s="20">
        <v>82286.569999999992</v>
      </c>
      <c r="N133" s="20">
        <v>87756.881891891884</v>
      </c>
      <c r="O133" s="20">
        <v>60813.235405405416</v>
      </c>
      <c r="P133" s="20">
        <v>67185.838918918933</v>
      </c>
      <c r="Q133" s="20">
        <v>71968.58</v>
      </c>
      <c r="R133" s="20">
        <v>77449.497972972982</v>
      </c>
      <c r="S133" s="20">
        <v>77877.45608108108</v>
      </c>
      <c r="T133" s="20">
        <v>92299.417837837827</v>
      </c>
      <c r="U133" s="20">
        <v>95235.570540540561</v>
      </c>
      <c r="V133" s="20">
        <v>66435.505135135143</v>
      </c>
      <c r="W133" s="20">
        <v>71817.671216216215</v>
      </c>
      <c r="X133" s="20">
        <v>77909.038648648653</v>
      </c>
      <c r="Y133" s="20">
        <v>76039.610000000015</v>
      </c>
      <c r="Z133" s="20">
        <v>83017.246891891889</v>
      </c>
      <c r="AA133" s="20">
        <v>97788.939054054033</v>
      </c>
      <c r="AB133" s="20">
        <v>100716.69608108109</v>
      </c>
      <c r="AC133" s="20">
        <v>60620.706621621626</v>
      </c>
      <c r="AD133" s="20">
        <v>65791.327972972969</v>
      </c>
      <c r="AE133" s="20">
        <v>67384.328513513508</v>
      </c>
      <c r="AF133" s="20">
        <v>68441.759459459456</v>
      </c>
      <c r="AG133" s="20">
        <v>70813.988918918913</v>
      </c>
      <c r="AH133" s="20">
        <v>80034.929999999993</v>
      </c>
      <c r="AI133" s="93">
        <v>75680.363945074118</v>
      </c>
      <c r="AJ133" s="119">
        <f t="shared" si="84"/>
        <v>0.17129975883137716</v>
      </c>
    </row>
    <row r="134" spans="2:36" x14ac:dyDescent="0.3">
      <c r="B134" s="2" t="s">
        <v>57</v>
      </c>
      <c r="C134" s="3"/>
      <c r="D134" s="20">
        <v>33656.116941360997</v>
      </c>
      <c r="E134" s="20">
        <v>59686.468693291514</v>
      </c>
      <c r="F134" s="20">
        <v>58711.559712837836</v>
      </c>
      <c r="G134" s="20">
        <v>58839.028445945951</v>
      </c>
      <c r="H134" s="20">
        <v>60982.806381515446</v>
      </c>
      <c r="I134" s="20">
        <v>61858.128717422784</v>
      </c>
      <c r="J134" s="20">
        <v>51575.66097852317</v>
      </c>
      <c r="K134" s="20">
        <v>56701.234278474905</v>
      </c>
      <c r="L134" s="20">
        <v>57605.917512065636</v>
      </c>
      <c r="M134" s="20">
        <v>61577.438005550182</v>
      </c>
      <c r="N134" s="20">
        <v>58640.260154440148</v>
      </c>
      <c r="O134" s="20">
        <v>68436.549682673736</v>
      </c>
      <c r="P134" s="20">
        <v>73227.321708494215</v>
      </c>
      <c r="Q134" s="20">
        <v>51023.233935810807</v>
      </c>
      <c r="R134" s="20">
        <v>64623.597294884159</v>
      </c>
      <c r="S134" s="20">
        <v>67981.496738658287</v>
      </c>
      <c r="T134" s="20">
        <v>67756.304453426652</v>
      </c>
      <c r="U134" s="20">
        <v>68129.117726833982</v>
      </c>
      <c r="V134" s="20">
        <v>82579.69435328187</v>
      </c>
      <c r="W134" s="20">
        <v>86104.767290057935</v>
      </c>
      <c r="X134" s="20">
        <v>54908.009784025096</v>
      </c>
      <c r="Y134" s="20">
        <v>64694.263143098447</v>
      </c>
      <c r="Z134" s="20">
        <v>68642.409522200775</v>
      </c>
      <c r="AA134" s="20">
        <v>76101.53125241313</v>
      </c>
      <c r="AB134" s="20">
        <v>72255.067227316613</v>
      </c>
      <c r="AC134" s="20">
        <v>87091.800108590745</v>
      </c>
      <c r="AD134" s="20">
        <v>88778.279335183397</v>
      </c>
      <c r="AE134" s="20">
        <v>58176.199035955593</v>
      </c>
      <c r="AF134" s="20">
        <v>63073.101497345568</v>
      </c>
      <c r="AG134" s="20">
        <v>54951.444955357139</v>
      </c>
      <c r="AH134" s="20"/>
      <c r="AI134" s="93">
        <v>64612.293628901214</v>
      </c>
      <c r="AJ134" s="119">
        <f t="shared" si="84"/>
        <v>0.39263580344961979</v>
      </c>
    </row>
    <row r="135" spans="2:36" x14ac:dyDescent="0.3">
      <c r="B135" s="2" t="s">
        <v>49</v>
      </c>
      <c r="C135" s="3"/>
      <c r="D135" s="20">
        <v>38972.550000000003</v>
      </c>
      <c r="E135" s="20">
        <v>39174.61</v>
      </c>
      <c r="F135" s="20">
        <v>34707.620000000003</v>
      </c>
      <c r="G135" s="20">
        <v>40887.170000000006</v>
      </c>
      <c r="H135" s="20">
        <v>44251.140000000007</v>
      </c>
      <c r="I135" s="20">
        <v>46034.819999999992</v>
      </c>
      <c r="J135" s="20">
        <v>39862.78</v>
      </c>
      <c r="K135" s="20">
        <v>41413.649999999994</v>
      </c>
      <c r="L135" s="20">
        <v>42345.120000000003</v>
      </c>
      <c r="M135" s="20">
        <v>33456.019999999997</v>
      </c>
      <c r="N135" s="20">
        <v>43313.859999999993</v>
      </c>
      <c r="O135" s="20">
        <v>43531.740000000005</v>
      </c>
      <c r="P135" s="20">
        <v>51145.510000000009</v>
      </c>
      <c r="Q135" s="20">
        <v>50218.990000000005</v>
      </c>
      <c r="R135" s="20">
        <v>46705.89</v>
      </c>
      <c r="S135" s="20">
        <v>47389.38</v>
      </c>
      <c r="T135" s="20">
        <v>38041.599999999999</v>
      </c>
      <c r="U135" s="20">
        <v>45036.49</v>
      </c>
      <c r="V135" s="20">
        <v>57478.16</v>
      </c>
      <c r="W135" s="20">
        <v>49952.299999999996</v>
      </c>
      <c r="X135" s="20">
        <v>46827.219999999994</v>
      </c>
      <c r="Y135" s="20">
        <v>53260.289999999994</v>
      </c>
      <c r="Z135" s="20">
        <v>59358.32</v>
      </c>
      <c r="AA135" s="20">
        <v>48776.539999999994</v>
      </c>
      <c r="AB135" s="20">
        <v>36573.770000000004</v>
      </c>
      <c r="AC135" s="20">
        <v>44737.770000000004</v>
      </c>
      <c r="AD135" s="20">
        <v>47850.439999999995</v>
      </c>
      <c r="AE135" s="20">
        <v>53364.35</v>
      </c>
      <c r="AF135" s="20">
        <v>57628.400000000009</v>
      </c>
      <c r="AG135" s="20">
        <v>63124.35</v>
      </c>
      <c r="AH135" s="20">
        <v>52845.420000000006</v>
      </c>
      <c r="AI135" s="93">
        <v>46395.686129032256</v>
      </c>
      <c r="AJ135" s="23"/>
    </row>
    <row r="136" spans="2:36" x14ac:dyDescent="0.3">
      <c r="AJ136" s="96"/>
    </row>
    <row r="137" spans="2:36" x14ac:dyDescent="0.3">
      <c r="AJ137" s="96"/>
    </row>
    <row r="138" spans="2:36" x14ac:dyDescent="0.3">
      <c r="AJ138" s="96"/>
    </row>
    <row r="139" spans="2:36" x14ac:dyDescent="0.3">
      <c r="AJ139" s="96"/>
    </row>
  </sheetData>
  <mergeCells count="4">
    <mergeCell ref="B22:C22"/>
    <mergeCell ref="B47:C47"/>
    <mergeCell ref="B48:C48"/>
    <mergeCell ref="B57:C57"/>
  </mergeCells>
  <phoneticPr fontId="8" type="noConversion"/>
  <conditionalFormatting sqref="AA14:AB14 D14:Y14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B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B2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AB2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B2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AB3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B3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AB3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B3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AB45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B4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AB5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B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AH6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AH6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AH7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9:AH7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AH9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:AH9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AB10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B10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AD10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D2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D14 D14:Y14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D2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D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D3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D4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D5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:Y62 AA62:AC62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2:Y62 AA62:AC6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H14 D14:Y14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0:AH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H2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H3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9:AH3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H4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H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7:AH6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9:AH7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1:AH9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H10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Y62 AA62:AH6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5:AH5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5:AH4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9:AH39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:AH6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3">
      <colorScale>
        <cfvo type="min"/>
        <cfvo type="max"/>
        <color rgb="FFF8696B"/>
        <color rgb="FFFCFCFF"/>
      </colorScale>
    </cfRule>
  </conditionalFormatting>
  <conditionalFormatting sqref="D79:AH7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1:AH9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AH27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:AH4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H3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H5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H10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H2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AH3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2:AH6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H12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H12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H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AH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3:AH7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3:AH7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H7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AH7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D85:AH8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5:AH8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:AG8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AH8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AH9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7:AH9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7:AH9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AH9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AH10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3:AH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3:AH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AH10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AB1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AB1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:AD1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21:AH1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:AH12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5:AE1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3:AB1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3:AB1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Y12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Y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Y1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Y1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Y1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X1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X1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X1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X1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9:X1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32:AH1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AH13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2:AH1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H1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:AG13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4:AG1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AH135 D126:AE13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8:AH135 D126:AE1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AH1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0:AH1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9:AG12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9:AG1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:AE1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AE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AE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5:AE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9:AE1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1:AE1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6:AE1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Feburary!Z115:AE115</xm:f>
              <xm:sqref>B115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Feburary!D91:AG91</xm:f>
              <xm:sqref>B91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Feburary!D14:AG14</xm:f>
              <xm:sqref>B14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Feburary!D20:AG20</xm:f>
              <xm:sqref>B20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Feburary!D27:AG27</xm:f>
              <xm:sqref>B27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Feburary!D33:AG33</xm:f>
              <xm:sqref>B33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Feburary!D39:AG39</xm:f>
              <xm:sqref>B39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Feburary!D45:AG45</xm:f>
              <xm:sqref>B45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Feburary!D55:AG55</xm:f>
              <xm:sqref>B55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Feburary!D62:AG62</xm:f>
              <xm:sqref>B62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Feburary!D67:AG67</xm:f>
              <xm:sqref>B67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Feburary!D72:AG72</xm:f>
              <xm:sqref>B72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Feburary!D79:AG79</xm:f>
              <xm:sqref>B79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Feburary!D85:AG85</xm:f>
              <xm:sqref>B85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Feburary!D97:AG97</xm:f>
              <xm:sqref>B97</xm:sqref>
            </x14:sparkline>
          </x14:sparklines>
        </x14:sparklineGroup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Feburary!D103:AG103</xm:f>
              <xm:sqref>B103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Feburary!D109:AG109</xm:f>
              <xm:sqref>B109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Feburary!D121:AG121</xm:f>
              <xm:sqref>B121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Feburary!D130:AH130</xm:f>
              <xm:sqref>C130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Feburary!D131:AG131</xm:f>
              <xm:sqref>C131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Feburary!D135:AH135</xm:f>
              <xm:sqref>C135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Feburary!D134:AH134</xm:f>
              <xm:sqref>C134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Feburary!D133:AH133</xm:f>
              <xm:sqref>C133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Feburary!D132:AH132</xm:f>
              <xm:sqref>C132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Feburary!D129:AH129</xm:f>
              <xm:sqref>C129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Feburary!D128:AH128</xm:f>
              <xm:sqref>C128</xm:sqref>
            </x14:sparkline>
            <x14:sparkline>
              <xm:f>Feburary!D127:AH127</xm:f>
              <xm:sqref>C127</xm:sqref>
            </x14:sparkline>
            <x14:sparkline>
              <xm:f>Feburary!D126:AH126</xm:f>
              <xm:sqref>C126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May-2022</vt:lpstr>
      <vt:lpstr>July-2022</vt:lpstr>
      <vt:lpstr>Aug-2022</vt:lpstr>
      <vt:lpstr>August-2022</vt:lpstr>
      <vt:lpstr>October Actual v Budget</vt:lpstr>
      <vt:lpstr>May</vt:lpstr>
      <vt:lpstr>April</vt:lpstr>
      <vt:lpstr>March</vt:lpstr>
      <vt:lpstr>Feburary</vt:lpstr>
      <vt:lpstr>Janurary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 Zhang</dc:creator>
  <cp:keywords/>
  <dc:description/>
  <cp:lastModifiedBy>tvbvarma@gmail.com</cp:lastModifiedBy>
  <cp:revision/>
  <dcterms:created xsi:type="dcterms:W3CDTF">2021-01-04T21:23:40Z</dcterms:created>
  <dcterms:modified xsi:type="dcterms:W3CDTF">2022-08-22T14:17:38Z</dcterms:modified>
  <cp:category/>
  <cp:contentStatus/>
</cp:coreProperties>
</file>