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05" windowWidth="20730" windowHeight="11760"/>
  </bookViews>
  <sheets>
    <sheet name="Прод Маркс 28.11.24 общая" sheetId="8" r:id="rId1"/>
    <sheet name="УиД Маркс 28.11.24" sheetId="7" r:id="rId2"/>
  </sheets>
  <definedNames>
    <definedName name="_xlnm._FilterDatabase" localSheetId="0" hidden="1">'Прод Маркс 28.11.24 общая'!$A$8:$AN$178</definedName>
    <definedName name="_xlnm._FilterDatabase" localSheetId="1" hidden="1">'УиД Маркс 28.11.24'!$A$7:$U$283</definedName>
    <definedName name="_xlnm.Print_Titles" localSheetId="1">'УиД Маркс 28.11.24'!$5:$7</definedName>
    <definedName name="_xlnm.Print_Area" localSheetId="0">'Прод Маркс 28.11.24 общая'!$A$5:$O$178</definedName>
    <definedName name="_xlnm.Print_Area" localSheetId="1">'УиД Маркс 28.11.24'!$A$1:$U$283</definedName>
  </definedNames>
  <calcPr calcId="125725"/>
</workbook>
</file>

<file path=xl/calcChain.xml><?xml version="1.0" encoding="utf-8"?>
<calcChain xmlns="http://schemas.openxmlformats.org/spreadsheetml/2006/main">
  <c r="P178" i="8"/>
  <c r="AI177"/>
  <c r="AH177"/>
  <c r="AC177"/>
  <c r="X177"/>
  <c r="U177"/>
  <c r="T177"/>
  <c r="R177"/>
  <c r="AG176"/>
  <c r="AF176"/>
  <c r="AE176"/>
  <c r="AC176"/>
  <c r="V176"/>
  <c r="S176"/>
  <c r="R176"/>
  <c r="O176"/>
  <c r="AL176" s="1"/>
  <c r="N176"/>
  <c r="M176" s="1"/>
  <c r="J176"/>
  <c r="G176"/>
  <c r="D176"/>
  <c r="AG175"/>
  <c r="AG177" s="1"/>
  <c r="AF175"/>
  <c r="AC175"/>
  <c r="W175"/>
  <c r="V175" s="1"/>
  <c r="S175"/>
  <c r="R175"/>
  <c r="O175"/>
  <c r="N175"/>
  <c r="M175"/>
  <c r="J175"/>
  <c r="G175"/>
  <c r="D175"/>
  <c r="AG174"/>
  <c r="AF174"/>
  <c r="AC174"/>
  <c r="AB174"/>
  <c r="Z174"/>
  <c r="W174"/>
  <c r="S174"/>
  <c r="R174"/>
  <c r="O174"/>
  <c r="AA174" s="1"/>
  <c r="N174"/>
  <c r="AK174" s="1"/>
  <c r="M174"/>
  <c r="J174"/>
  <c r="G174"/>
  <c r="D174"/>
  <c r="AL173"/>
  <c r="AG173"/>
  <c r="AF173"/>
  <c r="AC173"/>
  <c r="AB173"/>
  <c r="AD173" s="1"/>
  <c r="W173"/>
  <c r="S173"/>
  <c r="R173"/>
  <c r="O173"/>
  <c r="AA173" s="1"/>
  <c r="N173"/>
  <c r="AK173" s="1"/>
  <c r="AJ173" s="1"/>
  <c r="M173"/>
  <c r="J173"/>
  <c r="G173"/>
  <c r="D173"/>
  <c r="AG172"/>
  <c r="AF172"/>
  <c r="AE172"/>
  <c r="AD172"/>
  <c r="AC172"/>
  <c r="AA172"/>
  <c r="V172"/>
  <c r="S172"/>
  <c r="R172"/>
  <c r="O172"/>
  <c r="AL172" s="1"/>
  <c r="N172"/>
  <c r="AK172" s="1"/>
  <c r="M172"/>
  <c r="Y172" s="1"/>
  <c r="J172"/>
  <c r="G172"/>
  <c r="D172"/>
  <c r="AG171"/>
  <c r="AF171"/>
  <c r="AE171"/>
  <c r="AD171"/>
  <c r="AC171"/>
  <c r="AA171"/>
  <c r="V171"/>
  <c r="S171"/>
  <c r="R171"/>
  <c r="O171"/>
  <c r="AL171" s="1"/>
  <c r="N171"/>
  <c r="AK171" s="1"/>
  <c r="AJ171" s="1"/>
  <c r="M171"/>
  <c r="Y171" s="1"/>
  <c r="J171"/>
  <c r="G171"/>
  <c r="D171"/>
  <c r="AG170"/>
  <c r="AF170"/>
  <c r="AE170"/>
  <c r="AD170"/>
  <c r="AC170"/>
  <c r="AA170"/>
  <c r="V170"/>
  <c r="S170"/>
  <c r="R170"/>
  <c r="O170"/>
  <c r="AL170" s="1"/>
  <c r="N170"/>
  <c r="AK170" s="1"/>
  <c r="M170"/>
  <c r="Y170" s="1"/>
  <c r="J170"/>
  <c r="G170"/>
  <c r="D170"/>
  <c r="AG169"/>
  <c r="AF169"/>
  <c r="AE169"/>
  <c r="AD169"/>
  <c r="AC169"/>
  <c r="AA169"/>
  <c r="V169"/>
  <c r="S169"/>
  <c r="R169"/>
  <c r="O169"/>
  <c r="AL169" s="1"/>
  <c r="N169"/>
  <c r="AK169" s="1"/>
  <c r="AJ169" s="1"/>
  <c r="M169"/>
  <c r="Y169" s="1"/>
  <c r="J169"/>
  <c r="G169"/>
  <c r="D169"/>
  <c r="AG168"/>
  <c r="AF168"/>
  <c r="AC168"/>
  <c r="AB168"/>
  <c r="Z168"/>
  <c r="W168"/>
  <c r="S168"/>
  <c r="R168"/>
  <c r="O168"/>
  <c r="AA168" s="1"/>
  <c r="N168"/>
  <c r="AK168" s="1"/>
  <c r="M168"/>
  <c r="J168"/>
  <c r="G168"/>
  <c r="D168"/>
  <c r="AL167"/>
  <c r="AG167"/>
  <c r="AF167"/>
  <c r="AC167"/>
  <c r="AB167"/>
  <c r="AD167" s="1"/>
  <c r="W167"/>
  <c r="S167"/>
  <c r="R167"/>
  <c r="O167"/>
  <c r="AA167" s="1"/>
  <c r="N167"/>
  <c r="AK167" s="1"/>
  <c r="AJ167" s="1"/>
  <c r="M167"/>
  <c r="J167"/>
  <c r="G167"/>
  <c r="D167"/>
  <c r="AG166"/>
  <c r="AF166"/>
  <c r="AC166"/>
  <c r="AB166"/>
  <c r="Z166"/>
  <c r="W166"/>
  <c r="S166"/>
  <c r="S177" s="1"/>
  <c r="R166"/>
  <c r="O166"/>
  <c r="AA166" s="1"/>
  <c r="N166"/>
  <c r="AK166" s="1"/>
  <c r="M166"/>
  <c r="J166"/>
  <c r="G166"/>
  <c r="D166"/>
  <c r="AA165"/>
  <c r="W165"/>
  <c r="V165"/>
  <c r="S165"/>
  <c r="O165"/>
  <c r="N165"/>
  <c r="Z165" s="1"/>
  <c r="M165"/>
  <c r="Y165" s="1"/>
  <c r="J165"/>
  <c r="G165"/>
  <c r="D165"/>
  <c r="AG164"/>
  <c r="AF164"/>
  <c r="AF177" s="1"/>
  <c r="AE164"/>
  <c r="AD164"/>
  <c r="AC164"/>
  <c r="AA164"/>
  <c r="V164"/>
  <c r="S164"/>
  <c r="R164"/>
  <c r="O164"/>
  <c r="AL164" s="1"/>
  <c r="AL177" s="1"/>
  <c r="N164"/>
  <c r="N177" s="1"/>
  <c r="M164"/>
  <c r="M177" s="1"/>
  <c r="J164"/>
  <c r="G164"/>
  <c r="D164"/>
  <c r="AL162"/>
  <c r="AI162"/>
  <c r="AH162"/>
  <c r="AF162"/>
  <c r="AD162"/>
  <c r="AB162"/>
  <c r="Z162"/>
  <c r="W162"/>
  <c r="U162"/>
  <c r="T162"/>
  <c r="S162"/>
  <c r="Q162"/>
  <c r="Q178" s="1"/>
  <c r="P162"/>
  <c r="O162"/>
  <c r="AA162" s="1"/>
  <c r="N162"/>
  <c r="M162"/>
  <c r="Y162" s="1"/>
  <c r="AL161"/>
  <c r="AK161"/>
  <c r="AG161"/>
  <c r="AG162" s="1"/>
  <c r="AF161"/>
  <c r="AE161"/>
  <c r="AE162" s="1"/>
  <c r="AC161"/>
  <c r="AC162" s="1"/>
  <c r="AA161"/>
  <c r="Z161"/>
  <c r="V161"/>
  <c r="V162" s="1"/>
  <c r="S161"/>
  <c r="R161"/>
  <c r="R162" s="1"/>
  <c r="M161"/>
  <c r="AD161" s="1"/>
  <c r="AI159"/>
  <c r="AH159"/>
  <c r="AF159"/>
  <c r="AC159"/>
  <c r="AB159"/>
  <c r="W159"/>
  <c r="U159"/>
  <c r="T159"/>
  <c r="R159"/>
  <c r="L159"/>
  <c r="K159"/>
  <c r="J159"/>
  <c r="I159"/>
  <c r="H159"/>
  <c r="F159"/>
  <c r="E159"/>
  <c r="AG158"/>
  <c r="AF158"/>
  <c r="AE158"/>
  <c r="AC158"/>
  <c r="V158"/>
  <c r="S158"/>
  <c r="R158"/>
  <c r="O158"/>
  <c r="AL158" s="1"/>
  <c r="N158"/>
  <c r="M158" s="1"/>
  <c r="J158"/>
  <c r="G158"/>
  <c r="D158"/>
  <c r="AG157"/>
  <c r="AF157"/>
  <c r="AE157"/>
  <c r="AC157"/>
  <c r="V157"/>
  <c r="S157"/>
  <c r="R157"/>
  <c r="O157"/>
  <c r="AL157" s="1"/>
  <c r="N157"/>
  <c r="M157" s="1"/>
  <c r="J157"/>
  <c r="G157"/>
  <c r="D157"/>
  <c r="AG156"/>
  <c r="AF156"/>
  <c r="AE156"/>
  <c r="AC156"/>
  <c r="V156"/>
  <c r="S156"/>
  <c r="R156"/>
  <c r="O156"/>
  <c r="AL156" s="1"/>
  <c r="N156"/>
  <c r="M156" s="1"/>
  <c r="J156"/>
  <c r="G156"/>
  <c r="D156"/>
  <c r="D159" s="1"/>
  <c r="AK155"/>
  <c r="AG155"/>
  <c r="AG159" s="1"/>
  <c r="AF155"/>
  <c r="AE155"/>
  <c r="AE159" s="1"/>
  <c r="AC155"/>
  <c r="Z155"/>
  <c r="X155"/>
  <c r="V155" s="1"/>
  <c r="V159" s="1"/>
  <c r="S155"/>
  <c r="S159" s="1"/>
  <c r="R155"/>
  <c r="O155"/>
  <c r="N155"/>
  <c r="M155"/>
  <c r="J155"/>
  <c r="G155"/>
  <c r="G159" s="1"/>
  <c r="D155"/>
  <c r="AI150"/>
  <c r="AH150"/>
  <c r="T150"/>
  <c r="F150"/>
  <c r="AK149"/>
  <c r="AJ149" s="1"/>
  <c r="AG149"/>
  <c r="AF149"/>
  <c r="AE149"/>
  <c r="AC149"/>
  <c r="AB149"/>
  <c r="AA149"/>
  <c r="V149"/>
  <c r="S149"/>
  <c r="R149"/>
  <c r="O149"/>
  <c r="AL149" s="1"/>
  <c r="N149"/>
  <c r="Z149" s="1"/>
  <c r="M149"/>
  <c r="AD149" s="1"/>
  <c r="J149"/>
  <c r="G149"/>
  <c r="D149"/>
  <c r="AG148"/>
  <c r="AF148"/>
  <c r="AC148"/>
  <c r="AB148"/>
  <c r="Z148"/>
  <c r="W148"/>
  <c r="S148"/>
  <c r="R148"/>
  <c r="O148"/>
  <c r="AA148" s="1"/>
  <c r="N148"/>
  <c r="AK148" s="1"/>
  <c r="M148"/>
  <c r="J148"/>
  <c r="G148"/>
  <c r="D148"/>
  <c r="AL147"/>
  <c r="AG147"/>
  <c r="AF147"/>
  <c r="AC147"/>
  <c r="AB147"/>
  <c r="W147"/>
  <c r="S147"/>
  <c r="R147"/>
  <c r="O147"/>
  <c r="AA147" s="1"/>
  <c r="K147"/>
  <c r="K150" s="1"/>
  <c r="J147"/>
  <c r="G147"/>
  <c r="D147"/>
  <c r="AK146"/>
  <c r="AG146"/>
  <c r="AF146"/>
  <c r="AE146"/>
  <c r="AC146"/>
  <c r="AB146"/>
  <c r="W146"/>
  <c r="V146"/>
  <c r="T146"/>
  <c r="S146"/>
  <c r="R146"/>
  <c r="O146"/>
  <c r="AL146" s="1"/>
  <c r="N146"/>
  <c r="Z146" s="1"/>
  <c r="M146"/>
  <c r="AD146" s="1"/>
  <c r="J146"/>
  <c r="G146"/>
  <c r="D146"/>
  <c r="AL145"/>
  <c r="AG145"/>
  <c r="AF145"/>
  <c r="AC145"/>
  <c r="AA145"/>
  <c r="W145"/>
  <c r="AE145" s="1"/>
  <c r="V145"/>
  <c r="S145"/>
  <c r="R145"/>
  <c r="O145"/>
  <c r="N145"/>
  <c r="J145"/>
  <c r="G145"/>
  <c r="D145"/>
  <c r="AG144"/>
  <c r="AF144"/>
  <c r="AE144"/>
  <c r="AC144"/>
  <c r="AB144"/>
  <c r="AA144"/>
  <c r="W144"/>
  <c r="V144"/>
  <c r="S144"/>
  <c r="R144"/>
  <c r="O144"/>
  <c r="AL144" s="1"/>
  <c r="N144"/>
  <c r="J144"/>
  <c r="G144"/>
  <c r="D144"/>
  <c r="AK143"/>
  <c r="AG143"/>
  <c r="AF143"/>
  <c r="AE143"/>
  <c r="AC143"/>
  <c r="AB143"/>
  <c r="AA143"/>
  <c r="W143"/>
  <c r="V143"/>
  <c r="S143"/>
  <c r="R143"/>
  <c r="O143"/>
  <c r="AL143" s="1"/>
  <c r="N143"/>
  <c r="J143"/>
  <c r="G143"/>
  <c r="D143"/>
  <c r="AG142"/>
  <c r="AF142"/>
  <c r="AE142"/>
  <c r="AC142"/>
  <c r="AB142"/>
  <c r="AA142"/>
  <c r="W142"/>
  <c r="V142"/>
  <c r="S142"/>
  <c r="R142"/>
  <c r="O142"/>
  <c r="AL142" s="1"/>
  <c r="N142"/>
  <c r="J142"/>
  <c r="G142"/>
  <c r="D142"/>
  <c r="AK141"/>
  <c r="AG141"/>
  <c r="AF141"/>
  <c r="AE141"/>
  <c r="AC141"/>
  <c r="Z141"/>
  <c r="X141"/>
  <c r="V141" s="1"/>
  <c r="S141"/>
  <c r="R141"/>
  <c r="O141"/>
  <c r="N141"/>
  <c r="M141"/>
  <c r="J141"/>
  <c r="G141"/>
  <c r="D141"/>
  <c r="AG140"/>
  <c r="AF140"/>
  <c r="AE140"/>
  <c r="AD140"/>
  <c r="AC140"/>
  <c r="AA140"/>
  <c r="V140"/>
  <c r="S140"/>
  <c r="R140"/>
  <c r="O140"/>
  <c r="AL140" s="1"/>
  <c r="N140"/>
  <c r="AK140" s="1"/>
  <c r="AJ140" s="1"/>
  <c r="M140"/>
  <c r="Y140" s="1"/>
  <c r="J140"/>
  <c r="G140"/>
  <c r="D140"/>
  <c r="AL139"/>
  <c r="AG139"/>
  <c r="AF139"/>
  <c r="AE139"/>
  <c r="AC139"/>
  <c r="AA139"/>
  <c r="X139"/>
  <c r="V139"/>
  <c r="S139"/>
  <c r="R139"/>
  <c r="O139"/>
  <c r="N139"/>
  <c r="J139"/>
  <c r="G139"/>
  <c r="D139"/>
  <c r="AK138"/>
  <c r="AG138"/>
  <c r="AF138"/>
  <c r="AE138"/>
  <c r="AC138"/>
  <c r="Z138"/>
  <c r="X138"/>
  <c r="V138" s="1"/>
  <c r="S138"/>
  <c r="R138"/>
  <c r="O138"/>
  <c r="N138"/>
  <c r="M138"/>
  <c r="J138"/>
  <c r="G138"/>
  <c r="D138"/>
  <c r="AL137"/>
  <c r="AG137"/>
  <c r="AF137"/>
  <c r="AE137"/>
  <c r="AC137"/>
  <c r="AA137"/>
  <c r="X137"/>
  <c r="V137"/>
  <c r="S137"/>
  <c r="R137"/>
  <c r="O137"/>
  <c r="N137"/>
  <c r="J137"/>
  <c r="G137"/>
  <c r="D137"/>
  <c r="AK136"/>
  <c r="AG136"/>
  <c r="AF136"/>
  <c r="AE136"/>
  <c r="AC136"/>
  <c r="Z136"/>
  <c r="X136"/>
  <c r="V136" s="1"/>
  <c r="S136"/>
  <c r="R136"/>
  <c r="O136"/>
  <c r="N136"/>
  <c r="M136"/>
  <c r="J136"/>
  <c r="G136"/>
  <c r="D136"/>
  <c r="AG135"/>
  <c r="AF135"/>
  <c r="AE135"/>
  <c r="AD135"/>
  <c r="AC135"/>
  <c r="AA135"/>
  <c r="V135"/>
  <c r="S135"/>
  <c r="R135"/>
  <c r="O135"/>
  <c r="AL135" s="1"/>
  <c r="N135"/>
  <c r="AK135" s="1"/>
  <c r="M135"/>
  <c r="Y135" s="1"/>
  <c r="J135"/>
  <c r="G135"/>
  <c r="D135"/>
  <c r="AL134"/>
  <c r="AG134"/>
  <c r="AF134"/>
  <c r="AE134"/>
  <c r="AC134"/>
  <c r="AA134"/>
  <c r="X134"/>
  <c r="V134"/>
  <c r="S134"/>
  <c r="R134"/>
  <c r="O134"/>
  <c r="N134"/>
  <c r="J134"/>
  <c r="G134"/>
  <c r="D134"/>
  <c r="AK133"/>
  <c r="AG133"/>
  <c r="AF133"/>
  <c r="AE133"/>
  <c r="AC133"/>
  <c r="Z133"/>
  <c r="X133"/>
  <c r="V133" s="1"/>
  <c r="S133"/>
  <c r="R133"/>
  <c r="O133"/>
  <c r="N133"/>
  <c r="M133"/>
  <c r="L133"/>
  <c r="J133"/>
  <c r="G133"/>
  <c r="D133"/>
  <c r="AG132"/>
  <c r="AF132"/>
  <c r="AE132"/>
  <c r="AC132"/>
  <c r="X132"/>
  <c r="V132" s="1"/>
  <c r="U132"/>
  <c r="R132"/>
  <c r="N132"/>
  <c r="L132"/>
  <c r="G132"/>
  <c r="D132"/>
  <c r="AL131"/>
  <c r="AG131"/>
  <c r="AF131"/>
  <c r="AE131"/>
  <c r="AC131"/>
  <c r="AA131"/>
  <c r="X131"/>
  <c r="V131"/>
  <c r="S131"/>
  <c r="R131"/>
  <c r="O131"/>
  <c r="N131"/>
  <c r="J131"/>
  <c r="G131"/>
  <c r="D131"/>
  <c r="AG130"/>
  <c r="AF130"/>
  <c r="AE130"/>
  <c r="AC130"/>
  <c r="V130"/>
  <c r="S130"/>
  <c r="R130"/>
  <c r="O130"/>
  <c r="AL130" s="1"/>
  <c r="N130"/>
  <c r="M130" s="1"/>
  <c r="J130"/>
  <c r="G130"/>
  <c r="D130"/>
  <c r="AG129"/>
  <c r="AF129"/>
  <c r="AE129"/>
  <c r="AC129"/>
  <c r="V129"/>
  <c r="S129"/>
  <c r="R129"/>
  <c r="O129"/>
  <c r="AL129" s="1"/>
  <c r="N129"/>
  <c r="M129" s="1"/>
  <c r="J129"/>
  <c r="G129"/>
  <c r="D129"/>
  <c r="AK128"/>
  <c r="AG128"/>
  <c r="AF128"/>
  <c r="AE128"/>
  <c r="AC128"/>
  <c r="Z128"/>
  <c r="X128"/>
  <c r="V128" s="1"/>
  <c r="S128"/>
  <c r="R128"/>
  <c r="O128"/>
  <c r="N128"/>
  <c r="M128"/>
  <c r="J128"/>
  <c r="G128"/>
  <c r="D128"/>
  <c r="AL127"/>
  <c r="AG127"/>
  <c r="AF127"/>
  <c r="AE127"/>
  <c r="AC127"/>
  <c r="AA127"/>
  <c r="X127"/>
  <c r="V127"/>
  <c r="S127"/>
  <c r="R127"/>
  <c r="O127"/>
  <c r="N127"/>
  <c r="J127"/>
  <c r="G127"/>
  <c r="D127"/>
  <c r="AK126"/>
  <c r="AG126"/>
  <c r="AF126"/>
  <c r="AE126"/>
  <c r="AC126"/>
  <c r="Z126"/>
  <c r="X126"/>
  <c r="V126" s="1"/>
  <c r="S126"/>
  <c r="R126"/>
  <c r="O126"/>
  <c r="AL126" s="1"/>
  <c r="N126"/>
  <c r="M126"/>
  <c r="AD126" s="1"/>
  <c r="J126"/>
  <c r="G126"/>
  <c r="D126"/>
  <c r="AL125"/>
  <c r="AG125"/>
  <c r="AF125"/>
  <c r="AE125"/>
  <c r="AC125"/>
  <c r="AA125"/>
  <c r="X125"/>
  <c r="V125"/>
  <c r="S125"/>
  <c r="R125"/>
  <c r="O125"/>
  <c r="N125"/>
  <c r="AK125" s="1"/>
  <c r="AJ125" s="1"/>
  <c r="J125"/>
  <c r="G125"/>
  <c r="D125"/>
  <c r="AG124"/>
  <c r="AF124"/>
  <c r="AE124"/>
  <c r="AC124"/>
  <c r="AB124"/>
  <c r="AA124"/>
  <c r="W124"/>
  <c r="V124"/>
  <c r="S124"/>
  <c r="R124"/>
  <c r="O124"/>
  <c r="AL124" s="1"/>
  <c r="N124"/>
  <c r="Z124" s="1"/>
  <c r="J124"/>
  <c r="G124"/>
  <c r="D124"/>
  <c r="AK123"/>
  <c r="AJ123" s="1"/>
  <c r="AG123"/>
  <c r="AF123"/>
  <c r="AE123"/>
  <c r="AC123"/>
  <c r="AB123"/>
  <c r="V123"/>
  <c r="S123"/>
  <c r="R123"/>
  <c r="O123"/>
  <c r="AL123" s="1"/>
  <c r="N123"/>
  <c r="Z123" s="1"/>
  <c r="M123"/>
  <c r="AD123" s="1"/>
  <c r="J123"/>
  <c r="G123"/>
  <c r="D123"/>
  <c r="AL122"/>
  <c r="AG122"/>
  <c r="AF122"/>
  <c r="AE122"/>
  <c r="AC122"/>
  <c r="AA122"/>
  <c r="X122"/>
  <c r="V122"/>
  <c r="S122"/>
  <c r="R122"/>
  <c r="O122"/>
  <c r="N122"/>
  <c r="AK122" s="1"/>
  <c r="AJ122" s="1"/>
  <c r="J122"/>
  <c r="G122"/>
  <c r="D122"/>
  <c r="AG121"/>
  <c r="AF121"/>
  <c r="AE121"/>
  <c r="AC121"/>
  <c r="V121"/>
  <c r="S121"/>
  <c r="R121"/>
  <c r="O121"/>
  <c r="AL121" s="1"/>
  <c r="N121"/>
  <c r="M121" s="1"/>
  <c r="J121"/>
  <c r="G121"/>
  <c r="D121"/>
  <c r="AK120"/>
  <c r="AJ120" s="1"/>
  <c r="AG120"/>
  <c r="AF120"/>
  <c r="AE120"/>
  <c r="AC120"/>
  <c r="Z120"/>
  <c r="X120"/>
  <c r="V120" s="1"/>
  <c r="S120"/>
  <c r="R120"/>
  <c r="O120"/>
  <c r="AL120" s="1"/>
  <c r="N120"/>
  <c r="M120"/>
  <c r="AD120" s="1"/>
  <c r="J120"/>
  <c r="G120"/>
  <c r="D120"/>
  <c r="AG119"/>
  <c r="AF119"/>
  <c r="AC119"/>
  <c r="AB119"/>
  <c r="AE119" s="1"/>
  <c r="Z119"/>
  <c r="X119"/>
  <c r="V119" s="1"/>
  <c r="S119"/>
  <c r="R119"/>
  <c r="O119"/>
  <c r="AA119" s="1"/>
  <c r="N119"/>
  <c r="AK119" s="1"/>
  <c r="M119"/>
  <c r="J119"/>
  <c r="G119"/>
  <c r="D119"/>
  <c r="AL118"/>
  <c r="AG118"/>
  <c r="AF118"/>
  <c r="AE118"/>
  <c r="AC118"/>
  <c r="AA118"/>
  <c r="X118"/>
  <c r="V118"/>
  <c r="S118"/>
  <c r="R118"/>
  <c r="O118"/>
  <c r="N118"/>
  <c r="AK118" s="1"/>
  <c r="AJ118" s="1"/>
  <c r="J118"/>
  <c r="G118"/>
  <c r="D118"/>
  <c r="AK117"/>
  <c r="AJ117" s="1"/>
  <c r="AG117"/>
  <c r="AF117"/>
  <c r="AE117"/>
  <c r="AC117"/>
  <c r="Z117"/>
  <c r="X117"/>
  <c r="V117" s="1"/>
  <c r="S117"/>
  <c r="R117"/>
  <c r="O117"/>
  <c r="AL117" s="1"/>
  <c r="N117"/>
  <c r="M117"/>
  <c r="AD117" s="1"/>
  <c r="J117"/>
  <c r="G117"/>
  <c r="D117"/>
  <c r="AL116"/>
  <c r="AG116"/>
  <c r="AF116"/>
  <c r="AC116"/>
  <c r="AB116"/>
  <c r="AE116" s="1"/>
  <c r="V116"/>
  <c r="S116"/>
  <c r="R116"/>
  <c r="O116"/>
  <c r="AA116" s="1"/>
  <c r="N116"/>
  <c r="AK116" s="1"/>
  <c r="AJ116" s="1"/>
  <c r="J116"/>
  <c r="G116"/>
  <c r="D116"/>
  <c r="AK115"/>
  <c r="AJ115" s="1"/>
  <c r="AG115"/>
  <c r="AF115"/>
  <c r="AE115"/>
  <c r="AC115"/>
  <c r="Z115"/>
  <c r="X115"/>
  <c r="V115" s="1"/>
  <c r="S115"/>
  <c r="R115"/>
  <c r="O115"/>
  <c r="AL115" s="1"/>
  <c r="N115"/>
  <c r="M115"/>
  <c r="AD115" s="1"/>
  <c r="J115"/>
  <c r="G115"/>
  <c r="D115"/>
  <c r="AG114"/>
  <c r="AF114"/>
  <c r="AC114"/>
  <c r="AB114"/>
  <c r="W114"/>
  <c r="AE114" s="1"/>
  <c r="S114"/>
  <c r="R114"/>
  <c r="O114"/>
  <c r="AA114" s="1"/>
  <c r="N114"/>
  <c r="AK114" s="1"/>
  <c r="M114"/>
  <c r="J114"/>
  <c r="G114"/>
  <c r="D114"/>
  <c r="AL113"/>
  <c r="AG113"/>
  <c r="AF113"/>
  <c r="AE113"/>
  <c r="AC113"/>
  <c r="AA113"/>
  <c r="X113"/>
  <c r="V113"/>
  <c r="S113"/>
  <c r="R113"/>
  <c r="O113"/>
  <c r="N113"/>
  <c r="AK113" s="1"/>
  <c r="AJ113" s="1"/>
  <c r="J113"/>
  <c r="G113"/>
  <c r="D113"/>
  <c r="AG112"/>
  <c r="AF112"/>
  <c r="AE112"/>
  <c r="AC112"/>
  <c r="AB112"/>
  <c r="AA112"/>
  <c r="W112"/>
  <c r="V112"/>
  <c r="S112"/>
  <c r="R112"/>
  <c r="O112"/>
  <c r="AL112" s="1"/>
  <c r="N112"/>
  <c r="Z112" s="1"/>
  <c r="J112"/>
  <c r="G112"/>
  <c r="D112"/>
  <c r="AG111"/>
  <c r="AF111"/>
  <c r="AE111"/>
  <c r="AC111"/>
  <c r="V111"/>
  <c r="S111"/>
  <c r="R111"/>
  <c r="O111"/>
  <c r="AL111" s="1"/>
  <c r="N111"/>
  <c r="M111" s="1"/>
  <c r="J111"/>
  <c r="G111"/>
  <c r="D111"/>
  <c r="AK110"/>
  <c r="AJ110" s="1"/>
  <c r="AG110"/>
  <c r="AF110"/>
  <c r="AE110"/>
  <c r="AC110"/>
  <c r="Z110"/>
  <c r="X110"/>
  <c r="V110" s="1"/>
  <c r="S110"/>
  <c r="R110"/>
  <c r="O110"/>
  <c r="AL110" s="1"/>
  <c r="N110"/>
  <c r="M110"/>
  <c r="AD110" s="1"/>
  <c r="J110"/>
  <c r="G110"/>
  <c r="D110"/>
  <c r="AL109"/>
  <c r="AG109"/>
  <c r="AF109"/>
  <c r="AE109"/>
  <c r="AC109"/>
  <c r="AA109"/>
  <c r="X109"/>
  <c r="V109"/>
  <c r="S109"/>
  <c r="R109"/>
  <c r="O109"/>
  <c r="N109"/>
  <c r="AK109" s="1"/>
  <c r="AJ109" s="1"/>
  <c r="J109"/>
  <c r="G109"/>
  <c r="D109"/>
  <c r="AK108"/>
  <c r="AG108"/>
  <c r="AF108"/>
  <c r="AE108"/>
  <c r="AC108"/>
  <c r="Z108"/>
  <c r="X108"/>
  <c r="V108" s="1"/>
  <c r="S108"/>
  <c r="R108"/>
  <c r="N108"/>
  <c r="J108"/>
  <c r="I108"/>
  <c r="I150" s="1"/>
  <c r="D108"/>
  <c r="AK107"/>
  <c r="AG107"/>
  <c r="AF107"/>
  <c r="AE107"/>
  <c r="AC107"/>
  <c r="Z107"/>
  <c r="X107"/>
  <c r="V107" s="1"/>
  <c r="S107"/>
  <c r="R107"/>
  <c r="O107"/>
  <c r="AL107" s="1"/>
  <c r="N107"/>
  <c r="M107"/>
  <c r="AD107" s="1"/>
  <c r="J107"/>
  <c r="G107"/>
  <c r="D107"/>
  <c r="AL106"/>
  <c r="AG106"/>
  <c r="AF106"/>
  <c r="AE106"/>
  <c r="AC106"/>
  <c r="AA106"/>
  <c r="X106"/>
  <c r="V106"/>
  <c r="S106"/>
  <c r="R106"/>
  <c r="O106"/>
  <c r="N106"/>
  <c r="AK106" s="1"/>
  <c r="AJ106" s="1"/>
  <c r="J106"/>
  <c r="G106"/>
  <c r="D106"/>
  <c r="AK105"/>
  <c r="AG105"/>
  <c r="AF105"/>
  <c r="AE105"/>
  <c r="AC105"/>
  <c r="Z105"/>
  <c r="X105"/>
  <c r="V105" s="1"/>
  <c r="S105"/>
  <c r="R105"/>
  <c r="O105"/>
  <c r="AL105" s="1"/>
  <c r="N105"/>
  <c r="M105"/>
  <c r="AD105" s="1"/>
  <c r="J105"/>
  <c r="G105"/>
  <c r="D105"/>
  <c r="AL104"/>
  <c r="AG104"/>
  <c r="AF104"/>
  <c r="AC104"/>
  <c r="AB104"/>
  <c r="AE104" s="1"/>
  <c r="V104"/>
  <c r="S104"/>
  <c r="R104"/>
  <c r="O104"/>
  <c r="AA104" s="1"/>
  <c r="N104"/>
  <c r="AK104" s="1"/>
  <c r="AJ104" s="1"/>
  <c r="J104"/>
  <c r="G104"/>
  <c r="D104"/>
  <c r="AG103"/>
  <c r="AF103"/>
  <c r="AE103"/>
  <c r="AC103"/>
  <c r="V103"/>
  <c r="S103"/>
  <c r="R103"/>
  <c r="O103"/>
  <c r="AL103" s="1"/>
  <c r="N103"/>
  <c r="M103" s="1"/>
  <c r="J103"/>
  <c r="G103"/>
  <c r="D103"/>
  <c r="AK102"/>
  <c r="AG102"/>
  <c r="AF102"/>
  <c r="AE102"/>
  <c r="AC102"/>
  <c r="AB102"/>
  <c r="V102"/>
  <c r="S102"/>
  <c r="R102"/>
  <c r="O102"/>
  <c r="AL102" s="1"/>
  <c r="N102"/>
  <c r="Z102" s="1"/>
  <c r="M102"/>
  <c r="AD102" s="1"/>
  <c r="J102"/>
  <c r="G102"/>
  <c r="D102"/>
  <c r="AG101"/>
  <c r="AF101"/>
  <c r="AE101"/>
  <c r="AC101"/>
  <c r="V101"/>
  <c r="S101"/>
  <c r="R101"/>
  <c r="O101"/>
  <c r="AL101" s="1"/>
  <c r="N101"/>
  <c r="AK101" s="1"/>
  <c r="AJ101" s="1"/>
  <c r="M101"/>
  <c r="AD101" s="1"/>
  <c r="J101"/>
  <c r="G101"/>
  <c r="D101"/>
  <c r="AL100"/>
  <c r="AG100"/>
  <c r="AF100"/>
  <c r="AE100"/>
  <c r="AC100"/>
  <c r="AA100"/>
  <c r="X100"/>
  <c r="V100"/>
  <c r="S100"/>
  <c r="R100"/>
  <c r="O100"/>
  <c r="N100"/>
  <c r="AK100" s="1"/>
  <c r="AJ100" s="1"/>
  <c r="J100"/>
  <c r="G100"/>
  <c r="D100"/>
  <c r="AK99"/>
  <c r="AJ99" s="1"/>
  <c r="AG99"/>
  <c r="AF99"/>
  <c r="AE99"/>
  <c r="AC99"/>
  <c r="Z99"/>
  <c r="X99"/>
  <c r="V99" s="1"/>
  <c r="S99"/>
  <c r="R99"/>
  <c r="O99"/>
  <c r="AL99" s="1"/>
  <c r="N99"/>
  <c r="M99"/>
  <c r="AD99" s="1"/>
  <c r="J99"/>
  <c r="G99"/>
  <c r="D99"/>
  <c r="AL98"/>
  <c r="AG98"/>
  <c r="AF98"/>
  <c r="AE98"/>
  <c r="AC98"/>
  <c r="AA98"/>
  <c r="X98"/>
  <c r="V98"/>
  <c r="S98"/>
  <c r="R98"/>
  <c r="O98"/>
  <c r="N98"/>
  <c r="AK98" s="1"/>
  <c r="AJ98" s="1"/>
  <c r="J98"/>
  <c r="G98"/>
  <c r="D98"/>
  <c r="AG97"/>
  <c r="AF97"/>
  <c r="AE97"/>
  <c r="AC97"/>
  <c r="V97"/>
  <c r="S97"/>
  <c r="R97"/>
  <c r="O97"/>
  <c r="AL97" s="1"/>
  <c r="N97"/>
  <c r="J97"/>
  <c r="G97"/>
  <c r="D97"/>
  <c r="AK96"/>
  <c r="AG96"/>
  <c r="AF96"/>
  <c r="AE96"/>
  <c r="AC96"/>
  <c r="Z96"/>
  <c r="X96"/>
  <c r="V96" s="1"/>
  <c r="S96"/>
  <c r="R96"/>
  <c r="O96"/>
  <c r="N96"/>
  <c r="M96"/>
  <c r="J96"/>
  <c r="G96"/>
  <c r="D96"/>
  <c r="AL95"/>
  <c r="AG95"/>
  <c r="AF95"/>
  <c r="AE95"/>
  <c r="AC95"/>
  <c r="AA95"/>
  <c r="X95"/>
  <c r="V95"/>
  <c r="S95"/>
  <c r="R95"/>
  <c r="O95"/>
  <c r="N95"/>
  <c r="J95"/>
  <c r="G95"/>
  <c r="D95"/>
  <c r="AG94"/>
  <c r="AF94"/>
  <c r="AE94"/>
  <c r="AC94"/>
  <c r="Z94"/>
  <c r="V94"/>
  <c r="S94"/>
  <c r="R94"/>
  <c r="O94"/>
  <c r="AL94" s="1"/>
  <c r="N94"/>
  <c r="M94" s="1"/>
  <c r="J94"/>
  <c r="G94"/>
  <c r="D94"/>
  <c r="AG93"/>
  <c r="AF93"/>
  <c r="AE93"/>
  <c r="AC93"/>
  <c r="AB93"/>
  <c r="AA93"/>
  <c r="W93"/>
  <c r="V93"/>
  <c r="S93"/>
  <c r="R93"/>
  <c r="O93"/>
  <c r="AL93" s="1"/>
  <c r="N93"/>
  <c r="AK93" s="1"/>
  <c r="AJ93" s="1"/>
  <c r="J93"/>
  <c r="G93"/>
  <c r="D93"/>
  <c r="AK92"/>
  <c r="AG92"/>
  <c r="AF92"/>
  <c r="AE92"/>
  <c r="AC92"/>
  <c r="AB92"/>
  <c r="AA92"/>
  <c r="W92"/>
  <c r="V92"/>
  <c r="S92"/>
  <c r="R92"/>
  <c r="O92"/>
  <c r="AL92" s="1"/>
  <c r="N92"/>
  <c r="J92"/>
  <c r="G92"/>
  <c r="D92"/>
  <c r="AG91"/>
  <c r="AF91"/>
  <c r="AE91"/>
  <c r="AC91"/>
  <c r="AB91"/>
  <c r="AA91"/>
  <c r="W91"/>
  <c r="V91"/>
  <c r="S91"/>
  <c r="R91"/>
  <c r="O91"/>
  <c r="AL91" s="1"/>
  <c r="N91"/>
  <c r="AK91" s="1"/>
  <c r="AJ91" s="1"/>
  <c r="J91"/>
  <c r="G91"/>
  <c r="D91"/>
  <c r="AK90"/>
  <c r="AG90"/>
  <c r="AF90"/>
  <c r="AE90"/>
  <c r="AC90"/>
  <c r="AB90"/>
  <c r="AA90"/>
  <c r="W90"/>
  <c r="V90"/>
  <c r="S90"/>
  <c r="R90"/>
  <c r="O90"/>
  <c r="AL90" s="1"/>
  <c r="N90"/>
  <c r="J90"/>
  <c r="G90"/>
  <c r="D90"/>
  <c r="AG89"/>
  <c r="AF89"/>
  <c r="AE89"/>
  <c r="AC89"/>
  <c r="AB89"/>
  <c r="AA89"/>
  <c r="W89"/>
  <c r="V89"/>
  <c r="S89"/>
  <c r="R89"/>
  <c r="O89"/>
  <c r="AL89" s="1"/>
  <c r="N89"/>
  <c r="AK89" s="1"/>
  <c r="AJ89" s="1"/>
  <c r="J89"/>
  <c r="G89"/>
  <c r="D89"/>
  <c r="AK88"/>
  <c r="AG88"/>
  <c r="AF88"/>
  <c r="AE88"/>
  <c r="AC88"/>
  <c r="AB88"/>
  <c r="AA88"/>
  <c r="W88"/>
  <c r="V88"/>
  <c r="S88"/>
  <c r="R88"/>
  <c r="O88"/>
  <c r="AL88" s="1"/>
  <c r="N88"/>
  <c r="J88"/>
  <c r="G88"/>
  <c r="D88"/>
  <c r="AK87"/>
  <c r="AG87"/>
  <c r="AF87"/>
  <c r="AE87"/>
  <c r="AC87"/>
  <c r="AB87"/>
  <c r="V87"/>
  <c r="S87"/>
  <c r="R87"/>
  <c r="O87"/>
  <c r="AL87" s="1"/>
  <c r="N87"/>
  <c r="Z87" s="1"/>
  <c r="M87"/>
  <c r="AD87" s="1"/>
  <c r="J87"/>
  <c r="G87"/>
  <c r="D87"/>
  <c r="AL86"/>
  <c r="AG86"/>
  <c r="AF86"/>
  <c r="AC86"/>
  <c r="AB86"/>
  <c r="AE86" s="1"/>
  <c r="V86"/>
  <c r="S86"/>
  <c r="R86"/>
  <c r="O86"/>
  <c r="AA86" s="1"/>
  <c r="N86"/>
  <c r="Z86" s="1"/>
  <c r="J86"/>
  <c r="G86"/>
  <c r="D86"/>
  <c r="AK85"/>
  <c r="AJ85" s="1"/>
  <c r="AG85"/>
  <c r="AF85"/>
  <c r="AE85"/>
  <c r="AC85"/>
  <c r="AB85"/>
  <c r="AA85"/>
  <c r="V85"/>
  <c r="S85"/>
  <c r="R85"/>
  <c r="O85"/>
  <c r="AL85" s="1"/>
  <c r="N85"/>
  <c r="Z85" s="1"/>
  <c r="M85"/>
  <c r="AD85" s="1"/>
  <c r="J85"/>
  <c r="G85"/>
  <c r="D85"/>
  <c r="AG84"/>
  <c r="AF84"/>
  <c r="AE84"/>
  <c r="AD84"/>
  <c r="AC84"/>
  <c r="AA84"/>
  <c r="V84"/>
  <c r="S84"/>
  <c r="R84"/>
  <c r="O84"/>
  <c r="AL84" s="1"/>
  <c r="N84"/>
  <c r="AK84" s="1"/>
  <c r="AJ84" s="1"/>
  <c r="M84"/>
  <c r="Y84" s="1"/>
  <c r="J84"/>
  <c r="G84"/>
  <c r="D84"/>
  <c r="AG83"/>
  <c r="AE83"/>
  <c r="X83"/>
  <c r="V83"/>
  <c r="S83"/>
  <c r="O83"/>
  <c r="AL83" s="1"/>
  <c r="AJ83" s="1"/>
  <c r="N83"/>
  <c r="AK83" s="1"/>
  <c r="M83"/>
  <c r="AD83" s="1"/>
  <c r="J83"/>
  <c r="G83"/>
  <c r="D83"/>
  <c r="AL82"/>
  <c r="AG82"/>
  <c r="AF82"/>
  <c r="AE82"/>
  <c r="AC82"/>
  <c r="AA82"/>
  <c r="X82"/>
  <c r="V82"/>
  <c r="S82"/>
  <c r="R82"/>
  <c r="O82"/>
  <c r="N82"/>
  <c r="J82"/>
  <c r="G82"/>
  <c r="D82"/>
  <c r="AG81"/>
  <c r="AF81"/>
  <c r="AE81"/>
  <c r="AC81"/>
  <c r="AB81"/>
  <c r="AA81"/>
  <c r="V81"/>
  <c r="S81"/>
  <c r="R81"/>
  <c r="O81"/>
  <c r="AL81" s="1"/>
  <c r="J81"/>
  <c r="H81"/>
  <c r="D81"/>
  <c r="AK80"/>
  <c r="AJ80" s="1"/>
  <c r="AG80"/>
  <c r="AF80"/>
  <c r="AE80"/>
  <c r="AC80"/>
  <c r="AB80"/>
  <c r="AA80"/>
  <c r="V80"/>
  <c r="S80"/>
  <c r="R80"/>
  <c r="O80"/>
  <c r="AL80" s="1"/>
  <c r="N80"/>
  <c r="Z80" s="1"/>
  <c r="M80"/>
  <c r="AD80" s="1"/>
  <c r="J80"/>
  <c r="G80"/>
  <c r="D80"/>
  <c r="AG79"/>
  <c r="AF79"/>
  <c r="AC79"/>
  <c r="AB79"/>
  <c r="Z79"/>
  <c r="W79"/>
  <c r="S79"/>
  <c r="R79"/>
  <c r="O79"/>
  <c r="AA79" s="1"/>
  <c r="N79"/>
  <c r="AK79" s="1"/>
  <c r="M79"/>
  <c r="AD79" s="1"/>
  <c r="J79"/>
  <c r="G79"/>
  <c r="D79"/>
  <c r="AL78"/>
  <c r="AG78"/>
  <c r="AF78"/>
  <c r="AC78"/>
  <c r="AB78"/>
  <c r="AD78" s="1"/>
  <c r="W78"/>
  <c r="Z78" s="1"/>
  <c r="S78"/>
  <c r="R78"/>
  <c r="O78"/>
  <c r="AA78" s="1"/>
  <c r="N78"/>
  <c r="AK78" s="1"/>
  <c r="AJ78" s="1"/>
  <c r="M78"/>
  <c r="J78"/>
  <c r="G78"/>
  <c r="D78"/>
  <c r="AG77"/>
  <c r="AF77"/>
  <c r="AC77"/>
  <c r="AB77"/>
  <c r="Z77"/>
  <c r="X77"/>
  <c r="X150" s="1"/>
  <c r="W77"/>
  <c r="AE77" s="1"/>
  <c r="V77"/>
  <c r="S77"/>
  <c r="R77"/>
  <c r="O77"/>
  <c r="AA77" s="1"/>
  <c r="N77"/>
  <c r="J77"/>
  <c r="G77"/>
  <c r="D77"/>
  <c r="AK76"/>
  <c r="AG76"/>
  <c r="AF76"/>
  <c r="AE76"/>
  <c r="AC76"/>
  <c r="AB76"/>
  <c r="V76"/>
  <c r="S76"/>
  <c r="R76"/>
  <c r="O76"/>
  <c r="AL76" s="1"/>
  <c r="N76"/>
  <c r="Z76" s="1"/>
  <c r="M76"/>
  <c r="AD76" s="1"/>
  <c r="J76"/>
  <c r="G76"/>
  <c r="D76"/>
  <c r="AL75"/>
  <c r="AG75"/>
  <c r="AF75"/>
  <c r="AC75"/>
  <c r="AB75"/>
  <c r="W75"/>
  <c r="S75"/>
  <c r="R75"/>
  <c r="O75"/>
  <c r="AA75" s="1"/>
  <c r="J75"/>
  <c r="H75"/>
  <c r="D75"/>
  <c r="AG74"/>
  <c r="AF74"/>
  <c r="AE74"/>
  <c r="AC74"/>
  <c r="AB74"/>
  <c r="AA74"/>
  <c r="V74"/>
  <c r="S74"/>
  <c r="R74"/>
  <c r="O74"/>
  <c r="AL74" s="1"/>
  <c r="J74"/>
  <c r="G74"/>
  <c r="E74"/>
  <c r="E150" s="1"/>
  <c r="D74"/>
  <c r="AG73"/>
  <c r="AF73"/>
  <c r="AE73"/>
  <c r="AC73"/>
  <c r="AB73"/>
  <c r="AA73"/>
  <c r="W73"/>
  <c r="V73"/>
  <c r="S73"/>
  <c r="R73"/>
  <c r="O73"/>
  <c r="AL73" s="1"/>
  <c r="N73"/>
  <c r="AK73" s="1"/>
  <c r="AJ73" s="1"/>
  <c r="J73"/>
  <c r="G73"/>
  <c r="D73"/>
  <c r="AK72"/>
  <c r="AG72"/>
  <c r="AF72"/>
  <c r="AE72"/>
  <c r="AC72"/>
  <c r="AB72"/>
  <c r="AA72"/>
  <c r="W72"/>
  <c r="V72"/>
  <c r="S72"/>
  <c r="R72"/>
  <c r="O72"/>
  <c r="AL72" s="1"/>
  <c r="N72"/>
  <c r="J72"/>
  <c r="G72"/>
  <c r="D72"/>
  <c r="AG71"/>
  <c r="AF71"/>
  <c r="AE71"/>
  <c r="AC71"/>
  <c r="AB71"/>
  <c r="AA71"/>
  <c r="W71"/>
  <c r="V71"/>
  <c r="S71"/>
  <c r="R71"/>
  <c r="O71"/>
  <c r="AL71" s="1"/>
  <c r="N71"/>
  <c r="AK71" s="1"/>
  <c r="AJ71" s="1"/>
  <c r="J71"/>
  <c r="G71"/>
  <c r="D71"/>
  <c r="AK70"/>
  <c r="AG70"/>
  <c r="AF70"/>
  <c r="AE70"/>
  <c r="AC70"/>
  <c r="AB70"/>
  <c r="AA70"/>
  <c r="W70"/>
  <c r="V70"/>
  <c r="S70"/>
  <c r="R70"/>
  <c r="O70"/>
  <c r="AL70" s="1"/>
  <c r="N70"/>
  <c r="J70"/>
  <c r="G70"/>
  <c r="D70"/>
  <c r="AG69"/>
  <c r="AF69"/>
  <c r="AE69"/>
  <c r="AC69"/>
  <c r="AB69"/>
  <c r="AA69"/>
  <c r="W69"/>
  <c r="V69"/>
  <c r="S69"/>
  <c r="R69"/>
  <c r="O69"/>
  <c r="AL69" s="1"/>
  <c r="N69"/>
  <c r="AK69" s="1"/>
  <c r="AJ69" s="1"/>
  <c r="J69"/>
  <c r="G69"/>
  <c r="D69"/>
  <c r="AK68"/>
  <c r="AG68"/>
  <c r="AF68"/>
  <c r="AE68"/>
  <c r="AC68"/>
  <c r="AB68"/>
  <c r="AA68"/>
  <c r="W68"/>
  <c r="V68"/>
  <c r="S68"/>
  <c r="R68"/>
  <c r="O68"/>
  <c r="AL68" s="1"/>
  <c r="N68"/>
  <c r="J68"/>
  <c r="G68"/>
  <c r="D68"/>
  <c r="AG67"/>
  <c r="AF67"/>
  <c r="AE67"/>
  <c r="AC67"/>
  <c r="AB67"/>
  <c r="AA67"/>
  <c r="W67"/>
  <c r="V67"/>
  <c r="S67"/>
  <c r="R67"/>
  <c r="O67"/>
  <c r="AL67" s="1"/>
  <c r="N67"/>
  <c r="AK67" s="1"/>
  <c r="AJ67" s="1"/>
  <c r="J67"/>
  <c r="G67"/>
  <c r="D67"/>
  <c r="AK66"/>
  <c r="AG66"/>
  <c r="AF66"/>
  <c r="AE66"/>
  <c r="AC66"/>
  <c r="AB66"/>
  <c r="AA66"/>
  <c r="W66"/>
  <c r="V66"/>
  <c r="S66"/>
  <c r="R66"/>
  <c r="O66"/>
  <c r="AL66" s="1"/>
  <c r="N66"/>
  <c r="J66"/>
  <c r="G66"/>
  <c r="D66"/>
  <c r="AG65"/>
  <c r="AF65"/>
  <c r="AE65"/>
  <c r="AC65"/>
  <c r="AB65"/>
  <c r="AA65"/>
  <c r="W65"/>
  <c r="V65"/>
  <c r="S65"/>
  <c r="R65"/>
  <c r="O65"/>
  <c r="AL65" s="1"/>
  <c r="N65"/>
  <c r="AK65" s="1"/>
  <c r="AJ65" s="1"/>
  <c r="J65"/>
  <c r="G65"/>
  <c r="D65"/>
  <c r="AK64"/>
  <c r="AG64"/>
  <c r="AF64"/>
  <c r="AE64"/>
  <c r="AC64"/>
  <c r="AB64"/>
  <c r="AA64"/>
  <c r="W64"/>
  <c r="V64"/>
  <c r="S64"/>
  <c r="R64"/>
  <c r="O64"/>
  <c r="AL64" s="1"/>
  <c r="N64"/>
  <c r="J64"/>
  <c r="G64"/>
  <c r="D64"/>
  <c r="AG63"/>
  <c r="AF63"/>
  <c r="AE63"/>
  <c r="AC63"/>
  <c r="AB63"/>
  <c r="AA63"/>
  <c r="W63"/>
  <c r="V63"/>
  <c r="S63"/>
  <c r="R63"/>
  <c r="O63"/>
  <c r="AL63" s="1"/>
  <c r="N63"/>
  <c r="AK63" s="1"/>
  <c r="AJ63" s="1"/>
  <c r="J63"/>
  <c r="G63"/>
  <c r="D63"/>
  <c r="AK62"/>
  <c r="AG62"/>
  <c r="AF62"/>
  <c r="AE62"/>
  <c r="AC62"/>
  <c r="AB62"/>
  <c r="AA62"/>
  <c r="W62"/>
  <c r="V62"/>
  <c r="S62"/>
  <c r="R62"/>
  <c r="O62"/>
  <c r="AL62" s="1"/>
  <c r="N62"/>
  <c r="J62"/>
  <c r="G62"/>
  <c r="D62"/>
  <c r="AG61"/>
  <c r="AF61"/>
  <c r="AE61"/>
  <c r="AC61"/>
  <c r="AB61"/>
  <c r="AA61"/>
  <c r="W61"/>
  <c r="V61"/>
  <c r="S61"/>
  <c r="R61"/>
  <c r="O61"/>
  <c r="AL61" s="1"/>
  <c r="N61"/>
  <c r="AK61" s="1"/>
  <c r="AJ61" s="1"/>
  <c r="J61"/>
  <c r="G61"/>
  <c r="D61"/>
  <c r="AK60"/>
  <c r="AG60"/>
  <c r="AF60"/>
  <c r="AE60"/>
  <c r="AC60"/>
  <c r="AB60"/>
  <c r="AA60"/>
  <c r="W60"/>
  <c r="V60"/>
  <c r="S60"/>
  <c r="R60"/>
  <c r="O60"/>
  <c r="AL60" s="1"/>
  <c r="N60"/>
  <c r="J60"/>
  <c r="G60"/>
  <c r="D60"/>
  <c r="AG59"/>
  <c r="AF59"/>
  <c r="AE59"/>
  <c r="AC59"/>
  <c r="AB59"/>
  <c r="AA59"/>
  <c r="W59"/>
  <c r="V59"/>
  <c r="S59"/>
  <c r="R59"/>
  <c r="O59"/>
  <c r="AL59" s="1"/>
  <c r="N59"/>
  <c r="AK59" s="1"/>
  <c r="AJ59" s="1"/>
  <c r="J59"/>
  <c r="G59"/>
  <c r="D59"/>
  <c r="AK58"/>
  <c r="AG58"/>
  <c r="AF58"/>
  <c r="AE58"/>
  <c r="AC58"/>
  <c r="AB58"/>
  <c r="AA58"/>
  <c r="W58"/>
  <c r="V58"/>
  <c r="S58"/>
  <c r="R58"/>
  <c r="O58"/>
  <c r="AL58" s="1"/>
  <c r="N58"/>
  <c r="J58"/>
  <c r="G58"/>
  <c r="D58"/>
  <c r="AG57"/>
  <c r="AF57"/>
  <c r="AE57"/>
  <c r="AC57"/>
  <c r="AB57"/>
  <c r="AA57"/>
  <c r="W57"/>
  <c r="V57"/>
  <c r="S57"/>
  <c r="R57"/>
  <c r="O57"/>
  <c r="AL57" s="1"/>
  <c r="N57"/>
  <c r="AK57" s="1"/>
  <c r="AJ57" s="1"/>
  <c r="J57"/>
  <c r="G57"/>
  <c r="D57"/>
  <c r="AK56"/>
  <c r="AG56"/>
  <c r="AF56"/>
  <c r="AE56"/>
  <c r="AC56"/>
  <c r="AB56"/>
  <c r="AA56"/>
  <c r="W56"/>
  <c r="V56"/>
  <c r="S56"/>
  <c r="R56"/>
  <c r="O56"/>
  <c r="AL56" s="1"/>
  <c r="N56"/>
  <c r="J56"/>
  <c r="G56"/>
  <c r="D56"/>
  <c r="AG55"/>
  <c r="AF55"/>
  <c r="AE55"/>
  <c r="AC55"/>
  <c r="AB55"/>
  <c r="AA55"/>
  <c r="W55"/>
  <c r="V55"/>
  <c r="S55"/>
  <c r="R55"/>
  <c r="O55"/>
  <c r="AL55" s="1"/>
  <c r="N55"/>
  <c r="AK55" s="1"/>
  <c r="AJ55" s="1"/>
  <c r="J55"/>
  <c r="G55"/>
  <c r="D55"/>
  <c r="AK54"/>
  <c r="AG54"/>
  <c r="AF54"/>
  <c r="AE54"/>
  <c r="AC54"/>
  <c r="AB54"/>
  <c r="AA54"/>
  <c r="W54"/>
  <c r="V54"/>
  <c r="S54"/>
  <c r="R54"/>
  <c r="O54"/>
  <c r="AL54" s="1"/>
  <c r="N54"/>
  <c r="J54"/>
  <c r="G54"/>
  <c r="D54"/>
  <c r="AG53"/>
  <c r="AF53"/>
  <c r="AE53"/>
  <c r="AC53"/>
  <c r="AB53"/>
  <c r="AA53"/>
  <c r="W53"/>
  <c r="V53"/>
  <c r="S53"/>
  <c r="R53"/>
  <c r="O53"/>
  <c r="AL53" s="1"/>
  <c r="N53"/>
  <c r="AK53" s="1"/>
  <c r="AJ53" s="1"/>
  <c r="J53"/>
  <c r="G53"/>
  <c r="D53"/>
  <c r="AK52"/>
  <c r="AG52"/>
  <c r="AF52"/>
  <c r="AE52"/>
  <c r="AC52"/>
  <c r="AB52"/>
  <c r="AA52"/>
  <c r="W52"/>
  <c r="V52"/>
  <c r="S52"/>
  <c r="R52"/>
  <c r="O52"/>
  <c r="AL52" s="1"/>
  <c r="N52"/>
  <c r="J52"/>
  <c r="G52"/>
  <c r="D52"/>
  <c r="AG51"/>
  <c r="AF51"/>
  <c r="AE51"/>
  <c r="AC51"/>
  <c r="AB51"/>
  <c r="AA51"/>
  <c r="W51"/>
  <c r="V51"/>
  <c r="S51"/>
  <c r="R51"/>
  <c r="O51"/>
  <c r="AL51" s="1"/>
  <c r="N51"/>
  <c r="AK51" s="1"/>
  <c r="AJ51" s="1"/>
  <c r="J51"/>
  <c r="G51"/>
  <c r="D51"/>
  <c r="AK50"/>
  <c r="AG50"/>
  <c r="AF50"/>
  <c r="AE50"/>
  <c r="AC50"/>
  <c r="AB50"/>
  <c r="AA50"/>
  <c r="W50"/>
  <c r="V50"/>
  <c r="S50"/>
  <c r="R50"/>
  <c r="O50"/>
  <c r="AL50" s="1"/>
  <c r="N50"/>
  <c r="J50"/>
  <c r="G50"/>
  <c r="D50"/>
  <c r="AG49"/>
  <c r="AF49"/>
  <c r="AE49"/>
  <c r="AC49"/>
  <c r="AB49"/>
  <c r="AA49"/>
  <c r="W49"/>
  <c r="V49"/>
  <c r="S49"/>
  <c r="R49"/>
  <c r="O49"/>
  <c r="AL49" s="1"/>
  <c r="N49"/>
  <c r="AK49" s="1"/>
  <c r="AJ49" s="1"/>
  <c r="J49"/>
  <c r="G49"/>
  <c r="D49"/>
  <c r="AK48"/>
  <c r="AG48"/>
  <c r="AF48"/>
  <c r="AE48"/>
  <c r="AC48"/>
  <c r="AB48"/>
  <c r="AA48"/>
  <c r="W48"/>
  <c r="V48"/>
  <c r="S48"/>
  <c r="R48"/>
  <c r="O48"/>
  <c r="AL48" s="1"/>
  <c r="N48"/>
  <c r="J48"/>
  <c r="G48"/>
  <c r="D48"/>
  <c r="AG47"/>
  <c r="AF47"/>
  <c r="AE47"/>
  <c r="AC47"/>
  <c r="AB47"/>
  <c r="AA47"/>
  <c r="W47"/>
  <c r="V47"/>
  <c r="S47"/>
  <c r="O47"/>
  <c r="AL47" s="1"/>
  <c r="N47"/>
  <c r="AK47" s="1"/>
  <c r="AJ47" s="1"/>
  <c r="J47"/>
  <c r="G47"/>
  <c r="D47"/>
  <c r="AK46"/>
  <c r="AG46"/>
  <c r="AF46"/>
  <c r="AF150" s="1"/>
  <c r="AE46"/>
  <c r="AC46"/>
  <c r="AC150" s="1"/>
  <c r="AB46"/>
  <c r="AB150" s="1"/>
  <c r="AA46"/>
  <c r="W46"/>
  <c r="V46"/>
  <c r="S46"/>
  <c r="O46"/>
  <c r="N46"/>
  <c r="J46"/>
  <c r="G46"/>
  <c r="D46"/>
  <c r="D150" s="1"/>
  <c r="AI43"/>
  <c r="AI178" s="1"/>
  <c r="AH43"/>
  <c r="AC43"/>
  <c r="U43"/>
  <c r="L43"/>
  <c r="I43"/>
  <c r="I178" s="1"/>
  <c r="F43"/>
  <c r="F178" s="1"/>
  <c r="AG42"/>
  <c r="AF42"/>
  <c r="AC42"/>
  <c r="AB42"/>
  <c r="X42"/>
  <c r="W42"/>
  <c r="V42" s="1"/>
  <c r="Y42" s="1"/>
  <c r="S42"/>
  <c r="R42"/>
  <c r="O42"/>
  <c r="AL42" s="1"/>
  <c r="N42"/>
  <c r="Z42" s="1"/>
  <c r="M42"/>
  <c r="AD42" s="1"/>
  <c r="J42"/>
  <c r="G42"/>
  <c r="D42"/>
  <c r="AL41"/>
  <c r="AG41"/>
  <c r="AF41"/>
  <c r="AE41"/>
  <c r="AC41"/>
  <c r="AA41"/>
  <c r="X41"/>
  <c r="V41"/>
  <c r="S41"/>
  <c r="O41"/>
  <c r="N41"/>
  <c r="J41"/>
  <c r="G41"/>
  <c r="D41"/>
  <c r="AG40"/>
  <c r="AF40"/>
  <c r="AC40"/>
  <c r="W40"/>
  <c r="AE40" s="1"/>
  <c r="S40"/>
  <c r="O40"/>
  <c r="AL40" s="1"/>
  <c r="N40"/>
  <c r="Z40" s="1"/>
  <c r="J40"/>
  <c r="G40"/>
  <c r="D40"/>
  <c r="AG39"/>
  <c r="AF39"/>
  <c r="AE39"/>
  <c r="AC39"/>
  <c r="V39"/>
  <c r="S39"/>
  <c r="O39"/>
  <c r="AL39" s="1"/>
  <c r="N39"/>
  <c r="AK39" s="1"/>
  <c r="AJ39" s="1"/>
  <c r="J39"/>
  <c r="G39"/>
  <c r="D39"/>
  <c r="AG38"/>
  <c r="AF38"/>
  <c r="AE38"/>
  <c r="AC38"/>
  <c r="AB38"/>
  <c r="AA38"/>
  <c r="W38"/>
  <c r="V38"/>
  <c r="S38"/>
  <c r="R38"/>
  <c r="O38"/>
  <c r="AL38" s="1"/>
  <c r="N38"/>
  <c r="AK38" s="1"/>
  <c r="J38"/>
  <c r="G38"/>
  <c r="D38"/>
  <c r="AG37"/>
  <c r="AF37"/>
  <c r="AE37"/>
  <c r="AC37"/>
  <c r="AB37"/>
  <c r="AA37"/>
  <c r="W37"/>
  <c r="V37"/>
  <c r="S37"/>
  <c r="R37"/>
  <c r="O37"/>
  <c r="AL37" s="1"/>
  <c r="N37"/>
  <c r="AK37" s="1"/>
  <c r="AJ37" s="1"/>
  <c r="J37"/>
  <c r="G37"/>
  <c r="D37"/>
  <c r="AG36"/>
  <c r="AF36"/>
  <c r="AE36"/>
  <c r="AC36"/>
  <c r="AB36"/>
  <c r="AA36"/>
  <c r="W36"/>
  <c r="V36"/>
  <c r="S36"/>
  <c r="R36"/>
  <c r="O36"/>
  <c r="AL36" s="1"/>
  <c r="J36"/>
  <c r="G36"/>
  <c r="E36"/>
  <c r="N36" s="1"/>
  <c r="AG35"/>
  <c r="AF35"/>
  <c r="AC35"/>
  <c r="AB35"/>
  <c r="W35"/>
  <c r="AE35" s="1"/>
  <c r="S35"/>
  <c r="R35"/>
  <c r="O35"/>
  <c r="AL35" s="1"/>
  <c r="J35"/>
  <c r="G35"/>
  <c r="E35"/>
  <c r="D35"/>
  <c r="AG34"/>
  <c r="AF34"/>
  <c r="AE34"/>
  <c r="AC34"/>
  <c r="AB34"/>
  <c r="AA34"/>
  <c r="W34"/>
  <c r="V34"/>
  <c r="S34"/>
  <c r="R34"/>
  <c r="O34"/>
  <c r="AL34" s="1"/>
  <c r="N34"/>
  <c r="AK34" s="1"/>
  <c r="J34"/>
  <c r="G34"/>
  <c r="D34"/>
  <c r="AG33"/>
  <c r="AF33"/>
  <c r="AE33"/>
  <c r="AC33"/>
  <c r="AB33"/>
  <c r="AA33"/>
  <c r="W33"/>
  <c r="V33"/>
  <c r="S33"/>
  <c r="R33"/>
  <c r="O33"/>
  <c r="AL33" s="1"/>
  <c r="N33"/>
  <c r="AK33" s="1"/>
  <c r="AJ33" s="1"/>
  <c r="J33"/>
  <c r="G33"/>
  <c r="D33"/>
  <c r="AG32"/>
  <c r="AF32"/>
  <c r="AE32"/>
  <c r="AC32"/>
  <c r="AB32"/>
  <c r="AA32"/>
  <c r="W32"/>
  <c r="V32"/>
  <c r="S32"/>
  <c r="R32"/>
  <c r="O32"/>
  <c r="AL32" s="1"/>
  <c r="N32"/>
  <c r="AK32" s="1"/>
  <c r="J32"/>
  <c r="G32"/>
  <c r="D32"/>
  <c r="AG31"/>
  <c r="AF31"/>
  <c r="AE31"/>
  <c r="AC31"/>
  <c r="AB31"/>
  <c r="AA31"/>
  <c r="W31"/>
  <c r="V31"/>
  <c r="S31"/>
  <c r="R31"/>
  <c r="O31"/>
  <c r="AL31" s="1"/>
  <c r="N31"/>
  <c r="AK31" s="1"/>
  <c r="AJ31" s="1"/>
  <c r="J31"/>
  <c r="G31"/>
  <c r="D31"/>
  <c r="AG30"/>
  <c r="AF30"/>
  <c r="AE30"/>
  <c r="AC30"/>
  <c r="AB30"/>
  <c r="AA30"/>
  <c r="W30"/>
  <c r="V30"/>
  <c r="S30"/>
  <c r="R30"/>
  <c r="O30"/>
  <c r="AL30" s="1"/>
  <c r="N30"/>
  <c r="AK30" s="1"/>
  <c r="J30"/>
  <c r="G30"/>
  <c r="D30"/>
  <c r="AG29"/>
  <c r="AF29"/>
  <c r="AE29"/>
  <c r="AC29"/>
  <c r="AB29"/>
  <c r="AA29"/>
  <c r="W29"/>
  <c r="V29"/>
  <c r="S29"/>
  <c r="R29"/>
  <c r="O29"/>
  <c r="AL29" s="1"/>
  <c r="N29"/>
  <c r="AK29" s="1"/>
  <c r="AJ29" s="1"/>
  <c r="J29"/>
  <c r="G29"/>
  <c r="D29"/>
  <c r="AG28"/>
  <c r="AF28"/>
  <c r="AE28"/>
  <c r="AC28"/>
  <c r="V28"/>
  <c r="S28"/>
  <c r="R28"/>
  <c r="O28"/>
  <c r="AL28" s="1"/>
  <c r="N28"/>
  <c r="AK28" s="1"/>
  <c r="AJ28" s="1"/>
  <c r="J28"/>
  <c r="G28"/>
  <c r="D28"/>
  <c r="AK27"/>
  <c r="AJ27" s="1"/>
  <c r="AG27"/>
  <c r="AF27"/>
  <c r="AE27"/>
  <c r="AC27"/>
  <c r="Z27"/>
  <c r="X27"/>
  <c r="V27" s="1"/>
  <c r="S27"/>
  <c r="R27"/>
  <c r="O27"/>
  <c r="AL27" s="1"/>
  <c r="N27"/>
  <c r="M27"/>
  <c r="AD27" s="1"/>
  <c r="J27"/>
  <c r="G27"/>
  <c r="D27"/>
  <c r="AG26"/>
  <c r="AF26"/>
  <c r="AE26"/>
  <c r="AC26"/>
  <c r="V26"/>
  <c r="S26"/>
  <c r="R26"/>
  <c r="O26"/>
  <c r="AL26" s="1"/>
  <c r="N26"/>
  <c r="AK26" s="1"/>
  <c r="M26"/>
  <c r="AD26" s="1"/>
  <c r="J26"/>
  <c r="G26"/>
  <c r="D26"/>
  <c r="AG25"/>
  <c r="AF25"/>
  <c r="AE25"/>
  <c r="AC25"/>
  <c r="V25"/>
  <c r="S25"/>
  <c r="R25"/>
  <c r="O25"/>
  <c r="AL25" s="1"/>
  <c r="N25"/>
  <c r="AK25" s="1"/>
  <c r="AJ25" s="1"/>
  <c r="M25"/>
  <c r="AD25" s="1"/>
  <c r="J25"/>
  <c r="G25"/>
  <c r="D25"/>
  <c r="AG24"/>
  <c r="AF24"/>
  <c r="AE24"/>
  <c r="AC24"/>
  <c r="V24"/>
  <c r="S24"/>
  <c r="R24"/>
  <c r="O24"/>
  <c r="AL24" s="1"/>
  <c r="N24"/>
  <c r="AK24" s="1"/>
  <c r="M24"/>
  <c r="AD24" s="1"/>
  <c r="J24"/>
  <c r="G24"/>
  <c r="D24"/>
  <c r="AL23"/>
  <c r="AG23"/>
  <c r="AF23"/>
  <c r="AE23"/>
  <c r="AC23"/>
  <c r="AA23"/>
  <c r="X23"/>
  <c r="V23"/>
  <c r="S23"/>
  <c r="R23"/>
  <c r="O23"/>
  <c r="N23"/>
  <c r="AK23" s="1"/>
  <c r="AJ23" s="1"/>
  <c r="J23"/>
  <c r="G23"/>
  <c r="D23"/>
  <c r="AK22"/>
  <c r="AG22"/>
  <c r="AF22"/>
  <c r="AE22"/>
  <c r="AC22"/>
  <c r="Z22"/>
  <c r="X22"/>
  <c r="V22" s="1"/>
  <c r="S22"/>
  <c r="R22"/>
  <c r="O22"/>
  <c r="AL22" s="1"/>
  <c r="N22"/>
  <c r="M22"/>
  <c r="AD22" s="1"/>
  <c r="J22"/>
  <c r="G22"/>
  <c r="D22"/>
  <c r="AL21"/>
  <c r="AG21"/>
  <c r="AF21"/>
  <c r="AE21"/>
  <c r="AC21"/>
  <c r="AA21"/>
  <c r="X21"/>
  <c r="V21"/>
  <c r="S21"/>
  <c r="R21"/>
  <c r="O21"/>
  <c r="N21"/>
  <c r="AK21" s="1"/>
  <c r="AJ21" s="1"/>
  <c r="J21"/>
  <c r="G21"/>
  <c r="D21"/>
  <c r="AG20"/>
  <c r="AF20"/>
  <c r="AC20"/>
  <c r="AB20"/>
  <c r="X20"/>
  <c r="W20"/>
  <c r="AE20" s="1"/>
  <c r="S20"/>
  <c r="R20"/>
  <c r="O20"/>
  <c r="AA20" s="1"/>
  <c r="K20"/>
  <c r="K43" s="1"/>
  <c r="K178" s="1"/>
  <c r="J20"/>
  <c r="G20"/>
  <c r="D20"/>
  <c r="AK19"/>
  <c r="AJ19" s="1"/>
  <c r="AG19"/>
  <c r="AF19"/>
  <c r="AE19"/>
  <c r="AC19"/>
  <c r="Z19"/>
  <c r="X19"/>
  <c r="X43" s="1"/>
  <c r="S19"/>
  <c r="R19"/>
  <c r="O19"/>
  <c r="AL19" s="1"/>
  <c r="N19"/>
  <c r="M19"/>
  <c r="AD19" s="1"/>
  <c r="J19"/>
  <c r="G19"/>
  <c r="D19"/>
  <c r="AG18"/>
  <c r="AF18"/>
  <c r="AC18"/>
  <c r="AB18"/>
  <c r="W18"/>
  <c r="AE18" s="1"/>
  <c r="S18"/>
  <c r="R18"/>
  <c r="O18"/>
  <c r="AL18" s="1"/>
  <c r="J18"/>
  <c r="H18"/>
  <c r="N18" s="1"/>
  <c r="D18"/>
  <c r="AG17"/>
  <c r="AF17"/>
  <c r="AE17"/>
  <c r="AC17"/>
  <c r="AB17"/>
  <c r="AA17"/>
  <c r="W17"/>
  <c r="V17"/>
  <c r="S17"/>
  <c r="R17"/>
  <c r="O17"/>
  <c r="AL17" s="1"/>
  <c r="N17"/>
  <c r="AK17" s="1"/>
  <c r="J17"/>
  <c r="H17"/>
  <c r="H43" s="1"/>
  <c r="G17"/>
  <c r="D17"/>
  <c r="AG16"/>
  <c r="AF16"/>
  <c r="AC16"/>
  <c r="AB16"/>
  <c r="W16"/>
  <c r="Z16" s="1"/>
  <c r="S16"/>
  <c r="R16"/>
  <c r="O16"/>
  <c r="AL16" s="1"/>
  <c r="N16"/>
  <c r="AK16" s="1"/>
  <c r="AJ16" s="1"/>
  <c r="M16"/>
  <c r="AD16" s="1"/>
  <c r="J16"/>
  <c r="G16"/>
  <c r="D16"/>
  <c r="AG15"/>
  <c r="AF15"/>
  <c r="AC15"/>
  <c r="AB15"/>
  <c r="W15"/>
  <c r="AE15" s="1"/>
  <c r="S15"/>
  <c r="R15"/>
  <c r="O15"/>
  <c r="AL15" s="1"/>
  <c r="N15"/>
  <c r="Z15" s="1"/>
  <c r="M15"/>
  <c r="AD15" s="1"/>
  <c r="J15"/>
  <c r="G15"/>
  <c r="D15"/>
  <c r="AG14"/>
  <c r="AF14"/>
  <c r="AC14"/>
  <c r="AB14"/>
  <c r="W14"/>
  <c r="AE14" s="1"/>
  <c r="S14"/>
  <c r="R14"/>
  <c r="R43" s="1"/>
  <c r="O14"/>
  <c r="AL14" s="1"/>
  <c r="N14"/>
  <c r="Z14" s="1"/>
  <c r="M14"/>
  <c r="AD14" s="1"/>
  <c r="J14"/>
  <c r="G14"/>
  <c r="D14"/>
  <c r="AG13"/>
  <c r="AF13"/>
  <c r="AC13"/>
  <c r="AB13"/>
  <c r="W13"/>
  <c r="AE13" s="1"/>
  <c r="S13"/>
  <c r="R13"/>
  <c r="O13"/>
  <c r="AL13" s="1"/>
  <c r="N13"/>
  <c r="Z13" s="1"/>
  <c r="J13"/>
  <c r="G13"/>
  <c r="D13"/>
  <c r="AG12"/>
  <c r="AF12"/>
  <c r="AC12"/>
  <c r="AB12"/>
  <c r="W12"/>
  <c r="AE12" s="1"/>
  <c r="V12"/>
  <c r="S12"/>
  <c r="R12"/>
  <c r="O12"/>
  <c r="AL12" s="1"/>
  <c r="N12"/>
  <c r="Z12" s="1"/>
  <c r="J12"/>
  <c r="G12"/>
  <c r="D12"/>
  <c r="AG11"/>
  <c r="AG43" s="1"/>
  <c r="AF11"/>
  <c r="AF43" s="1"/>
  <c r="AC11"/>
  <c r="AB11"/>
  <c r="AB43" s="1"/>
  <c r="W11"/>
  <c r="W43" s="1"/>
  <c r="V11"/>
  <c r="T11"/>
  <c r="T43" s="1"/>
  <c r="R11"/>
  <c r="O11"/>
  <c r="O43" s="1"/>
  <c r="N11"/>
  <c r="M11"/>
  <c r="J11"/>
  <c r="J43" s="1"/>
  <c r="G11"/>
  <c r="D11"/>
  <c r="AD4"/>
  <c r="Y4"/>
  <c r="W4"/>
  <c r="AB152" l="1"/>
  <c r="AF152"/>
  <c r="AF178"/>
  <c r="AK36"/>
  <c r="AJ36" s="1"/>
  <c r="Z36"/>
  <c r="M36"/>
  <c r="AJ17"/>
  <c r="AJ22"/>
  <c r="AJ24"/>
  <c r="AJ26"/>
  <c r="AJ30"/>
  <c r="AJ32"/>
  <c r="AJ34"/>
  <c r="AJ38"/>
  <c r="T152"/>
  <c r="T178"/>
  <c r="Z18"/>
  <c r="M18"/>
  <c r="AK18"/>
  <c r="AJ18" s="1"/>
  <c r="X152"/>
  <c r="AA43"/>
  <c r="AK41"/>
  <c r="AJ41" s="1"/>
  <c r="Z41"/>
  <c r="M41"/>
  <c r="AH152"/>
  <c r="AH178"/>
  <c r="Z46"/>
  <c r="M46"/>
  <c r="Z48"/>
  <c r="M48"/>
  <c r="Z50"/>
  <c r="M50"/>
  <c r="Z52"/>
  <c r="M52"/>
  <c r="Z54"/>
  <c r="M54"/>
  <c r="Z56"/>
  <c r="M56"/>
  <c r="Z58"/>
  <c r="M58"/>
  <c r="Z60"/>
  <c r="M60"/>
  <c r="Z62"/>
  <c r="M62"/>
  <c r="Z64"/>
  <c r="M64"/>
  <c r="Z66"/>
  <c r="M66"/>
  <c r="Z68"/>
  <c r="M68"/>
  <c r="Z70"/>
  <c r="M70"/>
  <c r="Z72"/>
  <c r="M72"/>
  <c r="AK77"/>
  <c r="M77"/>
  <c r="AE79"/>
  <c r="V79"/>
  <c r="Z88"/>
  <c r="M88"/>
  <c r="Z90"/>
  <c r="M90"/>
  <c r="Z92"/>
  <c r="M92"/>
  <c r="AD94"/>
  <c r="Y94"/>
  <c r="AK95"/>
  <c r="AJ95" s="1"/>
  <c r="Z95"/>
  <c r="M95"/>
  <c r="AD96"/>
  <c r="Y96"/>
  <c r="AL96"/>
  <c r="AA96"/>
  <c r="AD103"/>
  <c r="Y103"/>
  <c r="S11"/>
  <c r="S43" s="1"/>
  <c r="Y11"/>
  <c r="AA11"/>
  <c r="AE11"/>
  <c r="AK11"/>
  <c r="AA12"/>
  <c r="AK12"/>
  <c r="AJ12" s="1"/>
  <c r="V13"/>
  <c r="V43" s="1"/>
  <c r="AA13"/>
  <c r="AK13"/>
  <c r="AJ13" s="1"/>
  <c r="V14"/>
  <c r="Y14"/>
  <c r="AA14"/>
  <c r="AK14"/>
  <c r="AJ14" s="1"/>
  <c r="V15"/>
  <c r="Y15"/>
  <c r="AA15"/>
  <c r="AK15"/>
  <c r="AJ15" s="1"/>
  <c r="V16"/>
  <c r="Y16"/>
  <c r="AA16"/>
  <c r="AE16"/>
  <c r="M17"/>
  <c r="Z17"/>
  <c r="G18"/>
  <c r="G43" s="1"/>
  <c r="V18"/>
  <c r="AA18"/>
  <c r="V19"/>
  <c r="Y19" s="1"/>
  <c r="AA19"/>
  <c r="N20"/>
  <c r="V20"/>
  <c r="AL20"/>
  <c r="M21"/>
  <c r="Z21"/>
  <c r="Y22"/>
  <c r="AA22"/>
  <c r="M23"/>
  <c r="Z23"/>
  <c r="Z24"/>
  <c r="Z25"/>
  <c r="Z26"/>
  <c r="Y27"/>
  <c r="AA27"/>
  <c r="M28"/>
  <c r="AA28"/>
  <c r="M29"/>
  <c r="Z29"/>
  <c r="M30"/>
  <c r="Z30"/>
  <c r="M31"/>
  <c r="Z31"/>
  <c r="M32"/>
  <c r="Z32"/>
  <c r="M33"/>
  <c r="Z33"/>
  <c r="M34"/>
  <c r="Z34"/>
  <c r="E43"/>
  <c r="E178" s="1"/>
  <c r="N35"/>
  <c r="V35"/>
  <c r="AA35"/>
  <c r="D36"/>
  <c r="D43" s="1"/>
  <c r="D178" s="1"/>
  <c r="M37"/>
  <c r="Z37"/>
  <c r="M38"/>
  <c r="Z38"/>
  <c r="M39"/>
  <c r="AA39"/>
  <c r="M40"/>
  <c r="V40"/>
  <c r="AA40"/>
  <c r="AK40"/>
  <c r="AJ40" s="1"/>
  <c r="AA42"/>
  <c r="AK42"/>
  <c r="AJ42" s="1"/>
  <c r="AG150"/>
  <c r="AG152" s="1"/>
  <c r="AA76"/>
  <c r="AJ76"/>
  <c r="AL77"/>
  <c r="AL79"/>
  <c r="AJ79" s="1"/>
  <c r="Y80"/>
  <c r="AA83"/>
  <c r="Y85"/>
  <c r="AA87"/>
  <c r="AJ87"/>
  <c r="AK94"/>
  <c r="AJ94" s="1"/>
  <c r="AJ102"/>
  <c r="AJ105"/>
  <c r="AJ107"/>
  <c r="Y119"/>
  <c r="AJ126"/>
  <c r="AJ135"/>
  <c r="AJ170"/>
  <c r="AJ172"/>
  <c r="Z47"/>
  <c r="M47"/>
  <c r="Z49"/>
  <c r="M49"/>
  <c r="Z51"/>
  <c r="M51"/>
  <c r="Z53"/>
  <c r="M53"/>
  <c r="Z55"/>
  <c r="M55"/>
  <c r="Z57"/>
  <c r="M57"/>
  <c r="Z59"/>
  <c r="M59"/>
  <c r="Z61"/>
  <c r="M61"/>
  <c r="Z63"/>
  <c r="M63"/>
  <c r="Z65"/>
  <c r="M65"/>
  <c r="Z67"/>
  <c r="M67"/>
  <c r="Z69"/>
  <c r="M69"/>
  <c r="Z71"/>
  <c r="M71"/>
  <c r="Z73"/>
  <c r="M73"/>
  <c r="H150"/>
  <c r="H178" s="1"/>
  <c r="N75"/>
  <c r="G75"/>
  <c r="AE75"/>
  <c r="AE150" s="1"/>
  <c r="V75"/>
  <c r="V150" s="1"/>
  <c r="AE78"/>
  <c r="V78"/>
  <c r="Y78" s="1"/>
  <c r="N81"/>
  <c r="G81"/>
  <c r="AK82"/>
  <c r="AJ82" s="1"/>
  <c r="Z82"/>
  <c r="M82"/>
  <c r="AK86"/>
  <c r="AJ86" s="1"/>
  <c r="M86"/>
  <c r="Z89"/>
  <c r="M89"/>
  <c r="Z91"/>
  <c r="M91"/>
  <c r="Z93"/>
  <c r="M93"/>
  <c r="M97"/>
  <c r="AK97"/>
  <c r="AJ97" s="1"/>
  <c r="Z97"/>
  <c r="AD111"/>
  <c r="Y111"/>
  <c r="AD121"/>
  <c r="Y121"/>
  <c r="Z11"/>
  <c r="AD11"/>
  <c r="AL11"/>
  <c r="AL43" s="1"/>
  <c r="M12"/>
  <c r="M13"/>
  <c r="Y24"/>
  <c r="AA24"/>
  <c r="Y25"/>
  <c r="AA25"/>
  <c r="Y26"/>
  <c r="AA26"/>
  <c r="Z28"/>
  <c r="Z39"/>
  <c r="AE42"/>
  <c r="AJ48"/>
  <c r="AJ50"/>
  <c r="AJ52"/>
  <c r="AJ54"/>
  <c r="AJ56"/>
  <c r="AJ58"/>
  <c r="AJ60"/>
  <c r="AJ62"/>
  <c r="AJ64"/>
  <c r="AJ66"/>
  <c r="AJ68"/>
  <c r="AJ70"/>
  <c r="AJ72"/>
  <c r="Y76"/>
  <c r="Y79"/>
  <c r="Y83"/>
  <c r="Y87"/>
  <c r="AJ88"/>
  <c r="AJ90"/>
  <c r="AJ92"/>
  <c r="AJ96"/>
  <c r="AD129"/>
  <c r="Y129"/>
  <c r="AD130"/>
  <c r="Y130"/>
  <c r="AK131"/>
  <c r="AJ131" s="1"/>
  <c r="Z131"/>
  <c r="M131"/>
  <c r="U150"/>
  <c r="S132"/>
  <c r="AD133"/>
  <c r="Y133"/>
  <c r="AL133"/>
  <c r="AA133"/>
  <c r="AK137"/>
  <c r="AJ137" s="1"/>
  <c r="Z137"/>
  <c r="M137"/>
  <c r="AD138"/>
  <c r="Y138"/>
  <c r="AL138"/>
  <c r="AA138"/>
  <c r="Z142"/>
  <c r="M142"/>
  <c r="Z144"/>
  <c r="M144"/>
  <c r="AE147"/>
  <c r="V147"/>
  <c r="AD156"/>
  <c r="Y156"/>
  <c r="AD157"/>
  <c r="Y157"/>
  <c r="AD158"/>
  <c r="Y158"/>
  <c r="AE167"/>
  <c r="V167"/>
  <c r="AE173"/>
  <c r="V173"/>
  <c r="AD176"/>
  <c r="Y176"/>
  <c r="Y101"/>
  <c r="AA101"/>
  <c r="Y102"/>
  <c r="AA102"/>
  <c r="Z103"/>
  <c r="AK103"/>
  <c r="AJ103" s="1"/>
  <c r="Z104"/>
  <c r="O108"/>
  <c r="Z111"/>
  <c r="AK111"/>
  <c r="AJ111" s="1"/>
  <c r="AK112"/>
  <c r="AJ112" s="1"/>
  <c r="Z114"/>
  <c r="AD114"/>
  <c r="AL114"/>
  <c r="AJ114" s="1"/>
  <c r="Z116"/>
  <c r="AD119"/>
  <c r="AL119"/>
  <c r="AJ119" s="1"/>
  <c r="Z121"/>
  <c r="AK121"/>
  <c r="AJ121" s="1"/>
  <c r="Y123"/>
  <c r="AA123"/>
  <c r="AK124"/>
  <c r="AJ124" s="1"/>
  <c r="AK129"/>
  <c r="AJ129" s="1"/>
  <c r="AK130"/>
  <c r="AJ130" s="1"/>
  <c r="Z132"/>
  <c r="AJ143"/>
  <c r="Y146"/>
  <c r="AI152"/>
  <c r="AK156"/>
  <c r="AJ156" s="1"/>
  <c r="AK157"/>
  <c r="AJ157" s="1"/>
  <c r="AK158"/>
  <c r="AJ158" s="1"/>
  <c r="AK175"/>
  <c r="AK176"/>
  <c r="AJ176" s="1"/>
  <c r="O177"/>
  <c r="AK127"/>
  <c r="AJ127" s="1"/>
  <c r="Z127"/>
  <c r="M127"/>
  <c r="AD128"/>
  <c r="Y128"/>
  <c r="AL128"/>
  <c r="AJ128" s="1"/>
  <c r="AA128"/>
  <c r="O132"/>
  <c r="J132"/>
  <c r="J150" s="1"/>
  <c r="J178" s="1"/>
  <c r="AK134"/>
  <c r="AJ134" s="1"/>
  <c r="Z134"/>
  <c r="M134"/>
  <c r="AD136"/>
  <c r="Y136"/>
  <c r="AL136"/>
  <c r="AJ136" s="1"/>
  <c r="AA136"/>
  <c r="AK139"/>
  <c r="AJ139" s="1"/>
  <c r="Z139"/>
  <c r="M139"/>
  <c r="AD141"/>
  <c r="Y141"/>
  <c r="AL141"/>
  <c r="AJ141" s="1"/>
  <c r="AA141"/>
  <c r="Z143"/>
  <c r="M143"/>
  <c r="AK145"/>
  <c r="AJ145" s="1"/>
  <c r="Z145"/>
  <c r="M145"/>
  <c r="AE148"/>
  <c r="V148"/>
  <c r="Y148" s="1"/>
  <c r="M159"/>
  <c r="Y159" s="1"/>
  <c r="AD155"/>
  <c r="Y155"/>
  <c r="O159"/>
  <c r="AL155"/>
  <c r="AL159" s="1"/>
  <c r="AA155"/>
  <c r="AK162"/>
  <c r="AJ161"/>
  <c r="AJ162" s="1"/>
  <c r="AE166"/>
  <c r="V166"/>
  <c r="V177" s="1"/>
  <c r="AE168"/>
  <c r="V168"/>
  <c r="Y168" s="1"/>
  <c r="AE174"/>
  <c r="V174"/>
  <c r="Y174" s="1"/>
  <c r="AD175"/>
  <c r="Y175"/>
  <c r="AL175"/>
  <c r="AA175"/>
  <c r="AA177" s="1"/>
  <c r="U178"/>
  <c r="AC178"/>
  <c r="O150"/>
  <c r="AA150" s="1"/>
  <c r="S150"/>
  <c r="W150"/>
  <c r="W178" s="1"/>
  <c r="AL46"/>
  <c r="N74"/>
  <c r="Z83"/>
  <c r="Z84"/>
  <c r="AA94"/>
  <c r="AA97"/>
  <c r="M98"/>
  <c r="Z98"/>
  <c r="Y99"/>
  <c r="AA99"/>
  <c r="M100"/>
  <c r="Z100"/>
  <c r="Z101"/>
  <c r="AA103"/>
  <c r="M104"/>
  <c r="Y105"/>
  <c r="AA105"/>
  <c r="M106"/>
  <c r="Z106"/>
  <c r="Y107"/>
  <c r="AA107"/>
  <c r="G108"/>
  <c r="G150" s="1"/>
  <c r="M109"/>
  <c r="Z109"/>
  <c r="Y110"/>
  <c r="AA110"/>
  <c r="AA111"/>
  <c r="M112"/>
  <c r="M113"/>
  <c r="Z113"/>
  <c r="V114"/>
  <c r="Y114" s="1"/>
  <c r="Y115"/>
  <c r="AA115"/>
  <c r="M116"/>
  <c r="Y117"/>
  <c r="AA117"/>
  <c r="M118"/>
  <c r="Z118"/>
  <c r="Y120"/>
  <c r="AA120"/>
  <c r="AA121"/>
  <c r="M122"/>
  <c r="Z122"/>
  <c r="M124"/>
  <c r="M125"/>
  <c r="Z125"/>
  <c r="Y126"/>
  <c r="AA126"/>
  <c r="Z129"/>
  <c r="Z130"/>
  <c r="AK132"/>
  <c r="AJ133"/>
  <c r="AJ138"/>
  <c r="AK142"/>
  <c r="AJ142" s="1"/>
  <c r="AK144"/>
  <c r="AJ144" s="1"/>
  <c r="AA146"/>
  <c r="AJ146"/>
  <c r="AD148"/>
  <c r="AL148"/>
  <c r="AJ148" s="1"/>
  <c r="Y149"/>
  <c r="L150"/>
  <c r="L178" s="1"/>
  <c r="U152"/>
  <c r="AC152"/>
  <c r="Z156"/>
  <c r="Z157"/>
  <c r="Z158"/>
  <c r="N159"/>
  <c r="X159"/>
  <c r="X178" s="1"/>
  <c r="Y164"/>
  <c r="AB177"/>
  <c r="AB178" s="1"/>
  <c r="AD166"/>
  <c r="AD177" s="1"/>
  <c r="AL166"/>
  <c r="AJ166" s="1"/>
  <c r="Y167"/>
  <c r="Z167"/>
  <c r="AD168"/>
  <c r="AL168"/>
  <c r="AJ168" s="1"/>
  <c r="Y173"/>
  <c r="Z173"/>
  <c r="AD174"/>
  <c r="AL174"/>
  <c r="AJ174" s="1"/>
  <c r="Z175"/>
  <c r="AE175"/>
  <c r="Z176"/>
  <c r="W177"/>
  <c r="AA129"/>
  <c r="AA130"/>
  <c r="Z135"/>
  <c r="Z140"/>
  <c r="N147"/>
  <c r="AA156"/>
  <c r="AA157"/>
  <c r="AA158"/>
  <c r="Y161"/>
  <c r="Z164"/>
  <c r="AK164"/>
  <c r="Z169"/>
  <c r="Z170"/>
  <c r="Z171"/>
  <c r="Z172"/>
  <c r="AA176"/>
  <c r="V152" l="1"/>
  <c r="V178"/>
  <c r="G178"/>
  <c r="AK177"/>
  <c r="AJ164"/>
  <c r="AD159"/>
  <c r="Z159"/>
  <c r="AD125"/>
  <c r="Y125"/>
  <c r="AD118"/>
  <c r="Y118"/>
  <c r="AD113"/>
  <c r="Y113"/>
  <c r="AD109"/>
  <c r="Y109"/>
  <c r="Y104"/>
  <c r="AD104"/>
  <c r="AD100"/>
  <c r="Y100"/>
  <c r="AD98"/>
  <c r="Y98"/>
  <c r="AD143"/>
  <c r="Y143"/>
  <c r="Y139"/>
  <c r="AD139"/>
  <c r="Y127"/>
  <c r="AD127"/>
  <c r="AD131"/>
  <c r="Y131"/>
  <c r="AD13"/>
  <c r="Y13"/>
  <c r="AD93"/>
  <c r="Y93"/>
  <c r="AD91"/>
  <c r="Y91"/>
  <c r="AD89"/>
  <c r="Y89"/>
  <c r="Y86"/>
  <c r="AD86"/>
  <c r="Y82"/>
  <c r="AD82"/>
  <c r="Z81"/>
  <c r="AK81"/>
  <c r="AJ81" s="1"/>
  <c r="M81"/>
  <c r="AK75"/>
  <c r="AJ75" s="1"/>
  <c r="M75"/>
  <c r="Z75"/>
  <c r="AD73"/>
  <c r="Y73"/>
  <c r="AD71"/>
  <c r="Y71"/>
  <c r="AD69"/>
  <c r="Y69"/>
  <c r="AD67"/>
  <c r="Y67"/>
  <c r="AD65"/>
  <c r="Y65"/>
  <c r="AD63"/>
  <c r="Y63"/>
  <c r="AD61"/>
  <c r="Y61"/>
  <c r="AD59"/>
  <c r="Y59"/>
  <c r="AD57"/>
  <c r="Y57"/>
  <c r="AD55"/>
  <c r="Y55"/>
  <c r="AD53"/>
  <c r="Y53"/>
  <c r="AD51"/>
  <c r="Y51"/>
  <c r="AD49"/>
  <c r="Y49"/>
  <c r="AD47"/>
  <c r="Y47"/>
  <c r="R47"/>
  <c r="AD40"/>
  <c r="Y40"/>
  <c r="R39"/>
  <c r="AD39"/>
  <c r="Y39"/>
  <c r="Y38"/>
  <c r="AD38"/>
  <c r="Y37"/>
  <c r="AD37"/>
  <c r="Z35"/>
  <c r="M35"/>
  <c r="AK35"/>
  <c r="AJ35" s="1"/>
  <c r="AD23"/>
  <c r="Y23"/>
  <c r="AD21"/>
  <c r="Y21"/>
  <c r="AD95"/>
  <c r="Y95"/>
  <c r="AD46"/>
  <c r="Y46"/>
  <c r="R46"/>
  <c r="R150" s="1"/>
  <c r="AD41"/>
  <c r="Y41"/>
  <c r="R41"/>
  <c r="Y36"/>
  <c r="AD36"/>
  <c r="AE177"/>
  <c r="Y166"/>
  <c r="Y177" s="1"/>
  <c r="AK159"/>
  <c r="AJ46"/>
  <c r="W152"/>
  <c r="AE43"/>
  <c r="AJ77"/>
  <c r="AG178"/>
  <c r="O152"/>
  <c r="AA152" s="1"/>
  <c r="AL44"/>
  <c r="AK147"/>
  <c r="AJ147" s="1"/>
  <c r="Z147"/>
  <c r="M147"/>
  <c r="AD124"/>
  <c r="Y124"/>
  <c r="AD122"/>
  <c r="Y122"/>
  <c r="Y116"/>
  <c r="AD116"/>
  <c r="AD112"/>
  <c r="Y112"/>
  <c r="AD106"/>
  <c r="Y106"/>
  <c r="Z74"/>
  <c r="AK74"/>
  <c r="M74"/>
  <c r="Y145"/>
  <c r="AD145"/>
  <c r="Y134"/>
  <c r="AD134"/>
  <c r="AL132"/>
  <c r="AJ132" s="1"/>
  <c r="AA132"/>
  <c r="AL108"/>
  <c r="AJ108" s="1"/>
  <c r="AA108"/>
  <c r="M108"/>
  <c r="AD144"/>
  <c r="Y144"/>
  <c r="AD142"/>
  <c r="Y142"/>
  <c r="AD137"/>
  <c r="Y137"/>
  <c r="AD12"/>
  <c r="Y12"/>
  <c r="AD97"/>
  <c r="Y97"/>
  <c r="Y34"/>
  <c r="AD34"/>
  <c r="Y33"/>
  <c r="AD33"/>
  <c r="Y32"/>
  <c r="AD32"/>
  <c r="Y31"/>
  <c r="AD31"/>
  <c r="Y30"/>
  <c r="AD30"/>
  <c r="Y29"/>
  <c r="AD29"/>
  <c r="AD28"/>
  <c r="Y28"/>
  <c r="AK20"/>
  <c r="AJ20" s="1"/>
  <c r="M20"/>
  <c r="M43" s="1"/>
  <c r="Z20"/>
  <c r="Y17"/>
  <c r="AD17"/>
  <c r="AK43"/>
  <c r="AJ11"/>
  <c r="AJ43" s="1"/>
  <c r="S178"/>
  <c r="S152"/>
  <c r="AD92"/>
  <c r="Y92"/>
  <c r="AD90"/>
  <c r="Y90"/>
  <c r="AD88"/>
  <c r="Y88"/>
  <c r="Y77"/>
  <c r="AD77"/>
  <c r="AD72"/>
  <c r="Y72"/>
  <c r="AD70"/>
  <c r="Y70"/>
  <c r="AD68"/>
  <c r="Y68"/>
  <c r="AD66"/>
  <c r="Y66"/>
  <c r="AD64"/>
  <c r="Y64"/>
  <c r="AD62"/>
  <c r="Y62"/>
  <c r="AD60"/>
  <c r="Y60"/>
  <c r="AD58"/>
  <c r="Y58"/>
  <c r="AD56"/>
  <c r="Y56"/>
  <c r="AD54"/>
  <c r="Y54"/>
  <c r="AD52"/>
  <c r="Y52"/>
  <c r="AD50"/>
  <c r="Y50"/>
  <c r="AD48"/>
  <c r="Y48"/>
  <c r="AD18"/>
  <c r="Y18"/>
  <c r="Z177"/>
  <c r="AA159"/>
  <c r="AJ175"/>
  <c r="M132"/>
  <c r="AJ155"/>
  <c r="AJ159" s="1"/>
  <c r="N150"/>
  <c r="O178"/>
  <c r="AA178" s="1"/>
  <c r="N43"/>
  <c r="T279" i="7"/>
  <c r="S279"/>
  <c r="M279"/>
  <c r="I279"/>
  <c r="P278"/>
  <c r="O278"/>
  <c r="L278"/>
  <c r="K278"/>
  <c r="U278" s="1"/>
  <c r="G278"/>
  <c r="A278"/>
  <c r="P277"/>
  <c r="O277"/>
  <c r="L277"/>
  <c r="K277"/>
  <c r="U277" s="1"/>
  <c r="G277"/>
  <c r="A277"/>
  <c r="P276"/>
  <c r="O276"/>
  <c r="K276"/>
  <c r="L276" s="1"/>
  <c r="G276"/>
  <c r="A276"/>
  <c r="P275"/>
  <c r="O275"/>
  <c r="L275"/>
  <c r="K275"/>
  <c r="U275" s="1"/>
  <c r="G275"/>
  <c r="A275"/>
  <c r="P274"/>
  <c r="O274"/>
  <c r="K274"/>
  <c r="L274" s="1"/>
  <c r="G274"/>
  <c r="A274"/>
  <c r="P273"/>
  <c r="O273"/>
  <c r="L273"/>
  <c r="K273"/>
  <c r="U273" s="1"/>
  <c r="G273"/>
  <c r="A273"/>
  <c r="U272"/>
  <c r="P272"/>
  <c r="O272"/>
  <c r="L272"/>
  <c r="K272"/>
  <c r="Q272" s="1"/>
  <c r="R272" s="1"/>
  <c r="G272"/>
  <c r="A272"/>
  <c r="N271"/>
  <c r="O271" s="1"/>
  <c r="K271"/>
  <c r="J271"/>
  <c r="G271"/>
  <c r="A271"/>
  <c r="Q270"/>
  <c r="R270" s="1"/>
  <c r="P270"/>
  <c r="O270"/>
  <c r="N270"/>
  <c r="L270"/>
  <c r="J270"/>
  <c r="K270" s="1"/>
  <c r="U270" s="1"/>
  <c r="G270"/>
  <c r="A270"/>
  <c r="P269"/>
  <c r="O269"/>
  <c r="L269"/>
  <c r="K269"/>
  <c r="U269" s="1"/>
  <c r="G269"/>
  <c r="A269"/>
  <c r="P268"/>
  <c r="O268"/>
  <c r="L268"/>
  <c r="K268"/>
  <c r="U268" s="1"/>
  <c r="G268"/>
  <c r="A268"/>
  <c r="P267"/>
  <c r="O267"/>
  <c r="L267"/>
  <c r="K267"/>
  <c r="U267" s="1"/>
  <c r="G267"/>
  <c r="A267"/>
  <c r="P266"/>
  <c r="N266"/>
  <c r="O266" s="1"/>
  <c r="L266"/>
  <c r="K266"/>
  <c r="G266"/>
  <c r="A266"/>
  <c r="P265"/>
  <c r="O265"/>
  <c r="L265"/>
  <c r="K265"/>
  <c r="U265" s="1"/>
  <c r="G265"/>
  <c r="A265"/>
  <c r="P264"/>
  <c r="O264"/>
  <c r="L264"/>
  <c r="K264"/>
  <c r="U264" s="1"/>
  <c r="G264"/>
  <c r="A264"/>
  <c r="P263"/>
  <c r="N263"/>
  <c r="O263" s="1"/>
  <c r="L263"/>
  <c r="K263"/>
  <c r="J263"/>
  <c r="G263"/>
  <c r="A263"/>
  <c r="O262"/>
  <c r="N262"/>
  <c r="J262"/>
  <c r="K262" s="1"/>
  <c r="Q262" s="1"/>
  <c r="R262" s="1"/>
  <c r="D262"/>
  <c r="A262"/>
  <c r="U261"/>
  <c r="P261"/>
  <c r="O261"/>
  <c r="L261"/>
  <c r="K261"/>
  <c r="Q261" s="1"/>
  <c r="G261"/>
  <c r="A261"/>
  <c r="P260"/>
  <c r="O260"/>
  <c r="N260"/>
  <c r="L260"/>
  <c r="J260"/>
  <c r="K260" s="1"/>
  <c r="Q260" s="1"/>
  <c r="R260" s="1"/>
  <c r="G260"/>
  <c r="A260"/>
  <c r="P259"/>
  <c r="N259"/>
  <c r="O259" s="1"/>
  <c r="K259"/>
  <c r="J259"/>
  <c r="G259"/>
  <c r="A259"/>
  <c r="U258"/>
  <c r="Q258"/>
  <c r="R258" s="1"/>
  <c r="O258"/>
  <c r="N258"/>
  <c r="P258" s="1"/>
  <c r="L258"/>
  <c r="K258"/>
  <c r="G258"/>
  <c r="A258"/>
  <c r="U257"/>
  <c r="O257"/>
  <c r="N257"/>
  <c r="P257" s="1"/>
  <c r="L257"/>
  <c r="J257"/>
  <c r="K257" s="1"/>
  <c r="Q257" s="1"/>
  <c r="R257" s="1"/>
  <c r="G257"/>
  <c r="A257"/>
  <c r="P256"/>
  <c r="O256"/>
  <c r="L256"/>
  <c r="K256"/>
  <c r="U256" s="1"/>
  <c r="G256"/>
  <c r="A256"/>
  <c r="O255"/>
  <c r="N255"/>
  <c r="P255" s="1"/>
  <c r="J255"/>
  <c r="K255" s="1"/>
  <c r="U255" s="1"/>
  <c r="G255"/>
  <c r="A255"/>
  <c r="P254"/>
  <c r="O254"/>
  <c r="L254"/>
  <c r="K254"/>
  <c r="U254" s="1"/>
  <c r="G254"/>
  <c r="A254"/>
  <c r="P253"/>
  <c r="O253"/>
  <c r="K253"/>
  <c r="L253" s="1"/>
  <c r="G253"/>
  <c r="A253"/>
  <c r="P252"/>
  <c r="O252"/>
  <c r="L252"/>
  <c r="K252"/>
  <c r="U252" s="1"/>
  <c r="G252"/>
  <c r="A252"/>
  <c r="U251"/>
  <c r="Q251"/>
  <c r="R251" s="1"/>
  <c r="P251"/>
  <c r="O251"/>
  <c r="N251"/>
  <c r="L251"/>
  <c r="K251"/>
  <c r="G251"/>
  <c r="A251"/>
  <c r="U250"/>
  <c r="Q250"/>
  <c r="R250" s="1"/>
  <c r="O250"/>
  <c r="N250"/>
  <c r="P250" s="1"/>
  <c r="L250"/>
  <c r="K250"/>
  <c r="G250"/>
  <c r="A250"/>
  <c r="U249"/>
  <c r="Q249"/>
  <c r="R249" s="1"/>
  <c r="P249"/>
  <c r="O249"/>
  <c r="N249"/>
  <c r="L249"/>
  <c r="K249"/>
  <c r="G249"/>
  <c r="A249"/>
  <c r="P248"/>
  <c r="O248"/>
  <c r="K248"/>
  <c r="L248" s="1"/>
  <c r="G248"/>
  <c r="A248"/>
  <c r="P247"/>
  <c r="O247"/>
  <c r="L247"/>
  <c r="K247"/>
  <c r="U247" s="1"/>
  <c r="G247"/>
  <c r="A247"/>
  <c r="U246"/>
  <c r="P246"/>
  <c r="O246"/>
  <c r="L246"/>
  <c r="K246"/>
  <c r="Q246" s="1"/>
  <c r="R246" s="1"/>
  <c r="G246"/>
  <c r="A246"/>
  <c r="P245"/>
  <c r="O245"/>
  <c r="L245"/>
  <c r="K245"/>
  <c r="U245" s="1"/>
  <c r="G245"/>
  <c r="A245"/>
  <c r="P244"/>
  <c r="O244"/>
  <c r="L244"/>
  <c r="K244"/>
  <c r="U244" s="1"/>
  <c r="G244"/>
  <c r="A244"/>
  <c r="P243"/>
  <c r="O243"/>
  <c r="L243"/>
  <c r="K243"/>
  <c r="U243" s="1"/>
  <c r="G243"/>
  <c r="A243"/>
  <c r="P242"/>
  <c r="O242"/>
  <c r="K242"/>
  <c r="L242" s="1"/>
  <c r="G242"/>
  <c r="A242"/>
  <c r="P241"/>
  <c r="O241"/>
  <c r="L241"/>
  <c r="K241"/>
  <c r="U241" s="1"/>
  <c r="G241"/>
  <c r="A241"/>
  <c r="U240"/>
  <c r="P240"/>
  <c r="O240"/>
  <c r="L240"/>
  <c r="K240"/>
  <c r="Q240" s="1"/>
  <c r="R240" s="1"/>
  <c r="G240"/>
  <c r="A240"/>
  <c r="P239"/>
  <c r="O239"/>
  <c r="L239"/>
  <c r="K239"/>
  <c r="U239" s="1"/>
  <c r="G239"/>
  <c r="A239"/>
  <c r="P238"/>
  <c r="O238"/>
  <c r="L238"/>
  <c r="K238"/>
  <c r="U238" s="1"/>
  <c r="G238"/>
  <c r="A238"/>
  <c r="P237"/>
  <c r="O237"/>
  <c r="L237"/>
  <c r="K237"/>
  <c r="U237" s="1"/>
  <c r="G237"/>
  <c r="A237"/>
  <c r="P236"/>
  <c r="O236"/>
  <c r="K236"/>
  <c r="L236" s="1"/>
  <c r="G236"/>
  <c r="A236"/>
  <c r="P235"/>
  <c r="O235"/>
  <c r="L235"/>
  <c r="K235"/>
  <c r="U235" s="1"/>
  <c r="G235"/>
  <c r="A235"/>
  <c r="O234"/>
  <c r="N234"/>
  <c r="J234"/>
  <c r="K234" s="1"/>
  <c r="Q234" s="1"/>
  <c r="R234" s="1"/>
  <c r="D234"/>
  <c r="A234"/>
  <c r="U233"/>
  <c r="P233"/>
  <c r="O233"/>
  <c r="L233"/>
  <c r="K233"/>
  <c r="Q233" s="1"/>
  <c r="R233" s="1"/>
  <c r="G233"/>
  <c r="A233"/>
  <c r="P232"/>
  <c r="O232"/>
  <c r="L232"/>
  <c r="K232"/>
  <c r="U232" s="1"/>
  <c r="G232"/>
  <c r="A232"/>
  <c r="P231"/>
  <c r="O231"/>
  <c r="L231"/>
  <c r="K231"/>
  <c r="U231" s="1"/>
  <c r="G231"/>
  <c r="A231"/>
  <c r="P230"/>
  <c r="O230"/>
  <c r="L230"/>
  <c r="K230"/>
  <c r="U230" s="1"/>
  <c r="G230"/>
  <c r="A230"/>
  <c r="O229"/>
  <c r="N229"/>
  <c r="J229"/>
  <c r="K229" s="1"/>
  <c r="Q229" s="1"/>
  <c r="R229" s="1"/>
  <c r="D229"/>
  <c r="A229"/>
  <c r="O228"/>
  <c r="N228"/>
  <c r="J228"/>
  <c r="K228" s="1"/>
  <c r="Q228" s="1"/>
  <c r="R228" s="1"/>
  <c r="D228"/>
  <c r="A228"/>
  <c r="U227"/>
  <c r="P227"/>
  <c r="O227"/>
  <c r="L227"/>
  <c r="K227"/>
  <c r="Q227" s="1"/>
  <c r="R227" s="1"/>
  <c r="G227"/>
  <c r="A227"/>
  <c r="P226"/>
  <c r="O226"/>
  <c r="L226"/>
  <c r="K226"/>
  <c r="U226" s="1"/>
  <c r="G226"/>
  <c r="A226"/>
  <c r="P225"/>
  <c r="O225"/>
  <c r="L225"/>
  <c r="K225"/>
  <c r="U225" s="1"/>
  <c r="G225"/>
  <c r="A225"/>
  <c r="P224"/>
  <c r="O224"/>
  <c r="L224"/>
  <c r="K224"/>
  <c r="U224" s="1"/>
  <c r="G224"/>
  <c r="A224"/>
  <c r="U223"/>
  <c r="P223"/>
  <c r="O223"/>
  <c r="L223"/>
  <c r="K223"/>
  <c r="Q223" s="1"/>
  <c r="R223" s="1"/>
  <c r="G223"/>
  <c r="A223"/>
  <c r="P222"/>
  <c r="O222"/>
  <c r="L222"/>
  <c r="K222"/>
  <c r="U222" s="1"/>
  <c r="G222"/>
  <c r="A222"/>
  <c r="P221"/>
  <c r="O221"/>
  <c r="L221"/>
  <c r="K221"/>
  <c r="U221" s="1"/>
  <c r="G221"/>
  <c r="A221"/>
  <c r="P220"/>
  <c r="O220"/>
  <c r="L220"/>
  <c r="K220"/>
  <c r="U220" s="1"/>
  <c r="G220"/>
  <c r="A220"/>
  <c r="U219"/>
  <c r="P219"/>
  <c r="O219"/>
  <c r="L219"/>
  <c r="K219"/>
  <c r="Q219" s="1"/>
  <c r="R219" s="1"/>
  <c r="G219"/>
  <c r="A219"/>
  <c r="P218"/>
  <c r="O218"/>
  <c r="L218"/>
  <c r="K218"/>
  <c r="U218" s="1"/>
  <c r="G218"/>
  <c r="A218"/>
  <c r="U217"/>
  <c r="Q217"/>
  <c r="R217" s="1"/>
  <c r="O217"/>
  <c r="N217"/>
  <c r="P217" s="1"/>
  <c r="L217"/>
  <c r="K217"/>
  <c r="G217"/>
  <c r="A217"/>
  <c r="P216"/>
  <c r="O216"/>
  <c r="L216"/>
  <c r="K216"/>
  <c r="U216" s="1"/>
  <c r="G216"/>
  <c r="A216"/>
  <c r="P215"/>
  <c r="O215"/>
  <c r="L215"/>
  <c r="K215"/>
  <c r="U215" s="1"/>
  <c r="G215"/>
  <c r="A215"/>
  <c r="U214"/>
  <c r="P214"/>
  <c r="O214"/>
  <c r="L214"/>
  <c r="K214"/>
  <c r="Q214" s="1"/>
  <c r="R214" s="1"/>
  <c r="G214"/>
  <c r="A214"/>
  <c r="P213"/>
  <c r="O213"/>
  <c r="L213"/>
  <c r="K213"/>
  <c r="U213" s="1"/>
  <c r="G213"/>
  <c r="A213"/>
  <c r="P212"/>
  <c r="O212"/>
  <c r="L212"/>
  <c r="K212"/>
  <c r="U212" s="1"/>
  <c r="G212"/>
  <c r="A212"/>
  <c r="P211"/>
  <c r="O211"/>
  <c r="L211"/>
  <c r="K211"/>
  <c r="U211" s="1"/>
  <c r="G211"/>
  <c r="A211"/>
  <c r="U210"/>
  <c r="P210"/>
  <c r="O210"/>
  <c r="L210"/>
  <c r="K210"/>
  <c r="Q210" s="1"/>
  <c r="R210" s="1"/>
  <c r="G210"/>
  <c r="A210"/>
  <c r="P209"/>
  <c r="O209"/>
  <c r="L209"/>
  <c r="K209"/>
  <c r="U209" s="1"/>
  <c r="G209"/>
  <c r="A209"/>
  <c r="Q208"/>
  <c r="R208" s="1"/>
  <c r="P208"/>
  <c r="O208"/>
  <c r="K208"/>
  <c r="L208" s="1"/>
  <c r="G208"/>
  <c r="A208"/>
  <c r="P207"/>
  <c r="O207"/>
  <c r="L207"/>
  <c r="K207"/>
  <c r="U207" s="1"/>
  <c r="G207"/>
  <c r="A207"/>
  <c r="Q206"/>
  <c r="R206" s="1"/>
  <c r="P206"/>
  <c r="O206"/>
  <c r="N206"/>
  <c r="L206"/>
  <c r="J206"/>
  <c r="K206" s="1"/>
  <c r="U206" s="1"/>
  <c r="G206"/>
  <c r="A206"/>
  <c r="P205"/>
  <c r="O205"/>
  <c r="L205"/>
  <c r="K205"/>
  <c r="U205" s="1"/>
  <c r="G205"/>
  <c r="A205"/>
  <c r="Q204"/>
  <c r="R204" s="1"/>
  <c r="P204"/>
  <c r="O204"/>
  <c r="N204"/>
  <c r="L204"/>
  <c r="J204"/>
  <c r="K204" s="1"/>
  <c r="U204" s="1"/>
  <c r="G204"/>
  <c r="A204"/>
  <c r="P203"/>
  <c r="O203"/>
  <c r="L203"/>
  <c r="K203"/>
  <c r="U203" s="1"/>
  <c r="G203"/>
  <c r="A203"/>
  <c r="Q202"/>
  <c r="R202" s="1"/>
  <c r="P202"/>
  <c r="O202"/>
  <c r="K202"/>
  <c r="L202" s="1"/>
  <c r="G202"/>
  <c r="A202"/>
  <c r="P201"/>
  <c r="O201"/>
  <c r="L201"/>
  <c r="K201"/>
  <c r="U201" s="1"/>
  <c r="G201"/>
  <c r="A201"/>
  <c r="Q200"/>
  <c r="R200" s="1"/>
  <c r="P200"/>
  <c r="O200"/>
  <c r="K200"/>
  <c r="L200" s="1"/>
  <c r="G200"/>
  <c r="A200"/>
  <c r="P199"/>
  <c r="O199"/>
  <c r="J199"/>
  <c r="K199" s="1"/>
  <c r="G199"/>
  <c r="A199"/>
  <c r="P198"/>
  <c r="O198"/>
  <c r="L198"/>
  <c r="K198"/>
  <c r="U198" s="1"/>
  <c r="G198"/>
  <c r="A198"/>
  <c r="U197"/>
  <c r="O197"/>
  <c r="N197"/>
  <c r="P197" s="1"/>
  <c r="L197"/>
  <c r="J197"/>
  <c r="K197" s="1"/>
  <c r="Q197" s="1"/>
  <c r="R197" s="1"/>
  <c r="G197"/>
  <c r="A197"/>
  <c r="P196"/>
  <c r="O196"/>
  <c r="L196"/>
  <c r="K196"/>
  <c r="U196" s="1"/>
  <c r="G196"/>
  <c r="A196"/>
  <c r="P195"/>
  <c r="O195"/>
  <c r="L195"/>
  <c r="K195"/>
  <c r="U195" s="1"/>
  <c r="G195"/>
  <c r="A195"/>
  <c r="P194"/>
  <c r="O194"/>
  <c r="L194"/>
  <c r="K194"/>
  <c r="U194" s="1"/>
  <c r="G194"/>
  <c r="A194"/>
  <c r="U193"/>
  <c r="O193"/>
  <c r="N193"/>
  <c r="P193" s="1"/>
  <c r="L193"/>
  <c r="J193"/>
  <c r="K193" s="1"/>
  <c r="Q193" s="1"/>
  <c r="R193" s="1"/>
  <c r="G193"/>
  <c r="A193"/>
  <c r="P192"/>
  <c r="O192"/>
  <c r="L192"/>
  <c r="K192"/>
  <c r="U192" s="1"/>
  <c r="G192"/>
  <c r="A192"/>
  <c r="Q191"/>
  <c r="R191" s="1"/>
  <c r="P191"/>
  <c r="O191"/>
  <c r="K191"/>
  <c r="L191" s="1"/>
  <c r="G191"/>
  <c r="A191"/>
  <c r="P190"/>
  <c r="O190"/>
  <c r="L190"/>
  <c r="K190"/>
  <c r="U190" s="1"/>
  <c r="G190"/>
  <c r="A190"/>
  <c r="P189"/>
  <c r="O189"/>
  <c r="L189"/>
  <c r="K189"/>
  <c r="U189" s="1"/>
  <c r="G189"/>
  <c r="A189"/>
  <c r="P188"/>
  <c r="O188"/>
  <c r="L188"/>
  <c r="K188"/>
  <c r="U188" s="1"/>
  <c r="G188"/>
  <c r="A188"/>
  <c r="U187"/>
  <c r="O187"/>
  <c r="N187"/>
  <c r="P187" s="1"/>
  <c r="L187"/>
  <c r="J187"/>
  <c r="K187" s="1"/>
  <c r="Q187" s="1"/>
  <c r="R187" s="1"/>
  <c r="G187"/>
  <c r="A187"/>
  <c r="P186"/>
  <c r="O186"/>
  <c r="J186"/>
  <c r="K186" s="1"/>
  <c r="G186"/>
  <c r="A186"/>
  <c r="P185"/>
  <c r="O185"/>
  <c r="L185"/>
  <c r="K185"/>
  <c r="U185" s="1"/>
  <c r="G185"/>
  <c r="A185"/>
  <c r="U184"/>
  <c r="P184"/>
  <c r="O184"/>
  <c r="L184"/>
  <c r="K184"/>
  <c r="Q184" s="1"/>
  <c r="R184" s="1"/>
  <c r="G184"/>
  <c r="A184"/>
  <c r="P183"/>
  <c r="O183"/>
  <c r="L183"/>
  <c r="K183"/>
  <c r="U183" s="1"/>
  <c r="G183"/>
  <c r="A183"/>
  <c r="P182"/>
  <c r="O182"/>
  <c r="L182"/>
  <c r="K182"/>
  <c r="U182" s="1"/>
  <c r="G182"/>
  <c r="A182"/>
  <c r="P181"/>
  <c r="N181"/>
  <c r="O181" s="1"/>
  <c r="L181"/>
  <c r="K181"/>
  <c r="J181"/>
  <c r="G181"/>
  <c r="A181"/>
  <c r="O180"/>
  <c r="N180"/>
  <c r="P180" s="1"/>
  <c r="J180"/>
  <c r="K180" s="1"/>
  <c r="U180" s="1"/>
  <c r="G180"/>
  <c r="A180"/>
  <c r="P179"/>
  <c r="O179"/>
  <c r="L179"/>
  <c r="K179"/>
  <c r="U179" s="1"/>
  <c r="G179"/>
  <c r="A179"/>
  <c r="P178"/>
  <c r="O178"/>
  <c r="K178"/>
  <c r="L178" s="1"/>
  <c r="G178"/>
  <c r="A178"/>
  <c r="P177"/>
  <c r="N177"/>
  <c r="O177" s="1"/>
  <c r="K177"/>
  <c r="J177"/>
  <c r="G177"/>
  <c r="A177"/>
  <c r="U176"/>
  <c r="P176"/>
  <c r="O176"/>
  <c r="L176"/>
  <c r="K176"/>
  <c r="Q176" s="1"/>
  <c r="R176" s="1"/>
  <c r="G176"/>
  <c r="A176"/>
  <c r="P175"/>
  <c r="O175"/>
  <c r="L175"/>
  <c r="K175"/>
  <c r="U175" s="1"/>
  <c r="G175"/>
  <c r="A175"/>
  <c r="P174"/>
  <c r="O174"/>
  <c r="L174"/>
  <c r="K174"/>
  <c r="U174" s="1"/>
  <c r="G174"/>
  <c r="A174"/>
  <c r="P173"/>
  <c r="O173"/>
  <c r="L173"/>
  <c r="K173"/>
  <c r="U173" s="1"/>
  <c r="G173"/>
  <c r="A173"/>
  <c r="U172"/>
  <c r="P172"/>
  <c r="O172"/>
  <c r="L172"/>
  <c r="K172"/>
  <c r="Q172" s="1"/>
  <c r="R172" s="1"/>
  <c r="G172"/>
  <c r="A172"/>
  <c r="P171"/>
  <c r="O171"/>
  <c r="L171"/>
  <c r="K171"/>
  <c r="U171" s="1"/>
  <c r="G171"/>
  <c r="A171"/>
  <c r="P170"/>
  <c r="O170"/>
  <c r="L170"/>
  <c r="K170"/>
  <c r="U170" s="1"/>
  <c r="G170"/>
  <c r="A170"/>
  <c r="P169"/>
  <c r="O169"/>
  <c r="L169"/>
  <c r="K169"/>
  <c r="U169" s="1"/>
  <c r="G169"/>
  <c r="A169"/>
  <c r="P168"/>
  <c r="O168"/>
  <c r="K168"/>
  <c r="L168" s="1"/>
  <c r="G168"/>
  <c r="A168"/>
  <c r="P167"/>
  <c r="N167"/>
  <c r="O167" s="1"/>
  <c r="K167"/>
  <c r="J167"/>
  <c r="G167"/>
  <c r="A167"/>
  <c r="U166"/>
  <c r="P166"/>
  <c r="O166"/>
  <c r="L166"/>
  <c r="K166"/>
  <c r="Q166" s="1"/>
  <c r="R166" s="1"/>
  <c r="G166"/>
  <c r="A166"/>
  <c r="P165"/>
  <c r="O165"/>
  <c r="L165"/>
  <c r="K165"/>
  <c r="U165" s="1"/>
  <c r="G165"/>
  <c r="A165"/>
  <c r="U164"/>
  <c r="Q164"/>
  <c r="R164" s="1"/>
  <c r="P164"/>
  <c r="O164"/>
  <c r="N164"/>
  <c r="L164"/>
  <c r="K164"/>
  <c r="G164"/>
  <c r="A164"/>
  <c r="P163"/>
  <c r="O163"/>
  <c r="N163"/>
  <c r="L163"/>
  <c r="J163"/>
  <c r="K163" s="1"/>
  <c r="Q163" s="1"/>
  <c r="R163" s="1"/>
  <c r="G163"/>
  <c r="A163"/>
  <c r="P162"/>
  <c r="N162"/>
  <c r="O162" s="1"/>
  <c r="L162"/>
  <c r="K162"/>
  <c r="J162"/>
  <c r="G162"/>
  <c r="A162"/>
  <c r="O161"/>
  <c r="N161"/>
  <c r="J161"/>
  <c r="K161" s="1"/>
  <c r="Q161" s="1"/>
  <c r="R161" s="1"/>
  <c r="D161"/>
  <c r="A161"/>
  <c r="O160"/>
  <c r="N160"/>
  <c r="P160" s="1"/>
  <c r="J160"/>
  <c r="K160" s="1"/>
  <c r="U160" s="1"/>
  <c r="G160"/>
  <c r="A160"/>
  <c r="P159"/>
  <c r="O159"/>
  <c r="L159"/>
  <c r="K159"/>
  <c r="U159" s="1"/>
  <c r="G159"/>
  <c r="A159"/>
  <c r="U158"/>
  <c r="P158"/>
  <c r="O158"/>
  <c r="L158"/>
  <c r="K158"/>
  <c r="Q158" s="1"/>
  <c r="R158" s="1"/>
  <c r="G158"/>
  <c r="A158"/>
  <c r="P157"/>
  <c r="N157"/>
  <c r="O157" s="1"/>
  <c r="L157"/>
  <c r="K157"/>
  <c r="J157"/>
  <c r="G157"/>
  <c r="A157"/>
  <c r="U156"/>
  <c r="O156"/>
  <c r="N156"/>
  <c r="P156" s="1"/>
  <c r="L156"/>
  <c r="J156"/>
  <c r="K156" s="1"/>
  <c r="Q156" s="1"/>
  <c r="R156" s="1"/>
  <c r="G156"/>
  <c r="A156"/>
  <c r="P155"/>
  <c r="O155"/>
  <c r="L155"/>
  <c r="K155"/>
  <c r="U155" s="1"/>
  <c r="G155"/>
  <c r="A155"/>
  <c r="P154"/>
  <c r="O154"/>
  <c r="L154"/>
  <c r="K154"/>
  <c r="U154" s="1"/>
  <c r="G154"/>
  <c r="A154"/>
  <c r="P153"/>
  <c r="N153"/>
  <c r="O153" s="1"/>
  <c r="K153"/>
  <c r="J153"/>
  <c r="G153"/>
  <c r="A153"/>
  <c r="U152"/>
  <c r="P152"/>
  <c r="O152"/>
  <c r="L152"/>
  <c r="K152"/>
  <c r="Q152" s="1"/>
  <c r="R152" s="1"/>
  <c r="G152"/>
  <c r="A152"/>
  <c r="N151"/>
  <c r="O151" s="1"/>
  <c r="K151"/>
  <c r="Q151" s="1"/>
  <c r="R151" s="1"/>
  <c r="J151"/>
  <c r="G151"/>
  <c r="D151"/>
  <c r="A151"/>
  <c r="P150"/>
  <c r="N150"/>
  <c r="O150" s="1"/>
  <c r="L150"/>
  <c r="K150"/>
  <c r="U150" s="1"/>
  <c r="G150"/>
  <c r="A150"/>
  <c r="N149"/>
  <c r="O149" s="1"/>
  <c r="K149"/>
  <c r="U149" s="1"/>
  <c r="J149"/>
  <c r="G149"/>
  <c r="A149"/>
  <c r="P148"/>
  <c r="O148"/>
  <c r="N148"/>
  <c r="L148"/>
  <c r="J148"/>
  <c r="K148" s="1"/>
  <c r="G148"/>
  <c r="A148"/>
  <c r="N147"/>
  <c r="O147" s="1"/>
  <c r="K147"/>
  <c r="U147" s="1"/>
  <c r="J147"/>
  <c r="G147"/>
  <c r="A147"/>
  <c r="O146"/>
  <c r="N146"/>
  <c r="P146" s="1"/>
  <c r="J146"/>
  <c r="K146" s="1"/>
  <c r="G146"/>
  <c r="A146"/>
  <c r="P145"/>
  <c r="O145"/>
  <c r="L145"/>
  <c r="K145"/>
  <c r="U145" s="1"/>
  <c r="G145"/>
  <c r="A145"/>
  <c r="P144"/>
  <c r="O144"/>
  <c r="L144"/>
  <c r="K144"/>
  <c r="U144" s="1"/>
  <c r="G144"/>
  <c r="A144"/>
  <c r="P143"/>
  <c r="O143"/>
  <c r="L143"/>
  <c r="K143"/>
  <c r="U143" s="1"/>
  <c r="G143"/>
  <c r="A143"/>
  <c r="P142"/>
  <c r="O142"/>
  <c r="L142"/>
  <c r="K142"/>
  <c r="U142" s="1"/>
  <c r="G142"/>
  <c r="A142"/>
  <c r="P141"/>
  <c r="O141"/>
  <c r="L141"/>
  <c r="K141"/>
  <c r="U141" s="1"/>
  <c r="G141"/>
  <c r="A141"/>
  <c r="P140"/>
  <c r="O140"/>
  <c r="L140"/>
  <c r="K140"/>
  <c r="U140" s="1"/>
  <c r="G140"/>
  <c r="A140"/>
  <c r="P139"/>
  <c r="O139"/>
  <c r="L139"/>
  <c r="K139"/>
  <c r="U139" s="1"/>
  <c r="G139"/>
  <c r="A139"/>
  <c r="O138"/>
  <c r="N138"/>
  <c r="P138" s="1"/>
  <c r="J138"/>
  <c r="K138" s="1"/>
  <c r="G138"/>
  <c r="A138"/>
  <c r="P137"/>
  <c r="O137"/>
  <c r="J137"/>
  <c r="K137" s="1"/>
  <c r="G137"/>
  <c r="A137"/>
  <c r="N136"/>
  <c r="O136" s="1"/>
  <c r="K136"/>
  <c r="U136" s="1"/>
  <c r="G136"/>
  <c r="A136"/>
  <c r="N135"/>
  <c r="O135" s="1"/>
  <c r="K135"/>
  <c r="U135" s="1"/>
  <c r="G135"/>
  <c r="A135"/>
  <c r="P134"/>
  <c r="O134"/>
  <c r="L134"/>
  <c r="K134"/>
  <c r="U134" s="1"/>
  <c r="G134"/>
  <c r="A134"/>
  <c r="O133"/>
  <c r="N133"/>
  <c r="P133" s="1"/>
  <c r="J133"/>
  <c r="K133" s="1"/>
  <c r="G133"/>
  <c r="A133"/>
  <c r="P132"/>
  <c r="O132"/>
  <c r="L132"/>
  <c r="K132"/>
  <c r="U132" s="1"/>
  <c r="G132"/>
  <c r="A132"/>
  <c r="P131"/>
  <c r="O131"/>
  <c r="L131"/>
  <c r="K131"/>
  <c r="U131" s="1"/>
  <c r="G131"/>
  <c r="A131"/>
  <c r="P130"/>
  <c r="O130"/>
  <c r="L130"/>
  <c r="K130"/>
  <c r="U130" s="1"/>
  <c r="G130"/>
  <c r="A130"/>
  <c r="P129"/>
  <c r="O129"/>
  <c r="L129"/>
  <c r="K129"/>
  <c r="U129" s="1"/>
  <c r="G129"/>
  <c r="A129"/>
  <c r="P128"/>
  <c r="O128"/>
  <c r="L128"/>
  <c r="K128"/>
  <c r="U128" s="1"/>
  <c r="G128"/>
  <c r="A128"/>
  <c r="P127"/>
  <c r="O127"/>
  <c r="L127"/>
  <c r="K127"/>
  <c r="U127" s="1"/>
  <c r="G127"/>
  <c r="A127"/>
  <c r="P126"/>
  <c r="O126"/>
  <c r="L126"/>
  <c r="K126"/>
  <c r="U126" s="1"/>
  <c r="G126"/>
  <c r="A126"/>
  <c r="P125"/>
  <c r="O125"/>
  <c r="L125"/>
  <c r="K125"/>
  <c r="U125" s="1"/>
  <c r="G125"/>
  <c r="A125"/>
  <c r="P124"/>
  <c r="O124"/>
  <c r="L124"/>
  <c r="K124"/>
  <c r="U124" s="1"/>
  <c r="G124"/>
  <c r="A124"/>
  <c r="O123"/>
  <c r="N123"/>
  <c r="P123" s="1"/>
  <c r="J123"/>
  <c r="K123" s="1"/>
  <c r="G123"/>
  <c r="A123"/>
  <c r="N122"/>
  <c r="O122" s="1"/>
  <c r="K122"/>
  <c r="U122" s="1"/>
  <c r="J122"/>
  <c r="G122"/>
  <c r="A122"/>
  <c r="O121"/>
  <c r="N121"/>
  <c r="P121" s="1"/>
  <c r="J121"/>
  <c r="K121" s="1"/>
  <c r="G121"/>
  <c r="A121"/>
  <c r="P120"/>
  <c r="O120"/>
  <c r="L120"/>
  <c r="K120"/>
  <c r="U120" s="1"/>
  <c r="G120"/>
  <c r="A120"/>
  <c r="P119"/>
  <c r="O119"/>
  <c r="L119"/>
  <c r="K119"/>
  <c r="U119" s="1"/>
  <c r="G119"/>
  <c r="A119"/>
  <c r="P118"/>
  <c r="O118"/>
  <c r="L118"/>
  <c r="K118"/>
  <c r="U118" s="1"/>
  <c r="G118"/>
  <c r="A118"/>
  <c r="P117"/>
  <c r="O117"/>
  <c r="L117"/>
  <c r="K117"/>
  <c r="U117" s="1"/>
  <c r="G117"/>
  <c r="A117"/>
  <c r="P116"/>
  <c r="O116"/>
  <c r="J116"/>
  <c r="K116" s="1"/>
  <c r="G116"/>
  <c r="A116"/>
  <c r="P115"/>
  <c r="O115"/>
  <c r="L115"/>
  <c r="K115"/>
  <c r="U115" s="1"/>
  <c r="G115"/>
  <c r="A115"/>
  <c r="U114"/>
  <c r="P114"/>
  <c r="O114"/>
  <c r="L114"/>
  <c r="K114"/>
  <c r="Q114" s="1"/>
  <c r="R114" s="1"/>
  <c r="G114"/>
  <c r="A114"/>
  <c r="N113"/>
  <c r="O113" s="1"/>
  <c r="K113"/>
  <c r="J113"/>
  <c r="G113"/>
  <c r="A113"/>
  <c r="P112"/>
  <c r="O112"/>
  <c r="L112"/>
  <c r="K112"/>
  <c r="U112" s="1"/>
  <c r="G112"/>
  <c r="A112"/>
  <c r="P111"/>
  <c r="O111"/>
  <c r="L111"/>
  <c r="J111"/>
  <c r="K111" s="1"/>
  <c r="G111"/>
  <c r="A111"/>
  <c r="N110"/>
  <c r="O110" s="1"/>
  <c r="K110"/>
  <c r="J110"/>
  <c r="G110"/>
  <c r="A110"/>
  <c r="P109"/>
  <c r="O109"/>
  <c r="L109"/>
  <c r="K109"/>
  <c r="U109" s="1"/>
  <c r="G109"/>
  <c r="A109"/>
  <c r="P108"/>
  <c r="O108"/>
  <c r="L108"/>
  <c r="K108"/>
  <c r="U108" s="1"/>
  <c r="G108"/>
  <c r="A108"/>
  <c r="U107"/>
  <c r="P107"/>
  <c r="O107"/>
  <c r="L107"/>
  <c r="K107"/>
  <c r="Q107" s="1"/>
  <c r="R107" s="1"/>
  <c r="G107"/>
  <c r="A107"/>
  <c r="P106"/>
  <c r="O106"/>
  <c r="L106"/>
  <c r="K106"/>
  <c r="U106" s="1"/>
  <c r="G106"/>
  <c r="A106"/>
  <c r="P105"/>
  <c r="O105"/>
  <c r="L105"/>
  <c r="K105"/>
  <c r="U105" s="1"/>
  <c r="G105"/>
  <c r="A105"/>
  <c r="P104"/>
  <c r="O104"/>
  <c r="L104"/>
  <c r="K104"/>
  <c r="U104" s="1"/>
  <c r="G104"/>
  <c r="A104"/>
  <c r="U103"/>
  <c r="P103"/>
  <c r="O103"/>
  <c r="L103"/>
  <c r="K103"/>
  <c r="Q103" s="1"/>
  <c r="R103" s="1"/>
  <c r="G103"/>
  <c r="A103"/>
  <c r="P102"/>
  <c r="O102"/>
  <c r="L102"/>
  <c r="K102"/>
  <c r="U102" s="1"/>
  <c r="G102"/>
  <c r="A102"/>
  <c r="U101"/>
  <c r="Q101"/>
  <c r="R101" s="1"/>
  <c r="O101"/>
  <c r="N101"/>
  <c r="P101" s="1"/>
  <c r="L101"/>
  <c r="K101"/>
  <c r="G101"/>
  <c r="A101"/>
  <c r="U100"/>
  <c r="P100"/>
  <c r="O100"/>
  <c r="L100"/>
  <c r="K100"/>
  <c r="Q100" s="1"/>
  <c r="G100"/>
  <c r="A100"/>
  <c r="U99"/>
  <c r="P99"/>
  <c r="O99"/>
  <c r="L99"/>
  <c r="K99"/>
  <c r="Q99" s="1"/>
  <c r="R99" s="1"/>
  <c r="G99"/>
  <c r="A99"/>
  <c r="P98"/>
  <c r="O98"/>
  <c r="L98"/>
  <c r="K98"/>
  <c r="U98" s="1"/>
  <c r="G98"/>
  <c r="A98"/>
  <c r="P97"/>
  <c r="O97"/>
  <c r="L97"/>
  <c r="K97"/>
  <c r="U97" s="1"/>
  <c r="G97"/>
  <c r="A97"/>
  <c r="P96"/>
  <c r="O96"/>
  <c r="L96"/>
  <c r="K96"/>
  <c r="U96" s="1"/>
  <c r="G96"/>
  <c r="A96"/>
  <c r="U95"/>
  <c r="P95"/>
  <c r="O95"/>
  <c r="L95"/>
  <c r="K95"/>
  <c r="Q95" s="1"/>
  <c r="R95" s="1"/>
  <c r="G95"/>
  <c r="A95"/>
  <c r="P94"/>
  <c r="O94"/>
  <c r="L94"/>
  <c r="K94"/>
  <c r="U94" s="1"/>
  <c r="G94"/>
  <c r="A94"/>
  <c r="P93"/>
  <c r="O93"/>
  <c r="L93"/>
  <c r="K93"/>
  <c r="U93" s="1"/>
  <c r="G93"/>
  <c r="A93"/>
  <c r="P92"/>
  <c r="O92"/>
  <c r="L92"/>
  <c r="K92"/>
  <c r="U92" s="1"/>
  <c r="G92"/>
  <c r="A92"/>
  <c r="U91"/>
  <c r="P91"/>
  <c r="O91"/>
  <c r="L91"/>
  <c r="K91"/>
  <c r="Q91" s="1"/>
  <c r="R91" s="1"/>
  <c r="G91"/>
  <c r="A91"/>
  <c r="N90"/>
  <c r="O90" s="1"/>
  <c r="K90"/>
  <c r="J90"/>
  <c r="G90"/>
  <c r="A90"/>
  <c r="P89"/>
  <c r="O89"/>
  <c r="L89"/>
  <c r="K89"/>
  <c r="U89" s="1"/>
  <c r="G89"/>
  <c r="A89"/>
  <c r="P88"/>
  <c r="O88"/>
  <c r="L88"/>
  <c r="K88"/>
  <c r="U88" s="1"/>
  <c r="G88"/>
  <c r="A88"/>
  <c r="U87"/>
  <c r="P87"/>
  <c r="O87"/>
  <c r="L87"/>
  <c r="K87"/>
  <c r="Q87" s="1"/>
  <c r="R87" s="1"/>
  <c r="G87"/>
  <c r="A87"/>
  <c r="P86"/>
  <c r="O86"/>
  <c r="L86"/>
  <c r="K86"/>
  <c r="U86" s="1"/>
  <c r="G86"/>
  <c r="A86"/>
  <c r="P85"/>
  <c r="O85"/>
  <c r="L85"/>
  <c r="K85"/>
  <c r="U85" s="1"/>
  <c r="G85"/>
  <c r="A85"/>
  <c r="P84"/>
  <c r="N84"/>
  <c r="O84" s="1"/>
  <c r="L84"/>
  <c r="K84"/>
  <c r="G84"/>
  <c r="A84"/>
  <c r="N83"/>
  <c r="O83" s="1"/>
  <c r="K83"/>
  <c r="J83"/>
  <c r="G83"/>
  <c r="A83"/>
  <c r="P82"/>
  <c r="O82"/>
  <c r="L82"/>
  <c r="K82"/>
  <c r="U82" s="1"/>
  <c r="G82"/>
  <c r="A82"/>
  <c r="P81"/>
  <c r="O81"/>
  <c r="L81"/>
  <c r="K81"/>
  <c r="U81" s="1"/>
  <c r="G81"/>
  <c r="A81"/>
  <c r="U80"/>
  <c r="P80"/>
  <c r="O80"/>
  <c r="L80"/>
  <c r="K80"/>
  <c r="Q80" s="1"/>
  <c r="R80" s="1"/>
  <c r="G80"/>
  <c r="A80"/>
  <c r="P79"/>
  <c r="O79"/>
  <c r="J79"/>
  <c r="K79" s="1"/>
  <c r="G79"/>
  <c r="A79"/>
  <c r="P78"/>
  <c r="O78"/>
  <c r="L78"/>
  <c r="K78"/>
  <c r="U78" s="1"/>
  <c r="G78"/>
  <c r="A78"/>
  <c r="U77"/>
  <c r="P77"/>
  <c r="O77"/>
  <c r="L77"/>
  <c r="K77"/>
  <c r="Q77" s="1"/>
  <c r="R77" s="1"/>
  <c r="G77"/>
  <c r="A77"/>
  <c r="P76"/>
  <c r="O76"/>
  <c r="L76"/>
  <c r="K76"/>
  <c r="U76" s="1"/>
  <c r="G76"/>
  <c r="A76"/>
  <c r="P75"/>
  <c r="O75"/>
  <c r="L75"/>
  <c r="K75"/>
  <c r="U75" s="1"/>
  <c r="G75"/>
  <c r="A75"/>
  <c r="P74"/>
  <c r="O74"/>
  <c r="L74"/>
  <c r="J74"/>
  <c r="K74" s="1"/>
  <c r="G74"/>
  <c r="A74"/>
  <c r="P73"/>
  <c r="O73"/>
  <c r="L73"/>
  <c r="K73"/>
  <c r="U73" s="1"/>
  <c r="G73"/>
  <c r="A73"/>
  <c r="O72"/>
  <c r="N72"/>
  <c r="P72" s="1"/>
  <c r="J72"/>
  <c r="K72" s="1"/>
  <c r="U72" s="1"/>
  <c r="G72"/>
  <c r="A72"/>
  <c r="P71"/>
  <c r="O71"/>
  <c r="L71"/>
  <c r="K71"/>
  <c r="U71" s="1"/>
  <c r="G71"/>
  <c r="A71"/>
  <c r="U70"/>
  <c r="Q70"/>
  <c r="R70" s="1"/>
  <c r="O70"/>
  <c r="N70"/>
  <c r="P70" s="1"/>
  <c r="L70"/>
  <c r="K70"/>
  <c r="G70"/>
  <c r="A70"/>
  <c r="U69"/>
  <c r="P69"/>
  <c r="O69"/>
  <c r="L69"/>
  <c r="K69"/>
  <c r="Q69" s="1"/>
  <c r="R69" s="1"/>
  <c r="G69"/>
  <c r="A69"/>
  <c r="P68"/>
  <c r="O68"/>
  <c r="L68"/>
  <c r="K68"/>
  <c r="U68" s="1"/>
  <c r="G68"/>
  <c r="A68"/>
  <c r="P67"/>
  <c r="O67"/>
  <c r="L67"/>
  <c r="K67"/>
  <c r="U67" s="1"/>
  <c r="G67"/>
  <c r="A67"/>
  <c r="P66"/>
  <c r="O66"/>
  <c r="L66"/>
  <c r="K66"/>
  <c r="U66" s="1"/>
  <c r="G66"/>
  <c r="A66"/>
  <c r="U65"/>
  <c r="P65"/>
  <c r="O65"/>
  <c r="L65"/>
  <c r="K65"/>
  <c r="Q65" s="1"/>
  <c r="R65" s="1"/>
  <c r="G65"/>
  <c r="A65"/>
  <c r="P64"/>
  <c r="O64"/>
  <c r="L64"/>
  <c r="K64"/>
  <c r="U64" s="1"/>
  <c r="G64"/>
  <c r="A64"/>
  <c r="P63"/>
  <c r="O63"/>
  <c r="L63"/>
  <c r="K63"/>
  <c r="U63" s="1"/>
  <c r="G63"/>
  <c r="A63"/>
  <c r="P62"/>
  <c r="O62"/>
  <c r="L62"/>
  <c r="K62"/>
  <c r="U62" s="1"/>
  <c r="G62"/>
  <c r="A62"/>
  <c r="U61"/>
  <c r="P61"/>
  <c r="O61"/>
  <c r="L61"/>
  <c r="K61"/>
  <c r="Q61" s="1"/>
  <c r="R61" s="1"/>
  <c r="G61"/>
  <c r="A61"/>
  <c r="N60"/>
  <c r="O60" s="1"/>
  <c r="K60"/>
  <c r="G60"/>
  <c r="A60"/>
  <c r="P59"/>
  <c r="O59"/>
  <c r="L59"/>
  <c r="K59"/>
  <c r="U59" s="1"/>
  <c r="G59"/>
  <c r="A59"/>
  <c r="O58"/>
  <c r="N58"/>
  <c r="P58" s="1"/>
  <c r="J58"/>
  <c r="K58" s="1"/>
  <c r="U58" s="1"/>
  <c r="G58"/>
  <c r="A58"/>
  <c r="P57"/>
  <c r="O57"/>
  <c r="L57"/>
  <c r="K57"/>
  <c r="U57" s="1"/>
  <c r="G57"/>
  <c r="A57"/>
  <c r="P56"/>
  <c r="O56"/>
  <c r="K56"/>
  <c r="L56" s="1"/>
  <c r="G56"/>
  <c r="A56"/>
  <c r="P55"/>
  <c r="O55"/>
  <c r="L55"/>
  <c r="K55"/>
  <c r="U55" s="1"/>
  <c r="G55"/>
  <c r="A55"/>
  <c r="O54"/>
  <c r="N54"/>
  <c r="J54"/>
  <c r="K54" s="1"/>
  <c r="Q54" s="1"/>
  <c r="R54" s="1"/>
  <c r="D54"/>
  <c r="A54"/>
  <c r="U53"/>
  <c r="P53"/>
  <c r="O53"/>
  <c r="L53"/>
  <c r="K53"/>
  <c r="Q53" s="1"/>
  <c r="R53" s="1"/>
  <c r="G53"/>
  <c r="A53"/>
  <c r="P52"/>
  <c r="N52"/>
  <c r="O52" s="1"/>
  <c r="L52"/>
  <c r="K52"/>
  <c r="G52"/>
  <c r="A52"/>
  <c r="P51"/>
  <c r="N51"/>
  <c r="O51" s="1"/>
  <c r="K51"/>
  <c r="G51"/>
  <c r="A51"/>
  <c r="P50"/>
  <c r="N50"/>
  <c r="K50"/>
  <c r="J50"/>
  <c r="G50"/>
  <c r="A50"/>
  <c r="U49"/>
  <c r="P49"/>
  <c r="O49"/>
  <c r="L49"/>
  <c r="K49"/>
  <c r="Q49" s="1"/>
  <c r="R49" s="1"/>
  <c r="G49"/>
  <c r="A49"/>
  <c r="P48"/>
  <c r="O48"/>
  <c r="L48"/>
  <c r="K48"/>
  <c r="U48" s="1"/>
  <c r="G48"/>
  <c r="A48"/>
  <c r="P47"/>
  <c r="O47"/>
  <c r="L47"/>
  <c r="K47"/>
  <c r="U47" s="1"/>
  <c r="G47"/>
  <c r="A47"/>
  <c r="P46"/>
  <c r="O46"/>
  <c r="L46"/>
  <c r="K46"/>
  <c r="U46" s="1"/>
  <c r="G46"/>
  <c r="A46"/>
  <c r="U45"/>
  <c r="P45"/>
  <c r="O45"/>
  <c r="L45"/>
  <c r="K45"/>
  <c r="Q45" s="1"/>
  <c r="R45" s="1"/>
  <c r="G45"/>
  <c r="A45"/>
  <c r="P44"/>
  <c r="O44"/>
  <c r="L44"/>
  <c r="K44"/>
  <c r="U44" s="1"/>
  <c r="G44"/>
  <c r="A44"/>
  <c r="P43"/>
  <c r="O43"/>
  <c r="L43"/>
  <c r="K43"/>
  <c r="U43" s="1"/>
  <c r="G43"/>
  <c r="A43"/>
  <c r="P42"/>
  <c r="O42"/>
  <c r="L42"/>
  <c r="K42"/>
  <c r="U42" s="1"/>
  <c r="G42"/>
  <c r="A42"/>
  <c r="P41"/>
  <c r="O41"/>
  <c r="K41"/>
  <c r="L41" s="1"/>
  <c r="G41"/>
  <c r="A41"/>
  <c r="P40"/>
  <c r="O40"/>
  <c r="L40"/>
  <c r="K40"/>
  <c r="U40" s="1"/>
  <c r="G40"/>
  <c r="A40"/>
  <c r="O39"/>
  <c r="N39"/>
  <c r="P39" s="1"/>
  <c r="J39"/>
  <c r="G39"/>
  <c r="A39"/>
  <c r="P38"/>
  <c r="O38"/>
  <c r="L38"/>
  <c r="K38"/>
  <c r="U38" s="1"/>
  <c r="G38"/>
  <c r="A38"/>
  <c r="P37"/>
  <c r="O37"/>
  <c r="L37"/>
  <c r="K37"/>
  <c r="U37" s="1"/>
  <c r="G37"/>
  <c r="A37"/>
  <c r="P36"/>
  <c r="O36"/>
  <c r="L36"/>
  <c r="K36"/>
  <c r="U36" s="1"/>
  <c r="G36"/>
  <c r="A36"/>
  <c r="U35"/>
  <c r="P35"/>
  <c r="O35"/>
  <c r="L35"/>
  <c r="K35"/>
  <c r="Q35" s="1"/>
  <c r="R35" s="1"/>
  <c r="G35"/>
  <c r="A35"/>
  <c r="P34"/>
  <c r="O34"/>
  <c r="L34"/>
  <c r="K34"/>
  <c r="U34" s="1"/>
  <c r="G34"/>
  <c r="A34"/>
  <c r="P33"/>
  <c r="O33"/>
  <c r="L33"/>
  <c r="K33"/>
  <c r="U33" s="1"/>
  <c r="G33"/>
  <c r="A33"/>
  <c r="P32"/>
  <c r="O32"/>
  <c r="L32"/>
  <c r="K32"/>
  <c r="U32" s="1"/>
  <c r="G32"/>
  <c r="A32"/>
  <c r="U31"/>
  <c r="P31"/>
  <c r="O31"/>
  <c r="L31"/>
  <c r="K31"/>
  <c r="Q31" s="1"/>
  <c r="R31" s="1"/>
  <c r="G31"/>
  <c r="A31"/>
  <c r="P30"/>
  <c r="O30"/>
  <c r="L30"/>
  <c r="K30"/>
  <c r="U30" s="1"/>
  <c r="G30"/>
  <c r="A30"/>
  <c r="P29"/>
  <c r="O29"/>
  <c r="L29"/>
  <c r="K29"/>
  <c r="U29" s="1"/>
  <c r="G29"/>
  <c r="A29"/>
  <c r="P28"/>
  <c r="O28"/>
  <c r="L28"/>
  <c r="K28"/>
  <c r="U28" s="1"/>
  <c r="G28"/>
  <c r="A28"/>
  <c r="U27"/>
  <c r="P27"/>
  <c r="O27"/>
  <c r="L27"/>
  <c r="K27"/>
  <c r="Q27" s="1"/>
  <c r="R27" s="1"/>
  <c r="G27"/>
  <c r="A27"/>
  <c r="P26"/>
  <c r="O26"/>
  <c r="L26"/>
  <c r="K26"/>
  <c r="U26" s="1"/>
  <c r="G26"/>
  <c r="A26"/>
  <c r="P25"/>
  <c r="O25"/>
  <c r="L25"/>
  <c r="K25"/>
  <c r="U25" s="1"/>
  <c r="G25"/>
  <c r="A25"/>
  <c r="P24"/>
  <c r="O24"/>
  <c r="L24"/>
  <c r="K24"/>
  <c r="U24" s="1"/>
  <c r="G24"/>
  <c r="A24"/>
  <c r="U23"/>
  <c r="P23"/>
  <c r="O23"/>
  <c r="L23"/>
  <c r="K23"/>
  <c r="Q23" s="1"/>
  <c r="R23" s="1"/>
  <c r="G23"/>
  <c r="A23"/>
  <c r="P22"/>
  <c r="O22"/>
  <c r="L22"/>
  <c r="K22"/>
  <c r="U22" s="1"/>
  <c r="G22"/>
  <c r="A22"/>
  <c r="P21"/>
  <c r="O21"/>
  <c r="L21"/>
  <c r="K21"/>
  <c r="U21" s="1"/>
  <c r="G21"/>
  <c r="A21"/>
  <c r="P20"/>
  <c r="O20"/>
  <c r="L20"/>
  <c r="K20"/>
  <c r="U20" s="1"/>
  <c r="G20"/>
  <c r="A20"/>
  <c r="U19"/>
  <c r="P19"/>
  <c r="O19"/>
  <c r="L19"/>
  <c r="K19"/>
  <c r="Q19" s="1"/>
  <c r="R19" s="1"/>
  <c r="G19"/>
  <c r="A19"/>
  <c r="P18"/>
  <c r="O18"/>
  <c r="L18"/>
  <c r="K18"/>
  <c r="U18" s="1"/>
  <c r="G18"/>
  <c r="A18"/>
  <c r="P17"/>
  <c r="O17"/>
  <c r="L17"/>
  <c r="K17"/>
  <c r="U17" s="1"/>
  <c r="G17"/>
  <c r="A17"/>
  <c r="P16"/>
  <c r="O16"/>
  <c r="L16"/>
  <c r="K16"/>
  <c r="U16" s="1"/>
  <c r="G16"/>
  <c r="A16"/>
  <c r="U15"/>
  <c r="P15"/>
  <c r="O15"/>
  <c r="L15"/>
  <c r="K15"/>
  <c r="Q15" s="1"/>
  <c r="R15" s="1"/>
  <c r="G15"/>
  <c r="A15"/>
  <c r="P14"/>
  <c r="O14"/>
  <c r="L14"/>
  <c r="K14"/>
  <c r="U14" s="1"/>
  <c r="G14"/>
  <c r="A14"/>
  <c r="Q13"/>
  <c r="R13" s="1"/>
  <c r="P13"/>
  <c r="O13"/>
  <c r="K13"/>
  <c r="L13" s="1"/>
  <c r="G13"/>
  <c r="A13"/>
  <c r="P12"/>
  <c r="O12"/>
  <c r="L12"/>
  <c r="K12"/>
  <c r="U12" s="1"/>
  <c r="G12"/>
  <c r="A12"/>
  <c r="P11"/>
  <c r="O11"/>
  <c r="L11"/>
  <c r="K11"/>
  <c r="U11" s="1"/>
  <c r="G11"/>
  <c r="A11"/>
  <c r="P10"/>
  <c r="O10"/>
  <c r="L10"/>
  <c r="K10"/>
  <c r="U10" s="1"/>
  <c r="G10"/>
  <c r="A10"/>
  <c r="P9"/>
  <c r="O9"/>
  <c r="L9"/>
  <c r="K9"/>
  <c r="Q9" s="1"/>
  <c r="A9"/>
  <c r="S6"/>
  <c r="Q6"/>
  <c r="T6" s="1"/>
  <c r="M6"/>
  <c r="P4"/>
  <c r="L4"/>
  <c r="K4"/>
  <c r="Y43" i="8" l="1"/>
  <c r="N152"/>
  <c r="N178"/>
  <c r="Z43"/>
  <c r="AD43"/>
  <c r="AD150"/>
  <c r="Z150"/>
  <c r="AD132"/>
  <c r="Y132"/>
  <c r="AJ44"/>
  <c r="AD74"/>
  <c r="Y74"/>
  <c r="AE178"/>
  <c r="AE152"/>
  <c r="R178"/>
  <c r="R152"/>
  <c r="Y75"/>
  <c r="AD75"/>
  <c r="AD81"/>
  <c r="Y81"/>
  <c r="AL150"/>
  <c r="AK44"/>
  <c r="Y20"/>
  <c r="AD20"/>
  <c r="AD108"/>
  <c r="Y108"/>
  <c r="AJ74"/>
  <c r="AJ150" s="1"/>
  <c r="AK150"/>
  <c r="AK151" s="1"/>
  <c r="Y147"/>
  <c r="AD147"/>
  <c r="AD35"/>
  <c r="Y35"/>
  <c r="M150"/>
  <c r="Y150" s="1"/>
  <c r="AJ177"/>
  <c r="U50" i="7"/>
  <c r="Q50"/>
  <c r="R50" s="1"/>
  <c r="L50"/>
  <c r="U51"/>
  <c r="Q51"/>
  <c r="R51" s="1"/>
  <c r="L51"/>
  <c r="U52"/>
  <c r="Q52"/>
  <c r="R52" s="1"/>
  <c r="P54"/>
  <c r="G54"/>
  <c r="G279" s="1"/>
  <c r="U79"/>
  <c r="Q79"/>
  <c r="R79" s="1"/>
  <c r="U121"/>
  <c r="Q121"/>
  <c r="R121" s="1"/>
  <c r="L121"/>
  <c r="U123"/>
  <c r="Q123"/>
  <c r="R123" s="1"/>
  <c r="L123"/>
  <c r="U137"/>
  <c r="Q137"/>
  <c r="R137" s="1"/>
  <c r="L137"/>
  <c r="U146"/>
  <c r="Q146"/>
  <c r="R146" s="1"/>
  <c r="L146"/>
  <c r="U148"/>
  <c r="Q148"/>
  <c r="R148" s="1"/>
  <c r="K39"/>
  <c r="J279"/>
  <c r="O50"/>
  <c r="O279" s="1"/>
  <c r="N279"/>
  <c r="U60"/>
  <c r="Q60"/>
  <c r="R60" s="1"/>
  <c r="L60"/>
  <c r="U74"/>
  <c r="Q74"/>
  <c r="R74" s="1"/>
  <c r="U83"/>
  <c r="Q83"/>
  <c r="R83" s="1"/>
  <c r="L83"/>
  <c r="U84"/>
  <c r="Q84"/>
  <c r="R84" s="1"/>
  <c r="U90"/>
  <c r="Q90"/>
  <c r="R90" s="1"/>
  <c r="L90"/>
  <c r="U110"/>
  <c r="Q110"/>
  <c r="R110" s="1"/>
  <c r="L110"/>
  <c r="U111"/>
  <c r="Q111"/>
  <c r="R111" s="1"/>
  <c r="U113"/>
  <c r="Q113"/>
  <c r="R113" s="1"/>
  <c r="L113"/>
  <c r="U116"/>
  <c r="Q116"/>
  <c r="R116" s="1"/>
  <c r="L116"/>
  <c r="U133"/>
  <c r="Q133"/>
  <c r="R133" s="1"/>
  <c r="L133"/>
  <c r="U138"/>
  <c r="Q138"/>
  <c r="R138" s="1"/>
  <c r="L138"/>
  <c r="Q11"/>
  <c r="R11" s="1"/>
  <c r="Q17"/>
  <c r="R17" s="1"/>
  <c r="Q21"/>
  <c r="R21" s="1"/>
  <c r="Q25"/>
  <c r="R25" s="1"/>
  <c r="Q29"/>
  <c r="R29" s="1"/>
  <c r="Q33"/>
  <c r="R33" s="1"/>
  <c r="Q37"/>
  <c r="R37" s="1"/>
  <c r="U41"/>
  <c r="Q43"/>
  <c r="R43" s="1"/>
  <c r="Q47"/>
  <c r="R47" s="1"/>
  <c r="L54"/>
  <c r="U54"/>
  <c r="U56"/>
  <c r="Q58"/>
  <c r="R58" s="1"/>
  <c r="Q63"/>
  <c r="R63" s="1"/>
  <c r="Q67"/>
  <c r="R67" s="1"/>
  <c r="Q72"/>
  <c r="R72" s="1"/>
  <c r="Q75"/>
  <c r="R75" s="1"/>
  <c r="Q82"/>
  <c r="R82" s="1"/>
  <c r="Q85"/>
  <c r="R85" s="1"/>
  <c r="Q89"/>
  <c r="R89" s="1"/>
  <c r="Q93"/>
  <c r="R93" s="1"/>
  <c r="Q97"/>
  <c r="R97" s="1"/>
  <c r="Q105"/>
  <c r="R105" s="1"/>
  <c r="Q109"/>
  <c r="R109" s="1"/>
  <c r="Q112"/>
  <c r="R112" s="1"/>
  <c r="U13"/>
  <c r="Q41"/>
  <c r="R41" s="1"/>
  <c r="Q56"/>
  <c r="R56" s="1"/>
  <c r="L58"/>
  <c r="P60"/>
  <c r="L72"/>
  <c r="L79"/>
  <c r="P83"/>
  <c r="P90"/>
  <c r="P110"/>
  <c r="P113"/>
  <c r="U153"/>
  <c r="Q153"/>
  <c r="R153" s="1"/>
  <c r="L153"/>
  <c r="U157"/>
  <c r="Q157"/>
  <c r="R157" s="1"/>
  <c r="U167"/>
  <c r="Q167"/>
  <c r="R167" s="1"/>
  <c r="L167"/>
  <c r="U177"/>
  <c r="Q177"/>
  <c r="R177" s="1"/>
  <c r="L177"/>
  <c r="U186"/>
  <c r="Q186"/>
  <c r="R186" s="1"/>
  <c r="U199"/>
  <c r="Q199"/>
  <c r="R199" s="1"/>
  <c r="P228"/>
  <c r="G228"/>
  <c r="D279" s="1"/>
  <c r="P229"/>
  <c r="G229"/>
  <c r="P234"/>
  <c r="G234"/>
  <c r="U259"/>
  <c r="Q259"/>
  <c r="R259" s="1"/>
  <c r="L259"/>
  <c r="P161"/>
  <c r="G161"/>
  <c r="U162"/>
  <c r="Q162"/>
  <c r="R162" s="1"/>
  <c r="U181"/>
  <c r="Q181"/>
  <c r="R181" s="1"/>
  <c r="P262"/>
  <c r="G262"/>
  <c r="U263"/>
  <c r="Q263"/>
  <c r="R263" s="1"/>
  <c r="U266"/>
  <c r="Q266"/>
  <c r="R266" s="1"/>
  <c r="U271"/>
  <c r="Q271"/>
  <c r="R271" s="1"/>
  <c r="L271"/>
  <c r="Q117"/>
  <c r="R117" s="1"/>
  <c r="Q119"/>
  <c r="R119" s="1"/>
  <c r="P122"/>
  <c r="Q125"/>
  <c r="R125" s="1"/>
  <c r="Q127"/>
  <c r="R127" s="1"/>
  <c r="Q129"/>
  <c r="R129" s="1"/>
  <c r="Q131"/>
  <c r="R131" s="1"/>
  <c r="P135"/>
  <c r="P136"/>
  <c r="Q140"/>
  <c r="R140" s="1"/>
  <c r="Q142"/>
  <c r="R142" s="1"/>
  <c r="Q144"/>
  <c r="R144" s="1"/>
  <c r="P147"/>
  <c r="P149"/>
  <c r="P151"/>
  <c r="Q154"/>
  <c r="R154" s="1"/>
  <c r="Q160"/>
  <c r="R160" s="1"/>
  <c r="U163"/>
  <c r="U168"/>
  <c r="Q170"/>
  <c r="R170" s="1"/>
  <c r="Q174"/>
  <c r="R174" s="1"/>
  <c r="U178"/>
  <c r="Q180"/>
  <c r="R180" s="1"/>
  <c r="Q182"/>
  <c r="R182" s="1"/>
  <c r="Q189"/>
  <c r="R189" s="1"/>
  <c r="Q195"/>
  <c r="R195" s="1"/>
  <c r="Q212"/>
  <c r="R212" s="1"/>
  <c r="Q216"/>
  <c r="R216" s="1"/>
  <c r="Q221"/>
  <c r="R221" s="1"/>
  <c r="Q225"/>
  <c r="R225" s="1"/>
  <c r="L228"/>
  <c r="U228"/>
  <c r="L229"/>
  <c r="U229"/>
  <c r="Q231"/>
  <c r="R231" s="1"/>
  <c r="L234"/>
  <c r="U234"/>
  <c r="U236"/>
  <c r="Q238"/>
  <c r="R238" s="1"/>
  <c r="U242"/>
  <c r="Q244"/>
  <c r="R244" s="1"/>
  <c r="U248"/>
  <c r="U253"/>
  <c r="Q255"/>
  <c r="R255" s="1"/>
  <c r="U260"/>
  <c r="Q264"/>
  <c r="R264" s="1"/>
  <c r="Q267"/>
  <c r="Q269"/>
  <c r="U274"/>
  <c r="U276"/>
  <c r="Q278"/>
  <c r="R278" s="1"/>
  <c r="Q10"/>
  <c r="R10" s="1"/>
  <c r="Q12"/>
  <c r="Q14"/>
  <c r="R14" s="1"/>
  <c r="Q16"/>
  <c r="R16" s="1"/>
  <c r="Q18"/>
  <c r="R18" s="1"/>
  <c r="Q20"/>
  <c r="R20" s="1"/>
  <c r="Q22"/>
  <c r="R22" s="1"/>
  <c r="Q24"/>
  <c r="R24" s="1"/>
  <c r="Q26"/>
  <c r="R26" s="1"/>
  <c r="Q28"/>
  <c r="R28" s="1"/>
  <c r="Q30"/>
  <c r="R30" s="1"/>
  <c r="Q32"/>
  <c r="R32" s="1"/>
  <c r="Q34"/>
  <c r="R34" s="1"/>
  <c r="Q36"/>
  <c r="R36" s="1"/>
  <c r="Q38"/>
  <c r="R38" s="1"/>
  <c r="Q40"/>
  <c r="R40" s="1"/>
  <c r="Q42"/>
  <c r="R42" s="1"/>
  <c r="Q44"/>
  <c r="R44" s="1"/>
  <c r="Q46"/>
  <c r="R46" s="1"/>
  <c r="Q48"/>
  <c r="R48" s="1"/>
  <c r="Q55"/>
  <c r="R55" s="1"/>
  <c r="Q57"/>
  <c r="R57" s="1"/>
  <c r="Q59"/>
  <c r="R59" s="1"/>
  <c r="Q62"/>
  <c r="R62" s="1"/>
  <c r="Q64"/>
  <c r="R64" s="1"/>
  <c r="Q66"/>
  <c r="R66" s="1"/>
  <c r="Q68"/>
  <c r="R68" s="1"/>
  <c r="Q71"/>
  <c r="R71" s="1"/>
  <c r="Q73"/>
  <c r="R73" s="1"/>
  <c r="Q76"/>
  <c r="R76" s="1"/>
  <c r="Q78"/>
  <c r="R78" s="1"/>
  <c r="Q81"/>
  <c r="R81" s="1"/>
  <c r="Q86"/>
  <c r="R86" s="1"/>
  <c r="Q88"/>
  <c r="R88" s="1"/>
  <c r="Q92"/>
  <c r="R92" s="1"/>
  <c r="Q94"/>
  <c r="R94" s="1"/>
  <c r="Q96"/>
  <c r="R96" s="1"/>
  <c r="Q98"/>
  <c r="R98" s="1"/>
  <c r="Q102"/>
  <c r="R102" s="1"/>
  <c r="Q104"/>
  <c r="R104" s="1"/>
  <c r="Q106"/>
  <c r="R106" s="1"/>
  <c r="Q108"/>
  <c r="R108" s="1"/>
  <c r="Q115"/>
  <c r="R115" s="1"/>
  <c r="Q118"/>
  <c r="R118" s="1"/>
  <c r="Q120"/>
  <c r="R120" s="1"/>
  <c r="L122"/>
  <c r="Q122"/>
  <c r="R122" s="1"/>
  <c r="Q124"/>
  <c r="R124" s="1"/>
  <c r="Q126"/>
  <c r="R126" s="1"/>
  <c r="Q128"/>
  <c r="R128" s="1"/>
  <c r="Q130"/>
  <c r="R130" s="1"/>
  <c r="Q132"/>
  <c r="R132" s="1"/>
  <c r="Q134"/>
  <c r="R134" s="1"/>
  <c r="L135"/>
  <c r="Q135"/>
  <c r="R135" s="1"/>
  <c r="L136"/>
  <c r="Q136"/>
  <c r="R136" s="1"/>
  <c r="Q139"/>
  <c r="R139" s="1"/>
  <c r="Q141"/>
  <c r="R141" s="1"/>
  <c r="Q143"/>
  <c r="R143" s="1"/>
  <c r="Q145"/>
  <c r="R145" s="1"/>
  <c r="L147"/>
  <c r="Q147"/>
  <c r="R147" s="1"/>
  <c r="L149"/>
  <c r="Q149"/>
  <c r="R149" s="1"/>
  <c r="Q150"/>
  <c r="R150" s="1"/>
  <c r="U151"/>
  <c r="L151"/>
  <c r="L160"/>
  <c r="L161"/>
  <c r="U161"/>
  <c r="Q168"/>
  <c r="R168" s="1"/>
  <c r="Q178"/>
  <c r="R178" s="1"/>
  <c r="L180"/>
  <c r="L186"/>
  <c r="U191"/>
  <c r="L199"/>
  <c r="U200"/>
  <c r="U202"/>
  <c r="U208"/>
  <c r="Q236"/>
  <c r="R236" s="1"/>
  <c r="Q242"/>
  <c r="R242" s="1"/>
  <c r="Q248"/>
  <c r="R248" s="1"/>
  <c r="Q253"/>
  <c r="R253" s="1"/>
  <c r="L255"/>
  <c r="L262"/>
  <c r="U262"/>
  <c r="Q268"/>
  <c r="P271"/>
  <c r="Q274"/>
  <c r="R274" s="1"/>
  <c r="Q276"/>
  <c r="R276" s="1"/>
  <c r="Q155"/>
  <c r="R155" s="1"/>
  <c r="Q159"/>
  <c r="R159" s="1"/>
  <c r="Q165"/>
  <c r="R165" s="1"/>
  <c r="Q169"/>
  <c r="R169" s="1"/>
  <c r="Q171"/>
  <c r="R171" s="1"/>
  <c r="Q173"/>
  <c r="R173" s="1"/>
  <c r="Q175"/>
  <c r="R175" s="1"/>
  <c r="Q179"/>
  <c r="R179" s="1"/>
  <c r="Q183"/>
  <c r="R183" s="1"/>
  <c r="Q185"/>
  <c r="R185" s="1"/>
  <c r="Q188"/>
  <c r="R188" s="1"/>
  <c r="Q190"/>
  <c r="R190" s="1"/>
  <c r="Q192"/>
  <c r="R192" s="1"/>
  <c r="Q194"/>
  <c r="R194" s="1"/>
  <c r="Q196"/>
  <c r="R196" s="1"/>
  <c r="Q198"/>
  <c r="R198" s="1"/>
  <c r="Q201"/>
  <c r="R201" s="1"/>
  <c r="Q203"/>
  <c r="R203" s="1"/>
  <c r="Q205"/>
  <c r="R205" s="1"/>
  <c r="Q207"/>
  <c r="R207" s="1"/>
  <c r="Q209"/>
  <c r="R209" s="1"/>
  <c r="Q211"/>
  <c r="R211" s="1"/>
  <c r="Q213"/>
  <c r="R213" s="1"/>
  <c r="Q215"/>
  <c r="R215" s="1"/>
  <c r="Q218"/>
  <c r="R218" s="1"/>
  <c r="Q220"/>
  <c r="R220" s="1"/>
  <c r="Q222"/>
  <c r="R222" s="1"/>
  <c r="Q224"/>
  <c r="R224" s="1"/>
  <c r="Q226"/>
  <c r="R226" s="1"/>
  <c r="Q230"/>
  <c r="R230" s="1"/>
  <c r="Q232"/>
  <c r="R232" s="1"/>
  <c r="Q235"/>
  <c r="R235" s="1"/>
  <c r="Q237"/>
  <c r="R237" s="1"/>
  <c r="Q239"/>
  <c r="R239" s="1"/>
  <c r="Q241"/>
  <c r="R241" s="1"/>
  <c r="Q243"/>
  <c r="R243" s="1"/>
  <c r="Q245"/>
  <c r="R245" s="1"/>
  <c r="Q247"/>
  <c r="R247" s="1"/>
  <c r="Q252"/>
  <c r="R252" s="1"/>
  <c r="Q254"/>
  <c r="R254" s="1"/>
  <c r="Q256"/>
  <c r="R256" s="1"/>
  <c r="Q265"/>
  <c r="R265" s="1"/>
  <c r="Q273"/>
  <c r="R273" s="1"/>
  <c r="Q275"/>
  <c r="R275" s="1"/>
  <c r="Q277"/>
  <c r="R277" s="1"/>
  <c r="AJ151" i="8" l="1"/>
  <c r="AJ152"/>
  <c r="AJ153" s="1"/>
  <c r="AJ178"/>
  <c r="AD178"/>
  <c r="Z178"/>
  <c r="AK178"/>
  <c r="M152"/>
  <c r="Y152" s="1"/>
  <c r="M178"/>
  <c r="Y178" s="1"/>
  <c r="AL151"/>
  <c r="AL178"/>
  <c r="AL152"/>
  <c r="AL153" s="1"/>
  <c r="AD152"/>
  <c r="Z152"/>
  <c r="AK152"/>
  <c r="AK153" s="1"/>
  <c r="R12" i="7"/>
  <c r="R279" s="1"/>
  <c r="Q39"/>
  <c r="R39" s="1"/>
  <c r="U39"/>
  <c r="U279" s="1"/>
  <c r="L39"/>
  <c r="Q279" l="1"/>
</calcChain>
</file>

<file path=xl/sharedStrings.xml><?xml version="1.0" encoding="utf-8"?>
<sst xmlns="http://schemas.openxmlformats.org/spreadsheetml/2006/main" count="868" uniqueCount="530">
  <si>
    <t>СВОДКА</t>
  </si>
  <si>
    <t>Маркс</t>
  </si>
  <si>
    <t>по выполнению плана отгрузки узлов и деталей ООО «ИНКОТЕКС-СК»</t>
  </si>
  <si>
    <t>Рабочих 
дней</t>
  </si>
  <si>
    <t>всего</t>
  </si>
  <si>
    <t>использ.</t>
  </si>
  <si>
    <t>осталось</t>
  </si>
  <si>
    <t xml:space="preserve">Плановый % сдачи на склад </t>
  </si>
  <si>
    <t>Плановый % вып. 
плана 
отгрузки</t>
  </si>
  <si>
    <t>ноябрь</t>
  </si>
  <si>
    <t>№
п/п</t>
  </si>
  <si>
    <t>Наименование продукции</t>
  </si>
  <si>
    <t>Подразделение</t>
  </si>
  <si>
    <t>План 
отгрузки, 
шт. в мес.</t>
  </si>
  <si>
    <t>Цена, 
руб. с НДС</t>
  </si>
  <si>
    <t>№ протокола</t>
  </si>
  <si>
    <t>Сумма , 
руб.
 с НДС</t>
  </si>
  <si>
    <t xml:space="preserve">Остаток 
на
</t>
  </si>
  <si>
    <t xml:space="preserve">Сдача за </t>
  </si>
  <si>
    <t>Сдача на
 склад 
сбыта с 
нач. мес.</t>
  </si>
  <si>
    <t>Сдача на
 склад сбыта с
 учетом остатков</t>
  </si>
  <si>
    <t>Фактический % сдачи на склад</t>
  </si>
  <si>
    <t xml:space="preserve">Отгружено за       
</t>
  </si>
  <si>
    <t>Отгружено
 с начала 
месяца</t>
  </si>
  <si>
    <t>Сумма , 
руб. 
 c НДС</t>
  </si>
  <si>
    <t>Факт.% вып.
 плана 
отгрузки</t>
  </si>
  <si>
    <t xml:space="preserve">Остаток
 на складе
 сбыта на </t>
  </si>
  <si>
    <t>Сумма , 
руб. с НДС</t>
  </si>
  <si>
    <t>На ответ. хранении</t>
  </si>
  <si>
    <t>Осталось отгрузить</t>
  </si>
  <si>
    <t>Осталось 
сдать</t>
  </si>
  <si>
    <t xml:space="preserve">Узлы и детали </t>
  </si>
  <si>
    <t>Держатель НПК 100.99.01</t>
  </si>
  <si>
    <t>цех мехобработки</t>
  </si>
  <si>
    <t>Кроссователь 4ТО (АВЛГ.411152.030)30.00-02</t>
  </si>
  <si>
    <t>Вилка 2к 4ТО (АВЛГ.411152.033)90.00</t>
  </si>
  <si>
    <t>Счетчик М208 ARTХ2-02 DPOHG7F04 АВЛГ.411152.066-23 (для Лесных В.В.)</t>
  </si>
  <si>
    <t>цех сбор.эл.счет.</t>
  </si>
  <si>
    <t>Счетчик М238 ARTX2-02 DPOG7F04 ОПНН.603.751-05 (для Лесных)</t>
  </si>
  <si>
    <t>Счетчик М238 ART2-02 POL2F04 АВЛГ.411152.061-22 ППРФ (Для Богданова А.Д.)</t>
  </si>
  <si>
    <t>Счетчик М150 2-02 DOHRF04 АВЛГ.411152.073-04 (на СГП)</t>
  </si>
  <si>
    <t>Счетчик М208 ARTX2-02 DPOHF04 АВЛГ.411152.060-13 (ОПНН.603.631) (для Лесных)</t>
  </si>
  <si>
    <t>Формуляр ФО 26.51.63.130-061-01-89558048-2018 Версия 01.2023 (для Лесных)</t>
  </si>
  <si>
    <t>Счётчик М201.2 АВЛГ537.00.00-02  (для Лесных )</t>
  </si>
  <si>
    <t>Счетчик М234 ARTМ-00 PBR.G5 АВЛГ.411152.033-228</t>
  </si>
  <si>
    <t>Счетчик М238 ARTХ2-02 DPOF04 АВЛГ.411152.061-07 (для Лесных)</t>
  </si>
  <si>
    <t>Формуляр Меркурий 234,238 ФО 26.51.63.130-061-03-89558048-2018 вер.13 от 2024.04.24 (для Лесных)</t>
  </si>
  <si>
    <t>Счетчик М200.02 АВЛГ.411152.020-10 (для Лесных)</t>
  </si>
  <si>
    <t>Вставка 4ТО (АВЛГ.411152.073)90.09</t>
  </si>
  <si>
    <t>Опора 4ТО (АВЛГ.411152.073)90.21</t>
  </si>
  <si>
    <t>Кожух АВЛГ 420.20.01-03   (для СЦ)</t>
  </si>
  <si>
    <t>цех литья пластм.</t>
  </si>
  <si>
    <t>Планка АВЛГ 420.20.99-02</t>
  </si>
  <si>
    <t>Корпус АВЛГ 420.23.00-02</t>
  </si>
  <si>
    <t>Крышка АВЛГ 420.25.01-04 (для СЦ)</t>
  </si>
  <si>
    <t>Радиомодуль ЛРВМ.464411.003-02 с прошивкой СПОДЭС (для СЦ)</t>
  </si>
  <si>
    <t>цех монтажа</t>
  </si>
  <si>
    <t>Радиомодуль ЛРВМ.464411.003-02 с прошивкой Меркурий</t>
  </si>
  <si>
    <t>Радиомодуль ЛРВМ.464411.003-06 с прошивкой СПОДЭС</t>
  </si>
  <si>
    <t>Модуль LRAS-868-PCB ЛРВМ.464411.020-01 с прошивкой "Меркурий" (для СЦ)</t>
  </si>
  <si>
    <t xml:space="preserve">Модуль LRAS-868-PCB ЛРВМ.464411.020-01 с прошивкой "СПОДЭС" </t>
  </si>
  <si>
    <t>Модуль LRAS-868-PCB ЛРВМ.464411.020-01 с прошивкой "СПОДЭС" (для СЦ)</t>
  </si>
  <si>
    <t>Модуль LRAS-868-PCB ЛРВМ.464411.020-01 с прошивкой "СПОДЭС" (для Лесных)</t>
  </si>
  <si>
    <t>Модуль LRAS-868-PCB ЛРВМ.464411.020-01 с прошивкой "СПОДЭС"-11 версия (для СЦ)</t>
  </si>
  <si>
    <t>Модуль LRAS-868-PCB ЛРВМ.464411.020-01 с прошивкой "СПОДЭС+GSM"</t>
  </si>
  <si>
    <t>Модуль GSM Telit АВЛГ.464514.004-04</t>
  </si>
  <si>
    <t>Модуль GSM-203-С.05 АВЛГ.464514.014-02</t>
  </si>
  <si>
    <t>Модуль GSM-234-A АВЛГ.464514.016 (п/п АВЛГ.758725.041 v.4)</t>
  </si>
  <si>
    <t>Модуль GSM-203-G АВЛГ.464514.029</t>
  </si>
  <si>
    <t>Модуль GSM-234-В АВЛГ.464514.031 (для СЦ)</t>
  </si>
  <si>
    <t>Модуль GSM-234-В АВЛГ.464514.031-06 (для Лесных)</t>
  </si>
  <si>
    <t>Модуль GSM-208Х-А АВЛГ.464514.032-04 на пп v.2 (SIM-чип МТС)</t>
  </si>
  <si>
    <t>Модуль GSM-203-H АВЛГ.464514.034</t>
  </si>
  <si>
    <t>Модуль GSM-203-H АВЛГ.464514.034 (план апреля)</t>
  </si>
  <si>
    <t>Модуль GSM-208Х-В АВЛГ.464514.036</t>
  </si>
  <si>
    <t>Модуль RF-234-A(ASR) АВЛГ.464514.038 (для Лесных)</t>
  </si>
  <si>
    <t>Модуль АВЛГ.465615.008 (Модуль концентратор однофазный)</t>
  </si>
  <si>
    <t>Модуль модема PLC-II-28069 АВЛГ.465615.013</t>
  </si>
  <si>
    <t>Субмодуль GSM (SIM800) АВЛГ.467766.006</t>
  </si>
  <si>
    <t>Субмодуль GSM (SIM800) АВЛГ.467766.006 (план декабря)</t>
  </si>
  <si>
    <t>Субмодуль GSM (N25) АВЛГ.467766.007</t>
  </si>
  <si>
    <t>Дисплей выносной АВЛГ.467859.003-01  (для Лесных) (Для Богданова А.Д. 3шт.)</t>
  </si>
  <si>
    <t>Дисплей выносной АВЛГ.467859.005  (для Лесных)</t>
  </si>
  <si>
    <t xml:space="preserve">Дисплей выносной АВЛГ.467859.005 </t>
  </si>
  <si>
    <t>Блок комбинированный М150 АВЛГ.468139.031</t>
  </si>
  <si>
    <t xml:space="preserve">Плата коммуникационного модуля  ЛРВМ.468353.001-04 (СПОДЭС)  </t>
  </si>
  <si>
    <t>Плата коммуникационного модуля  ЛРВМ.468353.001-04 (СПОДЭС) (Для Голина)</t>
  </si>
  <si>
    <t>Плата коммуникационного модуля  ЛРВМ.468353.001-04 (СПОДЭС) (Замена брака. Отдел ремонта)</t>
  </si>
  <si>
    <t>Модуль  ЛРДЕ.468353.001-08 (САМ34)</t>
  </si>
  <si>
    <t>Блок комбинированный АВЛГ.469139.007 (М-234) (для Лесных)</t>
  </si>
  <si>
    <t>Блок комбинированный АВЛГ.469139.007-02 (М-234) (для Лесных)</t>
  </si>
  <si>
    <t>Блок комбинированный 2  АВЛГ.469139.014 (М-234)</t>
  </si>
  <si>
    <t>Блок комбинированный 3  АВЛГ.469139.015-01 (для Лесных)</t>
  </si>
  <si>
    <t>Блок комбинированный М208  АВЛГ.469139.016</t>
  </si>
  <si>
    <t xml:space="preserve">Блок комбинированный М208 АВЛГ.469139.016-01 </t>
  </si>
  <si>
    <t>Блок комбинированный М238 АВЛГ. 469139.027 (для Лесных)</t>
  </si>
  <si>
    <t>Блок комбинированный  М204 (100А) АВЛГ 469139.029-13 (для Лесных)</t>
  </si>
  <si>
    <t>Корпус АВЛГ 525.10.00-11 (СЦ)</t>
  </si>
  <si>
    <t xml:space="preserve">Крышка АВЛГ 525.12.01-02 </t>
  </si>
  <si>
    <t>Кожух АВЛГ 525.14.01 (для СЦ)</t>
  </si>
  <si>
    <t>Узел датчика тока АВЛГ 525.28.00-06</t>
  </si>
  <si>
    <t>Пластина АВЛГ 537.00.20-01</t>
  </si>
  <si>
    <t>Корпус АВЛГ 537.10.01-01 ( для Лесных В.В.)</t>
  </si>
  <si>
    <t>Крышка АВЛГ 537.10.02-01 ( для Лесных В.В.)</t>
  </si>
  <si>
    <t>Шунт АВЛГ 537.86.00 ( для Лесных В.В.)</t>
  </si>
  <si>
    <t>Корпус модуля GSM ОПНН.603.158</t>
  </si>
  <si>
    <t>Корпус модуля GSM ОПНН.603.158-01</t>
  </si>
  <si>
    <t>Планка опорная М250 ОПНН.603.163</t>
  </si>
  <si>
    <t>Планка направляюща М250 ОПНН.603.164</t>
  </si>
  <si>
    <t>Планка верхняя ОПНН.603.165</t>
  </si>
  <si>
    <t xml:space="preserve">Крышка корпуса М234Х ОПНН.603.626 </t>
  </si>
  <si>
    <t>Крышка корпуса М234Х ОПНН.603.626 (план декабря)</t>
  </si>
  <si>
    <t xml:space="preserve">Модуль в шасси М208STM ОПНН.603.631 (Меркурий) </t>
  </si>
  <si>
    <t xml:space="preserve">Модуль в шасси М208STM ОПНН.603.631 (СПОДЭС) </t>
  </si>
  <si>
    <t xml:space="preserve">Модуль базовый М238STM ОПНН.603.634 (СПОДЭС) </t>
  </si>
  <si>
    <t>Модуль в шасси М238STM ОПНН.603.635 (Меркурий)</t>
  </si>
  <si>
    <t xml:space="preserve">Модуль в шасси М238STM ОПНН.603.635 (СПОДЭС) </t>
  </si>
  <si>
    <t>Крышка корпуса М234Х низкая ОПНН.603.640 (для СЦ)</t>
  </si>
  <si>
    <t>Модуль в шасси М208GF ОПНН.603.742-01 СПОДЭС</t>
  </si>
  <si>
    <t>Модуль в шасси М208GF ОПНН.603.742-05 СПОДЭС</t>
  </si>
  <si>
    <t>Модуль базовый М238GF ОПНН.603.747-05 СПОДЭС</t>
  </si>
  <si>
    <t>Модуль в шасси М238GF ОПНН.603.748-01 СПОДЭС</t>
  </si>
  <si>
    <t>Модуль в шасси М238GF ОПНН.603.748-04 СПОДЭС</t>
  </si>
  <si>
    <t>Модуль в шасси М238GF ОПНН.603.748-05 СПОДЭС</t>
  </si>
  <si>
    <t>Узел печатный ДМ ОПНН.603.856</t>
  </si>
  <si>
    <t>Крышка АВЛГ 604.10.05</t>
  </si>
  <si>
    <t>Контакт АВЛГ 610.51.04-06.01 (доработка из Контакт АВЛГ 610.51.04-06)</t>
  </si>
  <si>
    <t>Крышка АВЛГ 660.12.01-11 (СЦ)</t>
  </si>
  <si>
    <t>Модуль АВЛГ 660.21.00-38 (ИИУ5 с датчиком тока) в корпусе</t>
  </si>
  <si>
    <t>Модуль АВЛГ 660.21.00-84 (ИИУ5 с датчиком тока) в корпусе ( для СЦ)</t>
  </si>
  <si>
    <t xml:space="preserve">Кабель интерфейсный АВЛГ.685621.002 </t>
  </si>
  <si>
    <t>сборочный цех</t>
  </si>
  <si>
    <t>Кабель интерфейсный АВЛГ.685621.003</t>
  </si>
  <si>
    <t>Кабель соединительный АВЛГ.685621.006</t>
  </si>
  <si>
    <t>Кабель интерфейсный АВЛГ.685621.007</t>
  </si>
  <si>
    <t xml:space="preserve">Кабель сетевой АВЛГ. 685631.001-01           </t>
  </si>
  <si>
    <t>Кабель сетевой АВЛГ. 685631.002</t>
  </si>
  <si>
    <t>Узел печатный RS-485 АВЛГ.687241.042</t>
  </si>
  <si>
    <t xml:space="preserve">Модуль АВЛГ.687241.062 (Узел печатный GSM-шлюза)     </t>
  </si>
  <si>
    <t>Модуль АВЛГ.687241.062 (Узел печатный GSM-шлюза) (май)</t>
  </si>
  <si>
    <t>Модуль АВЛГ 687241.090 (Узел печатный М-234 L2-28069)</t>
  </si>
  <si>
    <t>Узел печатный АDDBAT М150 АВЛГ687241.153 (для Лесных)</t>
  </si>
  <si>
    <t>Узел печатный RS-485 АВЛГ 687241.155</t>
  </si>
  <si>
    <t>Узел RF-cross АВЛГ.687241.161</t>
  </si>
  <si>
    <t>Узел RF-cross АВЛГ.687241.161-01</t>
  </si>
  <si>
    <t>Узел детекторный М238 АВЛГ. 687242.035 ППРФ</t>
  </si>
  <si>
    <t>Узел детекторный М208 АВЛГ. 687242.036 ППРФ</t>
  </si>
  <si>
    <t>Узел детекторный М208STM АВЛГ. 687242.060 (для Лесных)</t>
  </si>
  <si>
    <t>Узел печатный БП-ОВ2235 М150 АВЛГ. 687242.068</t>
  </si>
  <si>
    <t>Узел печатный GSM N25 М150 АВЛГ. 687242.070</t>
  </si>
  <si>
    <t>Модуль LCD М150 АВЛГ. 687242.072</t>
  </si>
  <si>
    <t>Модуль LCD М150Х АВЛГ. 687242.074</t>
  </si>
  <si>
    <t>Модуль LCD М350 АВЛГ. 687242.078</t>
  </si>
  <si>
    <t>Узел печатный ЖКИ М150Х АВЛГ.687242.081</t>
  </si>
  <si>
    <t>Узел печатный GSM-234-A АВЛГ 687243.102 (п/п АВЛГ.758725.041 v.4)</t>
  </si>
  <si>
    <t>Узел печатный GSM-234-A АВЛГ 687243.102-02 (п/п АВЛГ.758725.041 v.4)</t>
  </si>
  <si>
    <t>Узел печатный GSM-234-A АВЛГ 687243.102-03 (п/п АВЛГ.758725.041 v.4)</t>
  </si>
  <si>
    <t>Узел печатный ТМ-К2 АВЛГ.687243.116-01</t>
  </si>
  <si>
    <t>Устройство измерения и индикации М204STM АВЛГ.687243.149</t>
  </si>
  <si>
    <t>Устройство измерения и индикации М204STM АВЛГ.687243.149 (СЦ)</t>
  </si>
  <si>
    <t xml:space="preserve">Узел печатный GSM-234-B АВЛГ.687243.155 </t>
  </si>
  <si>
    <t>Модуль АВЛГ.687292.023-10 (Модуль базовый М200.02)</t>
  </si>
  <si>
    <t>Модуль АВЛГ.687292.045-03 (Модуль базовый М234)</t>
  </si>
  <si>
    <t>Модуль АВЛГ.687292.045-06 (Модуль базовый М234)</t>
  </si>
  <si>
    <t>Модуль АВЛГ.687292.045-12 (Модуль базовый М234) (для СЦ)</t>
  </si>
  <si>
    <t>Модуль АВЛГ.687292.045-17 (Модуль базовый М234)</t>
  </si>
  <si>
    <t xml:space="preserve">Модуль базовый 10А (М234) АВЛГ.687292.045-19 </t>
  </si>
  <si>
    <t>Модуль АВЛГ.687292.047-10 (Модуль базовый М234)</t>
  </si>
  <si>
    <t>Модуль АВЛГ.687292.049-10 (Модуль базовый М234)</t>
  </si>
  <si>
    <t>Модуль базовый М208 АВЛГ.687292.077-08 ППРФ</t>
  </si>
  <si>
    <t>Модуль базовый М204 (100А) АВЛГ.687292.084-10 ППРФ</t>
  </si>
  <si>
    <t>Модуль базовый М204STM АВЛГ.687292.097-05</t>
  </si>
  <si>
    <t>Модуль базовый М204STM АВЛГ.687292.097-09</t>
  </si>
  <si>
    <t>Модуль базовый М204STM АВЛГ.687292.097-10</t>
  </si>
  <si>
    <t>Модуль базовый М204STM АВЛГ.687292.097-12</t>
  </si>
  <si>
    <t>Модуль базовый М204STM АВЛГ.687292.097-12 (план декабря)</t>
  </si>
  <si>
    <t xml:space="preserve">Модуль базовый М234STM АВЛГ.687292.098-01 </t>
  </si>
  <si>
    <t>Модуль базовый М234STM АВЛГ.687292.098-01 (план декабря)</t>
  </si>
  <si>
    <t xml:space="preserve">Модуль базовый М234STM АВЛГ.687292.098-02 </t>
  </si>
  <si>
    <t>Модуль базовый М234STM АВЛГ.687292.098-02 ( для СЦ)</t>
  </si>
  <si>
    <t xml:space="preserve">Модуль базовый М234STM АВЛГ.687292.098-03 </t>
  </si>
  <si>
    <t>Модуль базовый М234STM АВЛГ.687292.098-03 ( для СЦ)</t>
  </si>
  <si>
    <t>Модуль базовый М234STM АВЛГ.687292.098-05 (Меркурий)</t>
  </si>
  <si>
    <t xml:space="preserve">Модуль базовый М234STM АВЛГ.687292.098-07 </t>
  </si>
  <si>
    <t>Модуль базовый М234STM АВЛГ.687292.098-07 (план декабря)</t>
  </si>
  <si>
    <t xml:space="preserve">Модуль базовый М234STM АВЛГ.687292.098-08 (СПОДЭС) </t>
  </si>
  <si>
    <t xml:space="preserve">Модуль базовый М234STM АВЛГ.687292.098-08 (Меркурий) </t>
  </si>
  <si>
    <t xml:space="preserve">Модуль базовый М234STM АВЛГ.687292.098-10 </t>
  </si>
  <si>
    <t>Модуль базовый М234STM АВЛГ.687292.098-11</t>
  </si>
  <si>
    <t>Модуль базовый М234STM АВЛГ.687292.098-11  (план декабря)</t>
  </si>
  <si>
    <t>Модуль базовый М234STM АВЛГ.687292.098-12 (план декабря)</t>
  </si>
  <si>
    <t>Модуль базовый М234STM АВЛГ.687292.098-15 (план декабря)</t>
  </si>
  <si>
    <t>Модуль базовый М234STM АВЛГ.687292.098-16 (СПОДЭС)</t>
  </si>
  <si>
    <t>Модуль базовый М234STM АВЛГ.687292.098-16 (Меркурий)</t>
  </si>
  <si>
    <t xml:space="preserve">Модуль базовый М234STM АВЛГ.687292.098-18 </t>
  </si>
  <si>
    <t>Модуль базовый М150 АВЛГ.687292.105</t>
  </si>
  <si>
    <t>Модуль базовый М150 АВЛГ.687292.105-01</t>
  </si>
  <si>
    <t>Модуль базовый М150 АВЛГ.687292.105-01 (план апреля)</t>
  </si>
  <si>
    <t>Модуль базовый М150 АВЛГ.687292.105-03</t>
  </si>
  <si>
    <t xml:space="preserve">Модуль базовый М150 АВЛГ.687292.105-04 </t>
  </si>
  <si>
    <t>Модуль базовый М150 АВЛГ.687292.105-05</t>
  </si>
  <si>
    <t>Модуль базовый М150 АВЛГ.687292.105-06</t>
  </si>
  <si>
    <t>Модуль базовый RG М150 АВЛГ.687292.106</t>
  </si>
  <si>
    <t>Модуль базовый М350 АВЛГ.687292.107 (Муляж)</t>
  </si>
  <si>
    <t>Модуль базовый М350 АВЛГ.687292.107-01 c доработанным датчиком магнитного поля</t>
  </si>
  <si>
    <t>Модуль базовый М350 АВЛГ.687292.107 (СПОДЭС) c доработанным датчиком магнитного поля</t>
  </si>
  <si>
    <t>Модуль базовый М150U АВЛГ.687292.108</t>
  </si>
  <si>
    <t>Модуль базовый М150U АВЛГ.687292.108-01</t>
  </si>
  <si>
    <t>Модуль базовый М150U АВЛГ.687292.108-01 (план декабря)</t>
  </si>
  <si>
    <t>Модуль базовый М150U АВЛГ.687292.108-02</t>
  </si>
  <si>
    <t>Модуль базовый М150U АВЛГ.687292.108-03</t>
  </si>
  <si>
    <t>Модуль АВЛГ.688.50.00 (модуль ИУУ) в корпусе</t>
  </si>
  <si>
    <t>Замок АВЛГ 699.00.03</t>
  </si>
  <si>
    <t xml:space="preserve">Модуль АВЛГ 699.07.00 (Модуль концентратора 1-фазный М225.11) </t>
  </si>
  <si>
    <t xml:space="preserve">Модуль концентратора 1-фазный М225.11 АВЛГ 699.07.00 без Соединителя L-KLS1-AS-222-13 </t>
  </si>
  <si>
    <t>Кабель АВЛГ 699.20.00</t>
  </si>
  <si>
    <t>Основание АВЛГ 711.01.00-01</t>
  </si>
  <si>
    <t>Крышка верхняя АВЛГ 711.05.01 (для СЦ)</t>
  </si>
  <si>
    <t>Крышка нижняя АВЛГ 711.06.01 (для СЦ)</t>
  </si>
  <si>
    <t>Пластина АВЛГ 711.90.01</t>
  </si>
  <si>
    <t>Шайба  КНПЛ.714291.001</t>
  </si>
  <si>
    <t xml:space="preserve">Корпус  АВЛГ. 731178.019 изм.3 </t>
  </si>
  <si>
    <t xml:space="preserve">Крышка корпуса АВЛГ.731178.021 изм.4 </t>
  </si>
  <si>
    <t>Крышка корпуса АВЛГ.731178.021-01 изм.4</t>
  </si>
  <si>
    <t>Крышка корпуса АВЛГ.731178.021-04</t>
  </si>
  <si>
    <t>Крышка корпуса АВЛГ.731178.021-05 (для СЦ)</t>
  </si>
  <si>
    <t xml:space="preserve">Крышка корпуса АВЛГ.731178.021-05 </t>
  </si>
  <si>
    <t>Крышка сменного модуля  АВЛГ.731111.001</t>
  </si>
  <si>
    <t>Кнопка АВЛГ 420.25.02-04 (для СЦ)</t>
  </si>
  <si>
    <t>Кнопка АВЛГ 420.25.02-05 (для СЦ)</t>
  </si>
  <si>
    <t>Основание корпуса АВЛГ.731178.022 изм.6</t>
  </si>
  <si>
    <t>сгд</t>
  </si>
  <si>
    <t>Основание корпуса АВЛГ.731178.022 изм.6 (Для СЦ)</t>
  </si>
  <si>
    <t>Основание корпуса АВЛГ.731178.022-02</t>
  </si>
  <si>
    <t xml:space="preserve">Крышка терминальная АВЛГ.731178.027-04 (М234) </t>
  </si>
  <si>
    <t>Крышка терминальная АВЛГ.731178.027-05 (М234)</t>
  </si>
  <si>
    <t>Крышка терминальная АВЛГ.731178.027-05 (М234) (для СЦ)</t>
  </si>
  <si>
    <t>Крышка АВЛГ.731178.033 (СЦ)</t>
  </si>
  <si>
    <t>Крышка верхняя АВЛГ.731178.040 (для СЦ)</t>
  </si>
  <si>
    <t>Крышка нижняя АВЛГ.731178.041  (для СЦ)</t>
  </si>
  <si>
    <t xml:space="preserve">Корпус АВЛГ. 731178.057 изм.4 </t>
  </si>
  <si>
    <t>Шасси АВЛГ. 731178.058 (М208)</t>
  </si>
  <si>
    <t xml:space="preserve">Крышка терминальная АВЛГ. 731178.060 (М208) </t>
  </si>
  <si>
    <t xml:space="preserve">Корпус АВЛГ 731178.061 изм.4 </t>
  </si>
  <si>
    <t>Корпус АВЛГ 731178.061 изм.4 (для СЦ)</t>
  </si>
  <si>
    <t>Шасси АВЛГ 731178.062 (для Лесных)</t>
  </si>
  <si>
    <t>Колодка АВЛГ 731178.063</t>
  </si>
  <si>
    <t>Крышка терминальная АВЛГ 731178.064 (М-238)</t>
  </si>
  <si>
    <t>Корпус АВЛГ 731178.081 с лазерной маркировкой</t>
  </si>
  <si>
    <t>Корпус М208Х АВЛГ.731178.089 (для СЦ)</t>
  </si>
  <si>
    <t>Корпус М208Х АВЛГ.731178.089</t>
  </si>
  <si>
    <t xml:space="preserve">Крышка М208 АВЛГ 731178.090 </t>
  </si>
  <si>
    <t>Корпус М238 АВЛГ.731178.091</t>
  </si>
  <si>
    <t>Крышка М238 АВЛГ.731178.092</t>
  </si>
  <si>
    <t>Колодка М150 АВВЛГ.731178.095</t>
  </si>
  <si>
    <t>Корпус М150 М238 АВЛГ.731178.096 (основание)</t>
  </si>
  <si>
    <t>Крышка корпуса М150 АВЛГ.731178.097</t>
  </si>
  <si>
    <t>Крышка корпуса М150 АВЛГ.731178.097 (сплит)</t>
  </si>
  <si>
    <t>Крышка корпуса М150 АВЛГ.731178.097-01</t>
  </si>
  <si>
    <t>Крышка клеммная М150 АВЛГ.731178.098</t>
  </si>
  <si>
    <t>Крышка МС M150 АВЛГ.731178.099 (силиконить по КТП)</t>
  </si>
  <si>
    <t xml:space="preserve">Вставка АВЛГ.731178.100 (на 3 точки)   </t>
  </si>
  <si>
    <t>Фиксатор на Din-рейку АВЛГ.731178.101</t>
  </si>
  <si>
    <t>Фиксатор на Din-рейку АВЛГ.731178.101 (Для СЦ)</t>
  </si>
  <si>
    <t>Корпус М350 АВЛГ.731178.105 изм.1</t>
  </si>
  <si>
    <t>Крышка клеммная М350 АВЛГ.731178.106 изм.1</t>
  </si>
  <si>
    <t>Крышка индикационная М350 АВЛГ.731178.107 изм.1</t>
  </si>
  <si>
    <t>Крышка модульная М350 АВЛГ.731178.108 изм.1</t>
  </si>
  <si>
    <t>Крышка МС М350 АВЛГ.731178.108-01</t>
  </si>
  <si>
    <t>Крышка индикационная АВЛГ.732115.008 (М-234)</t>
  </si>
  <si>
    <t>Крышка модульная АВЛГ.732115.009</t>
  </si>
  <si>
    <t>Крышка счетчика АВЛГ.732115.010 изм.3 (для СЦ)</t>
  </si>
  <si>
    <t xml:space="preserve">Крышка счетчика АВЛГ.732115.011 изм.4  </t>
  </si>
  <si>
    <t xml:space="preserve">Крышка счетчика АВЛГ.732115.011 изм.4 (для СЦ) </t>
  </si>
  <si>
    <t>Крышка счетчика АВЛГ.732115.011 изм.4 (для Лесных)</t>
  </si>
  <si>
    <t xml:space="preserve">Корпус модуля АВЛГ.732121.002 изм 3 (М234) </t>
  </si>
  <si>
    <t>Корпус модуля АВЛГ.732121.002 изм 3 (М234) (план декабря)</t>
  </si>
  <si>
    <t>Корпус модуля счетчика М234 АВЛГ.732121.007</t>
  </si>
  <si>
    <t>Корпус модуля счетчика М234 АВЛГ.732121.007 (план декабря)</t>
  </si>
  <si>
    <t xml:space="preserve">Корпус модуля АВЛГ.732121.011 (LarTech) </t>
  </si>
  <si>
    <t>Корпус модуля АВЛГ.732121.017</t>
  </si>
  <si>
    <t>Корпус модуля АВЛГ.732121.017-01</t>
  </si>
  <si>
    <t>Крышка АВЛГ 737.00.09</t>
  </si>
  <si>
    <t>Крышка АВЛГ 737.00.09 (для Лесных)</t>
  </si>
  <si>
    <t>Основание АВЛГ 737.10.01-02</t>
  </si>
  <si>
    <t>Крышка терминальная АВЛГ 737.11.01-02</t>
  </si>
  <si>
    <t>Корпус АВЛГ 737.12.01-02 изм.6</t>
  </si>
  <si>
    <t>Корпус АВЛГ 737.12.01-02 изм.6 (план декабря)</t>
  </si>
  <si>
    <t>Скоба М350 DIN АВЛГ.741231.013</t>
  </si>
  <si>
    <t>Держатель оптопорта М150 АВЛГ.745353.003</t>
  </si>
  <si>
    <t>Держатель оптопорта М150 АВЛГ.745353.003  (план декабря)</t>
  </si>
  <si>
    <t xml:space="preserve">Держатель оптопорта М350 АВЛГ.745353.004 </t>
  </si>
  <si>
    <t xml:space="preserve">Держатель оптопорта М150Х АВЛГ.745353.005 </t>
  </si>
  <si>
    <t>Держатель оптопорта М150Х АВЛГ.745353.005  (план декабря)</t>
  </si>
  <si>
    <t>Скоба АВЛГ.757461.001 изм.4</t>
  </si>
  <si>
    <t>Скоба АВЛГ.757461.001 изм.4 (для СЦ)</t>
  </si>
  <si>
    <t>Скоба М350 3Т АВЛГ.757461.003-01 изм.1</t>
  </si>
  <si>
    <t xml:space="preserve">Скоба КНПЛ.757461.008 (короткая) </t>
  </si>
  <si>
    <t>Скоба КНПЛ.757461.008 (короткая)</t>
  </si>
  <si>
    <t>Скоба КНПЛ.757461.008 (короткая)  (для СЦ)</t>
  </si>
  <si>
    <t>Основание АВЛГ 811.00.01</t>
  </si>
  <si>
    <t xml:space="preserve">Крышка АВЛГ 811.00.02 </t>
  </si>
  <si>
    <t>Модуль АВЛГ 811.02.00 (Модуль ИК М255)</t>
  </si>
  <si>
    <t>Модуль АВЛГ 811.03.00 (Модуль ВТ М255)</t>
  </si>
  <si>
    <t>Модуль АВЛГ 811.51.00 (Узел печатный)</t>
  </si>
  <si>
    <t>Чашка ЮФБК 8.210.001</t>
  </si>
  <si>
    <t>ИТОГО</t>
  </si>
  <si>
    <t>цена согласована</t>
  </si>
  <si>
    <t>план отгрузки</t>
  </si>
  <si>
    <t>цена на согласовании</t>
  </si>
  <si>
    <t>план не выполнен</t>
  </si>
  <si>
    <t>план выполнен</t>
  </si>
  <si>
    <t>в графике</t>
  </si>
  <si>
    <t xml:space="preserve"> </t>
  </si>
  <si>
    <t>по выполнению плана отгрузки продукции ООО «ИНКОТЕКС-СК»</t>
  </si>
  <si>
    <t>Рабочих дней</t>
  </si>
  <si>
    <t>Всего</t>
  </si>
  <si>
    <t>Использ.</t>
  </si>
  <si>
    <t>Осталось</t>
  </si>
  <si>
    <t>Примечание</t>
  </si>
  <si>
    <t xml:space="preserve">Недоделы прошлых периодов </t>
  </si>
  <si>
    <t>Недоделы прошлых периодов (Маркс)</t>
  </si>
  <si>
    <t>Недоделы прошлых периодов (ОП Москва)</t>
  </si>
  <si>
    <t>Счетчики основной план</t>
  </si>
  <si>
    <t>Счетчики основной план (Маркс)</t>
  </si>
  <si>
    <t>Счетчики основной план  (ОП Москва)</t>
  </si>
  <si>
    <t>Дополни-тельно к плану по с/з</t>
  </si>
  <si>
    <t>Дополни-тельно к плану по с/з (Маркс)</t>
  </si>
  <si>
    <t>Дополни-тельно к плану по с/з (ОП Москва)</t>
  </si>
  <si>
    <t>План 
отгрузки,
 шт. в мес.</t>
  </si>
  <si>
    <t>Сумма ,
 руб. с НДС</t>
  </si>
  <si>
    <t>Сдача за 28.11.2024</t>
  </si>
  <si>
    <t>Сдача 
на склад 
сбыта с нач.мес.</t>
  </si>
  <si>
    <t>Фактический % выполнения плана</t>
  </si>
  <si>
    <t>Отгрузка из Маркса с начала месяца</t>
  </si>
  <si>
    <t>Движение модулей</t>
  </si>
  <si>
    <r>
      <t xml:space="preserve">Осталось 
сдать /
</t>
    </r>
    <r>
      <rPr>
        <b/>
        <sz val="11"/>
        <color indexed="10"/>
        <rFont val="Times New Roman"/>
        <family val="1"/>
        <charset val="204"/>
      </rPr>
      <t>ежедневно</t>
    </r>
  </si>
  <si>
    <t>Счетчики (Маркс)</t>
  </si>
  <si>
    <t>Счетчики (ОП Москва)</t>
  </si>
  <si>
    <t>счетчики (Маркс)</t>
  </si>
  <si>
    <t>счетчики (ОП Москва)</t>
  </si>
  <si>
    <t>Отгружено счетчиков</t>
  </si>
  <si>
    <t>%</t>
  </si>
  <si>
    <t>остаток на складе сбыта</t>
  </si>
  <si>
    <t>счетчики</t>
  </si>
  <si>
    <t>модуль</t>
  </si>
  <si>
    <t>ост.отгр</t>
  </si>
  <si>
    <t>Электросчетчики</t>
  </si>
  <si>
    <t>Однофазные счетчики</t>
  </si>
  <si>
    <t xml:space="preserve">Счетчик электроэнергии "Меркурий 200.02" </t>
  </si>
  <si>
    <t>с/з № 325</t>
  </si>
  <si>
    <t xml:space="preserve">Счетчик электроэнергии "Меркурий 200.04" </t>
  </si>
  <si>
    <t>Счетчик электроэнергии  "Меркурий 201.2"</t>
  </si>
  <si>
    <t>Счетчик электроэнергии  "Меркурий 201.4"</t>
  </si>
  <si>
    <t>Счетчик электроэнергии  "Меркурий 201.5"</t>
  </si>
  <si>
    <t>Счетчик электроэнергии "Меркурий 201.6"</t>
  </si>
  <si>
    <t>Счетчик электроэнергии "Меркурий 201.7"</t>
  </si>
  <si>
    <t>Счетчик электроэнергии "Меркурий 201.8"</t>
  </si>
  <si>
    <r>
      <t xml:space="preserve">Счетчик электроэнергии "Меркурий 204 ARTMX2-02 POBHR" </t>
    </r>
    <r>
      <rPr>
        <sz val="11"/>
        <color theme="0"/>
        <rFont val="Times New Roman"/>
        <family val="1"/>
        <charset val="204"/>
      </rPr>
      <t>097-12</t>
    </r>
  </si>
  <si>
    <r>
      <t xml:space="preserve">Счетчик электроэнергии "Меркурий 204 ARTMX2-02 DPOBHR" </t>
    </r>
    <r>
      <rPr>
        <sz val="11"/>
        <color theme="0"/>
        <rFont val="Times New Roman"/>
        <family val="1"/>
        <charset val="204"/>
      </rPr>
      <t>097-12</t>
    </r>
  </si>
  <si>
    <t>с/з № 325-1021шт., с/з № 339-397шт.</t>
  </si>
  <si>
    <r>
      <t>Счетчик электроэнергии "Меркурий 204 ARTMX2-02 DPOBHR.F04"</t>
    </r>
    <r>
      <rPr>
        <sz val="11"/>
        <color theme="0"/>
        <rFont val="Times New Roman"/>
        <family val="1"/>
        <charset val="204"/>
      </rPr>
      <t xml:space="preserve"> 097-12</t>
    </r>
  </si>
  <si>
    <r>
      <t xml:space="preserve">Счетчик электроэнергии "Меркурий 204 ARTMX2-02 POBHR.G" </t>
    </r>
    <r>
      <rPr>
        <sz val="11"/>
        <color theme="0"/>
        <rFont val="Times New Roman"/>
        <family val="1"/>
        <charset val="204"/>
      </rPr>
      <t>097-12</t>
    </r>
  </si>
  <si>
    <r>
      <t xml:space="preserve">Счетчик электроэнергии  "Меркурий 204 ARTMX2-02 DPOBHR.G" </t>
    </r>
    <r>
      <rPr>
        <sz val="11"/>
        <color theme="0"/>
        <rFont val="Times New Roman"/>
        <family val="1"/>
        <charset val="204"/>
      </rPr>
      <t xml:space="preserve"> 097-12</t>
    </r>
  </si>
  <si>
    <r>
      <t xml:space="preserve">Счетчик электроэнергии "Меркурий 204 ARTMX2-02 DPOBHR.G1"  </t>
    </r>
    <r>
      <rPr>
        <sz val="11"/>
        <color theme="0"/>
        <rFont val="Times New Roman"/>
        <family val="1"/>
        <charset val="204"/>
      </rPr>
      <t>097-12</t>
    </r>
  </si>
  <si>
    <r>
      <t xml:space="preserve">Счетчик электроэнергии "Меркурий 204 ARTMX2-02 DPOBHR.G7"  </t>
    </r>
    <r>
      <rPr>
        <sz val="11"/>
        <color theme="0"/>
        <rFont val="Times New Roman"/>
        <family val="1"/>
        <charset val="204"/>
      </rPr>
      <t>097-12</t>
    </r>
  </si>
  <si>
    <r>
      <t xml:space="preserve">Счетчик электроэнергии "Меркурий 204 ARTMX2-02 DPOBHW.F04"  </t>
    </r>
    <r>
      <rPr>
        <sz val="11"/>
        <color theme="0"/>
        <rFont val="Times New Roman"/>
        <family val="1"/>
        <charset val="204"/>
      </rPr>
      <t>097-12</t>
    </r>
  </si>
  <si>
    <r>
      <t xml:space="preserve">Счетчик электроэнергии "Меркурий 204 ARTMX2-09 POBH.L2"  </t>
    </r>
    <r>
      <rPr>
        <sz val="11"/>
        <color theme="0"/>
        <rFont val="Times New Roman"/>
        <family val="1"/>
        <charset val="204"/>
      </rPr>
      <t>097-10</t>
    </r>
  </si>
  <si>
    <r>
      <t xml:space="preserve">Счетчик электроэнергии "Меркурий 204 ARTMX2-09 DPOBH.L2"  </t>
    </r>
    <r>
      <rPr>
        <sz val="11"/>
        <color theme="0"/>
        <rFont val="Times New Roman"/>
        <family val="1"/>
        <charset val="204"/>
      </rPr>
      <t>097-10</t>
    </r>
  </si>
  <si>
    <t xml:space="preserve">Счетчик электроэнергии "Меркурий 206 RN" </t>
  </si>
  <si>
    <t xml:space="preserve">Счетчик электроэнергии  "Меркурий 206 PRNO" </t>
  </si>
  <si>
    <t xml:space="preserve">Счетчик электроэнергии "Меркурий 206 PRSN" </t>
  </si>
  <si>
    <t xml:space="preserve">Счетчик электроэнергии "Меркурий 206 PRSNO" </t>
  </si>
  <si>
    <r>
      <t>Счетчик электроэнергии "Меркурий 208 ART2-02 DPOHF04"</t>
    </r>
    <r>
      <rPr>
        <sz val="11"/>
        <color theme="0"/>
        <rFont val="Times New Roman"/>
        <family val="1"/>
        <charset val="204"/>
      </rPr>
      <t xml:space="preserve"> 687292.110 (М)</t>
    </r>
  </si>
  <si>
    <t>с/з № 348</t>
  </si>
  <si>
    <r>
      <t>Счетчик электроэнергии "Меркурий 208 ARTX2-02 POHWF04"</t>
    </r>
    <r>
      <rPr>
        <sz val="11"/>
        <color theme="0"/>
        <rFont val="Times New Roman"/>
        <family val="1"/>
        <charset val="204"/>
      </rPr>
      <t xml:space="preserve"> 687292.110 (М)</t>
    </r>
  </si>
  <si>
    <r>
      <t xml:space="preserve">Счетчик электроэнергии "Меркурий 208 ARTX2-02 DPOHWF04" </t>
    </r>
    <r>
      <rPr>
        <sz val="11"/>
        <color theme="0"/>
        <rFont val="Times New Roman"/>
        <family val="1"/>
        <charset val="204"/>
      </rPr>
      <t>687292.110 (С)</t>
    </r>
  </si>
  <si>
    <r>
      <t>Счетчик электроэнергии  "Меркурий 208 ARTX2-02 DPOHWF04"</t>
    </r>
    <r>
      <rPr>
        <sz val="11"/>
        <color theme="0"/>
        <rFont val="Times New Roman"/>
        <family val="1"/>
        <charset val="204"/>
      </rPr>
      <t xml:space="preserve"> 687292.110 (С)</t>
    </r>
  </si>
  <si>
    <t>лартех</t>
  </si>
  <si>
    <r>
      <t xml:space="preserve">Счетчик электроэнергии "Меркурий 208 ARTX2-02 DPOHWG7F04" </t>
    </r>
    <r>
      <rPr>
        <sz val="11"/>
        <color theme="0"/>
        <rFont val="Times New Roman"/>
        <family val="1"/>
        <charset val="204"/>
      </rPr>
      <t>110-05 (С)</t>
    </r>
  </si>
  <si>
    <t xml:space="preserve"> с/з № 325</t>
  </si>
  <si>
    <t>Ставэлектросеть</t>
  </si>
  <si>
    <r>
      <t xml:space="preserve"> Счетчик электроэнергии "Меркурий 150 2-02 DOHRG7F04"  </t>
    </r>
    <r>
      <rPr>
        <sz val="11"/>
        <color theme="0"/>
        <rFont val="Times New Roman"/>
        <family val="1"/>
        <charset val="204"/>
      </rPr>
      <t>687292.108</t>
    </r>
  </si>
  <si>
    <t>с/з № 313 ГТК</t>
  </si>
  <si>
    <r>
      <t xml:space="preserve"> Счетчик электроэнергии "Меркурий 150 2-02 DOHR" </t>
    </r>
    <r>
      <rPr>
        <sz val="11"/>
        <color theme="0"/>
        <rFont val="Times New Roman"/>
        <family val="1"/>
        <charset val="204"/>
      </rPr>
      <t>687292.106 (С)</t>
    </r>
  </si>
  <si>
    <r>
      <t xml:space="preserve"> Счетчик электроэнергии "Меркурий 150 2-02 DOHG7"  </t>
    </r>
    <r>
      <rPr>
        <sz val="11"/>
        <color theme="0"/>
        <rFont val="Times New Roman"/>
        <family val="1"/>
        <charset val="204"/>
      </rPr>
      <t>108-03</t>
    </r>
  </si>
  <si>
    <t>Башкирэнерго</t>
  </si>
  <si>
    <r>
      <t xml:space="preserve">Счетчик электроэнергии "Меркурий 150М 2-08 DOHR.G7" </t>
    </r>
    <r>
      <rPr>
        <sz val="11"/>
        <color theme="0"/>
        <rFont val="Times New Roman"/>
        <family val="1"/>
        <charset val="204"/>
      </rPr>
      <t>108-01</t>
    </r>
  </si>
  <si>
    <t>Красноярскэнергосбыт креп. 3 точки</t>
  </si>
  <si>
    <t>Итого (однофазные)</t>
  </si>
  <si>
    <t>Трехфазные счетчики</t>
  </si>
  <si>
    <t>Счетчик электроэнергии "Меркурий 230 AM-00"</t>
  </si>
  <si>
    <t>Счетчик электроэнергии "Меркурий 230 AM-01"</t>
  </si>
  <si>
    <t>Счетчик электроэнергии "Меркурий 230 AM-02"</t>
  </si>
  <si>
    <t>Счетчик электроэнергии "Меркурий 230 AM-03"</t>
  </si>
  <si>
    <t>Счетчик электроэнергии "Меркурий 230 AR-00 R"</t>
  </si>
  <si>
    <t xml:space="preserve">Счетчик электроэнергии "Меркурий 230 AR-01 R" </t>
  </si>
  <si>
    <t>Счетчик электроэнергии "Меркурий 230 AR-02 R"</t>
  </si>
  <si>
    <t>Счетчик электроэнергии "Меркурий 230 AR-03 R"</t>
  </si>
  <si>
    <t xml:space="preserve">Счетчик электроэнергии "Меркурий 230 ART-00 CN" </t>
  </si>
  <si>
    <t xml:space="preserve">Счетчик электроэнергии "Меркурий 230 ART-02 CN" </t>
  </si>
  <si>
    <t xml:space="preserve">Счетчик электроэнергии"Меркурий 230 ART-03 CN" </t>
  </si>
  <si>
    <t xml:space="preserve">Счетчик электроэнергии "Меркурий 230 ART-00 RN" </t>
  </si>
  <si>
    <t xml:space="preserve">Счетчик электроэнергии "Меркурий 230 ART-01 RN" </t>
  </si>
  <si>
    <t xml:space="preserve">Счетчик электроэнергии "Меркурий 230 ART-02 RN" </t>
  </si>
  <si>
    <t xml:space="preserve">Счетчик электроэнергии"Меркурий 230 ART-03 RN" </t>
  </si>
  <si>
    <t xml:space="preserve">Счетчик электроэнергии "Меркурий 230 ART-01 CLN" </t>
  </si>
  <si>
    <t xml:space="preserve">Счетчик электроэнергии "Меркурий 230 ART-02 CLN" </t>
  </si>
  <si>
    <t xml:space="preserve">Счетчик электроэнергии "Меркурий 230 ART-03 CLN"  </t>
  </si>
  <si>
    <t xml:space="preserve">Счетчик электроэнергии "Меркурий 230 ART-01 PQRSIN" </t>
  </si>
  <si>
    <t xml:space="preserve">Счетчик электроэнергии "Меркурий 230 ART-02 PQRSIN" </t>
  </si>
  <si>
    <t xml:space="preserve">Счетчик электроэнергии "Меркурий 230 ART-03 PQRSIDN" </t>
  </si>
  <si>
    <t xml:space="preserve">Счетчик электроэнергии "Меркурий 230 ART-00 PQRSIDN" </t>
  </si>
  <si>
    <t>Счетчик электроэнергии "Меркурий 231 AM-01"</t>
  </si>
  <si>
    <t xml:space="preserve">Счетчик электроэнергии "Меркурий 231 АТ-01 I" </t>
  </si>
  <si>
    <r>
      <t xml:space="preserve">Счетчик электроэнергии "Меркурий 234 ART2-00 PR" </t>
    </r>
    <r>
      <rPr>
        <sz val="11"/>
        <color theme="0"/>
        <rFont val="Times New Roman"/>
        <family val="1"/>
        <charset val="204"/>
      </rPr>
      <t>045-03</t>
    </r>
  </si>
  <si>
    <r>
      <t xml:space="preserve">Счетчик электроэнергии "Меркурий 234 ART2-00 DPR" </t>
    </r>
    <r>
      <rPr>
        <sz val="11"/>
        <color theme="0"/>
        <rFont val="Times New Roman"/>
        <family val="1"/>
        <charset val="204"/>
      </rPr>
      <t>045-03</t>
    </r>
  </si>
  <si>
    <r>
      <t xml:space="preserve">Счетчик электроэнергии "Меркурий 234 ARTX2-01 PBR" </t>
    </r>
    <r>
      <rPr>
        <sz val="11"/>
        <color theme="0"/>
        <rFont val="Times New Roman"/>
        <family val="1"/>
        <charset val="204"/>
      </rPr>
      <t>098-12</t>
    </r>
  </si>
  <si>
    <r>
      <t xml:space="preserve">Счетчик электроэнергии "Меркурий 234 ARTX2-01 DPBR" </t>
    </r>
    <r>
      <rPr>
        <sz val="11"/>
        <color theme="0"/>
        <rFont val="Times New Roman"/>
        <family val="1"/>
        <charset val="204"/>
      </rPr>
      <t>098-12</t>
    </r>
  </si>
  <si>
    <r>
      <t>Счетчик электроэнергии "Меркурий 234 ARTX2-01 POBR"</t>
    </r>
    <r>
      <rPr>
        <sz val="11"/>
        <color theme="4" tint="0.39997558519241921"/>
        <rFont val="Times New Roman"/>
        <family val="1"/>
        <charset val="204"/>
      </rPr>
      <t xml:space="preserve"> </t>
    </r>
    <r>
      <rPr>
        <sz val="11"/>
        <color theme="0"/>
        <rFont val="Times New Roman"/>
        <family val="1"/>
        <charset val="204"/>
      </rPr>
      <t>098-15</t>
    </r>
  </si>
  <si>
    <r>
      <t xml:space="preserve">Счетчик электроэнергии "Меркурий 234 ARTX2-01 DPOBR" </t>
    </r>
    <r>
      <rPr>
        <sz val="11"/>
        <color theme="0"/>
        <rFont val="Times New Roman"/>
        <family val="1"/>
        <charset val="204"/>
      </rPr>
      <t>098-15</t>
    </r>
  </si>
  <si>
    <r>
      <t xml:space="preserve">Счетчик электроэнергии "Меркурий 234 ARTX2-01 DPOBRF04" </t>
    </r>
    <r>
      <rPr>
        <sz val="11"/>
        <color theme="0"/>
        <rFont val="Times New Roman"/>
        <family val="1"/>
        <charset val="204"/>
      </rPr>
      <t>098-16</t>
    </r>
  </si>
  <si>
    <r>
      <t xml:space="preserve">Счетчик электроэнергии "Меркурий 234 ARTX2-02 PBR" </t>
    </r>
    <r>
      <rPr>
        <sz val="11"/>
        <color theme="0"/>
        <rFont val="Times New Roman"/>
        <family val="1"/>
        <charset val="204"/>
      </rPr>
      <t>098-18</t>
    </r>
  </si>
  <si>
    <r>
      <t xml:space="preserve">Счетчик электроэнергии "Меркурий 234 ARTX2-02 DPBR" </t>
    </r>
    <r>
      <rPr>
        <sz val="11"/>
        <color theme="0"/>
        <rFont val="Times New Roman"/>
        <family val="1"/>
        <charset val="204"/>
      </rPr>
      <t>098-18</t>
    </r>
  </si>
  <si>
    <r>
      <t xml:space="preserve">Счетчик электроэнергии "Меркурий 234 ARTX2-02 DPOBR" </t>
    </r>
    <r>
      <rPr>
        <sz val="11"/>
        <color theme="0"/>
        <rFont val="Times New Roman"/>
        <family val="1"/>
        <charset val="204"/>
      </rPr>
      <t>098-04</t>
    </r>
  </si>
  <si>
    <r>
      <t xml:space="preserve">Счетчик электроэнергии "Меркурий 234 ARTX2-02 DPBRF04" </t>
    </r>
    <r>
      <rPr>
        <sz val="11"/>
        <color theme="0"/>
        <rFont val="Times New Roman"/>
        <family val="1"/>
        <charset val="204"/>
      </rPr>
      <t>098-19</t>
    </r>
  </si>
  <si>
    <r>
      <t xml:space="preserve">Счетчик электроэнергии "Меркурий 234 ARTX2-03 DPBRF04" </t>
    </r>
    <r>
      <rPr>
        <sz val="11"/>
        <color theme="0"/>
        <rFont val="Times New Roman"/>
        <family val="1"/>
        <charset val="204"/>
      </rPr>
      <t>098-08</t>
    </r>
  </si>
  <si>
    <t xml:space="preserve"> с/з 313</t>
  </si>
  <si>
    <t>уменьшение плана по с/з № 313</t>
  </si>
  <si>
    <r>
      <t xml:space="preserve">Счетчик электроэнергии "Меркурий 234 ARTX2-03 PBR" </t>
    </r>
    <r>
      <rPr>
        <sz val="11"/>
        <color theme="0"/>
        <rFont val="Times New Roman"/>
        <family val="1"/>
        <charset val="204"/>
      </rPr>
      <t xml:space="preserve">098-07 </t>
    </r>
  </si>
  <si>
    <r>
      <t xml:space="preserve">Счетчик электроэнергии "Меркурий 234 ARTX2-03 DPBR" </t>
    </r>
    <r>
      <rPr>
        <sz val="11"/>
        <color theme="0"/>
        <rFont val="Times New Roman"/>
        <family val="1"/>
        <charset val="204"/>
      </rPr>
      <t>098-07</t>
    </r>
  </si>
  <si>
    <r>
      <t>Счетчик электроэнергии "Меркурий 234 ART2-04 PR"</t>
    </r>
    <r>
      <rPr>
        <sz val="11"/>
        <color theme="0"/>
        <rFont val="Times New Roman"/>
        <family val="1"/>
        <charset val="204"/>
      </rPr>
      <t xml:space="preserve"> 045-03</t>
    </r>
  </si>
  <si>
    <t xml:space="preserve"> с/з 313 "ULTRA 2007" Грузия</t>
  </si>
  <si>
    <r>
      <t xml:space="preserve">Счетчик электроэнергии "Меркурий 234 ART2-04 PR" </t>
    </r>
    <r>
      <rPr>
        <sz val="11"/>
        <color theme="0"/>
        <rFont val="Times New Roman"/>
        <family val="1"/>
        <charset val="204"/>
      </rPr>
      <t>045-03</t>
    </r>
  </si>
  <si>
    <t>Казахстан</t>
  </si>
  <si>
    <r>
      <t xml:space="preserve">Счетчик электроэнергии "Меркурий 234 ARTM2-00 PBR.F04" </t>
    </r>
    <r>
      <rPr>
        <sz val="11"/>
        <color theme="0"/>
        <rFont val="Times New Roman"/>
        <family val="1"/>
        <charset val="204"/>
      </rPr>
      <t>045-06</t>
    </r>
  </si>
  <si>
    <r>
      <t>Счетчик электроэнергии "Меркурий 234 ARTM2-00 PBR.R кл.т. 0,2 "</t>
    </r>
    <r>
      <rPr>
        <sz val="11"/>
        <color theme="0"/>
        <rFont val="Times New Roman"/>
        <family val="1"/>
        <charset val="204"/>
      </rPr>
      <t xml:space="preserve"> 045-06</t>
    </r>
  </si>
  <si>
    <r>
      <t xml:space="preserve">Счетчик электроэнергии "Меркурий 234 ARTM2-00 PBR.R" </t>
    </r>
    <r>
      <rPr>
        <sz val="11"/>
        <color theme="0"/>
        <rFont val="Times New Roman"/>
        <family val="1"/>
        <charset val="204"/>
      </rPr>
      <t>045-06</t>
    </r>
  </si>
  <si>
    <r>
      <t xml:space="preserve">Счетчик электроэнергии "Меркурий 234 ARTM2-00 DPBR.R" </t>
    </r>
    <r>
      <rPr>
        <sz val="11"/>
        <color theme="0"/>
        <rFont val="Times New Roman"/>
        <family val="1"/>
        <charset val="204"/>
      </rPr>
      <t>045-06</t>
    </r>
  </si>
  <si>
    <r>
      <t xml:space="preserve">Счетчик электроэнергии "Меркурий 234 ARTM2-00 DPBR.R кл.т. 0,2 " </t>
    </r>
    <r>
      <rPr>
        <sz val="11"/>
        <color theme="0"/>
        <rFont val="Times New Roman"/>
        <family val="1"/>
        <charset val="204"/>
      </rPr>
      <t>045-06</t>
    </r>
  </si>
  <si>
    <r>
      <t>Счетчик электроэнергии "Меркурий 234 ARTM2-00 PBR.G"</t>
    </r>
    <r>
      <rPr>
        <sz val="11"/>
        <color theme="0"/>
        <rFont val="Times New Roman"/>
        <family val="1"/>
        <charset val="204"/>
      </rPr>
      <t xml:space="preserve"> 045-06</t>
    </r>
  </si>
  <si>
    <r>
      <t xml:space="preserve">Счетчик электроэнергии "Меркурий 234 ARTM2-00 DPBR.G" </t>
    </r>
    <r>
      <rPr>
        <sz val="11"/>
        <color theme="0"/>
        <rFont val="Times New Roman"/>
        <family val="1"/>
        <charset val="204"/>
      </rPr>
      <t>045-06</t>
    </r>
  </si>
  <si>
    <r>
      <t xml:space="preserve">Счетчик электроэнергии "Меркурий 234 ARTM2-00 DPBR.G1" </t>
    </r>
    <r>
      <rPr>
        <sz val="11"/>
        <color theme="0"/>
        <rFont val="Times New Roman"/>
        <family val="1"/>
        <charset val="204"/>
      </rPr>
      <t>045-19</t>
    </r>
  </si>
  <si>
    <r>
      <t xml:space="preserve">Счетчик электроэнергии "Меркурий 234 ARTM2-00 DPBR.G5" </t>
    </r>
    <r>
      <rPr>
        <sz val="11"/>
        <color theme="0"/>
        <rFont val="Times New Roman"/>
        <family val="1"/>
        <charset val="204"/>
      </rPr>
      <t>045-19</t>
    </r>
  </si>
  <si>
    <r>
      <t xml:space="preserve">Счетчик электроэнергии "Меркурий 234 ARTMX2-01 POBR.L2" </t>
    </r>
    <r>
      <rPr>
        <sz val="11"/>
        <color theme="0"/>
        <rFont val="Times New Roman"/>
        <family val="1"/>
        <charset val="204"/>
      </rPr>
      <t>098-01</t>
    </r>
  </si>
  <si>
    <r>
      <t xml:space="preserve">Счетчик электроэнергии "Меркурий 234 ARTMX2-01 DPBR.R" </t>
    </r>
    <r>
      <rPr>
        <sz val="11"/>
        <color theme="0"/>
        <rFont val="Times New Roman"/>
        <family val="1"/>
        <charset val="204"/>
      </rPr>
      <t>098-10</t>
    </r>
  </si>
  <si>
    <r>
      <t xml:space="preserve">Счетчик электроэнергии "Меркурий 234 ARTMX2-01 POBR.R" </t>
    </r>
    <r>
      <rPr>
        <sz val="11"/>
        <color theme="4" tint="0.39997558519241921"/>
        <rFont val="Times New Roman"/>
        <family val="1"/>
        <charset val="204"/>
      </rPr>
      <t>098-01</t>
    </r>
  </si>
  <si>
    <r>
      <t xml:space="preserve">Счетчик электроэнергии "Меркурий 234 ARTMX2-01 DPOBR.R" </t>
    </r>
    <r>
      <rPr>
        <sz val="11"/>
        <color theme="0"/>
        <rFont val="Times New Roman"/>
        <family val="1"/>
        <charset val="204"/>
      </rPr>
      <t>098-01</t>
    </r>
  </si>
  <si>
    <r>
      <t xml:space="preserve">Счетчик электроэнергии "Меркурий 234 ARTMX2-01 PBR.G" </t>
    </r>
    <r>
      <rPr>
        <sz val="11"/>
        <color theme="0"/>
        <rFont val="Times New Roman"/>
        <family val="1"/>
        <charset val="204"/>
      </rPr>
      <t>098-10</t>
    </r>
  </si>
  <si>
    <r>
      <t xml:space="preserve">Счетчик электроэнергии "Меркурий 234 ARTMX2-01 DPBR.G" </t>
    </r>
    <r>
      <rPr>
        <sz val="11"/>
        <color theme="0"/>
        <rFont val="Times New Roman"/>
        <family val="1"/>
        <charset val="204"/>
      </rPr>
      <t>098-10</t>
    </r>
  </si>
  <si>
    <r>
      <t xml:space="preserve">Счетчик электроэнергии "Меркурий 234 ARTMX2-01 PBR.G1" </t>
    </r>
    <r>
      <rPr>
        <sz val="11"/>
        <color theme="0"/>
        <rFont val="Times New Roman"/>
        <family val="1"/>
        <charset val="204"/>
      </rPr>
      <t>098-10</t>
    </r>
  </si>
  <si>
    <r>
      <t>Счетчик электроэнергии "Меркурий 234 ARTMX2-01 DPBR.G5"</t>
    </r>
    <r>
      <rPr>
        <sz val="11"/>
        <color theme="0"/>
        <rFont val="Times New Roman"/>
        <family val="1"/>
        <charset val="204"/>
      </rPr>
      <t xml:space="preserve"> 098-10</t>
    </r>
  </si>
  <si>
    <t>УПТК-Эталон</t>
  </si>
  <si>
    <r>
      <t xml:space="preserve">Счетчик электроэнергии "Меркурий 234 ARTMX2-01 DPBR.G7" </t>
    </r>
    <r>
      <rPr>
        <sz val="11"/>
        <color theme="0"/>
        <rFont val="Times New Roman"/>
        <family val="1"/>
        <charset val="204"/>
      </rPr>
      <t>098-10</t>
    </r>
  </si>
  <si>
    <r>
      <t xml:space="preserve">Счетчик электроэнергии "Меркурий 234 ARTMX2-01 POBR.G" </t>
    </r>
    <r>
      <rPr>
        <sz val="11"/>
        <color theme="0"/>
        <rFont val="Times New Roman"/>
        <family val="1"/>
        <charset val="204"/>
      </rPr>
      <t>098-01</t>
    </r>
  </si>
  <si>
    <r>
      <t xml:space="preserve">Счетчик электроэнергии "Меркурий 234 ARTMX2-01 DPOBR.G" </t>
    </r>
    <r>
      <rPr>
        <sz val="11"/>
        <color theme="0"/>
        <rFont val="Times New Roman"/>
        <family val="1"/>
        <charset val="204"/>
      </rPr>
      <t>098-01</t>
    </r>
  </si>
  <si>
    <r>
      <t xml:space="preserve">Счетчик электроэнергии "Меркурий 234 ARTMX2-01 DPBR.F04" </t>
    </r>
    <r>
      <rPr>
        <sz val="11"/>
        <color theme="0"/>
        <rFont val="Times New Roman"/>
        <family val="1"/>
        <charset val="204"/>
      </rPr>
      <t>098-10</t>
    </r>
  </si>
  <si>
    <r>
      <t xml:space="preserve">Счетчик электроэнергии "Меркурий 234 ARTMX2-01 DPOBR.G1" </t>
    </r>
    <r>
      <rPr>
        <sz val="11"/>
        <color theme="0"/>
        <rFont val="Times New Roman"/>
        <family val="1"/>
        <charset val="204"/>
      </rPr>
      <t>098-01</t>
    </r>
  </si>
  <si>
    <r>
      <t xml:space="preserve">Счетчик электроэнергии "Меркурий 234 ARTMX2-01 DPOBR.G5" </t>
    </r>
    <r>
      <rPr>
        <sz val="11"/>
        <color theme="0"/>
        <rFont val="Times New Roman"/>
        <family val="1"/>
        <charset val="204"/>
      </rPr>
      <t>098-01</t>
    </r>
  </si>
  <si>
    <r>
      <t xml:space="preserve">Счетчик электроэнергии "Меркурий 234 ARTMX2-02 PBR.G" </t>
    </r>
    <r>
      <rPr>
        <sz val="11"/>
        <color theme="0"/>
        <rFont val="Times New Roman"/>
        <family val="1"/>
        <charset val="204"/>
      </rPr>
      <t>098-11</t>
    </r>
  </si>
  <si>
    <r>
      <t xml:space="preserve">Счетчик электроэнергии "Меркурий 234 ARTMX2-02 DPBR.G" </t>
    </r>
    <r>
      <rPr>
        <sz val="11"/>
        <color theme="0"/>
        <rFont val="Times New Roman"/>
        <family val="1"/>
        <charset val="204"/>
      </rPr>
      <t>098-11</t>
    </r>
  </si>
  <si>
    <r>
      <t>Счетчик электроэнергии "Меркурий 234 ARTMX2-02 DPBR.G5"</t>
    </r>
    <r>
      <rPr>
        <sz val="11"/>
        <color theme="0"/>
        <rFont val="Times New Roman"/>
        <family val="1"/>
        <charset val="204"/>
      </rPr>
      <t xml:space="preserve"> 098-11</t>
    </r>
  </si>
  <si>
    <r>
      <t xml:space="preserve">Счетчик электроэнергии "Меркурий 234 ARTMX2-02 POBR.G" </t>
    </r>
    <r>
      <rPr>
        <sz val="11"/>
        <color theme="0"/>
        <rFont val="Times New Roman"/>
        <family val="1"/>
        <charset val="204"/>
      </rPr>
      <t>098-02</t>
    </r>
  </si>
  <si>
    <r>
      <t xml:space="preserve">Счетчик электроэнергии "Меркурий 234 ARTMX2-02 DPOBR.G" </t>
    </r>
    <r>
      <rPr>
        <sz val="11"/>
        <color theme="0"/>
        <rFont val="Times New Roman"/>
        <family val="1"/>
        <charset val="204"/>
      </rPr>
      <t>098-02</t>
    </r>
  </si>
  <si>
    <r>
      <t xml:space="preserve">Счетчик электроэнергии "Меркурий 234 ARTMX2-02 DPOBR.G1" </t>
    </r>
    <r>
      <rPr>
        <sz val="11"/>
        <color theme="0"/>
        <rFont val="Times New Roman"/>
        <family val="1"/>
        <charset val="204"/>
      </rPr>
      <t>098-02</t>
    </r>
  </si>
  <si>
    <r>
      <t xml:space="preserve">Счетчик электроэнергии "Меркурий 234 ARTMX2-02 DPOBR.G7" </t>
    </r>
    <r>
      <rPr>
        <sz val="11"/>
        <color theme="0"/>
        <rFont val="Times New Roman"/>
        <family val="1"/>
        <charset val="204"/>
      </rPr>
      <t>098-02</t>
    </r>
  </si>
  <si>
    <r>
      <t xml:space="preserve">Счетчик электроэнергии "Меркурий 234 ARTMX2-02 PBR.R" </t>
    </r>
    <r>
      <rPr>
        <sz val="11"/>
        <color theme="0"/>
        <rFont val="Times New Roman"/>
        <family val="1"/>
        <charset val="204"/>
      </rPr>
      <t>098-11</t>
    </r>
  </si>
  <si>
    <r>
      <t xml:space="preserve">Счетчик электроэнергии "Меркурий 234 ARTMX2-02 DPBR.R" </t>
    </r>
    <r>
      <rPr>
        <sz val="11"/>
        <color theme="0"/>
        <rFont val="Times New Roman"/>
        <family val="1"/>
        <charset val="204"/>
      </rPr>
      <t>098-11</t>
    </r>
  </si>
  <si>
    <r>
      <t>Счетчик электроэнергии "Меркурий 234 ARTMX2-02 DPOBR.R"</t>
    </r>
    <r>
      <rPr>
        <sz val="11"/>
        <color theme="0"/>
        <rFont val="Times New Roman"/>
        <family val="1"/>
        <charset val="204"/>
      </rPr>
      <t xml:space="preserve"> 098-02</t>
    </r>
  </si>
  <si>
    <t>с/з № 325-201шт.(ОП), С/з №339-46шт. (Маркс)</t>
  </si>
  <si>
    <r>
      <t xml:space="preserve">Счетчик электроэнергии "Меркурий 234 ARTMX2-02 PBR.L2" </t>
    </r>
    <r>
      <rPr>
        <sz val="11"/>
        <color theme="0"/>
        <rFont val="Times New Roman"/>
        <family val="1"/>
        <charset val="204"/>
      </rPr>
      <t>098-11</t>
    </r>
  </si>
  <si>
    <r>
      <t xml:space="preserve">Счетчик электроэнергии "Меркурий 234 ARTMX2-02 DPBR.L2" </t>
    </r>
    <r>
      <rPr>
        <sz val="11"/>
        <color theme="0"/>
        <rFont val="Times New Roman"/>
        <family val="1"/>
        <charset val="204"/>
      </rPr>
      <t>098-11</t>
    </r>
  </si>
  <si>
    <r>
      <t xml:space="preserve">Счетчик электроэнергии "Меркурий 234 ARTMX2-02 POBR.L2" </t>
    </r>
    <r>
      <rPr>
        <sz val="11"/>
        <color theme="0"/>
        <rFont val="Times New Roman"/>
        <family val="1"/>
        <charset val="204"/>
      </rPr>
      <t>098-02</t>
    </r>
  </si>
  <si>
    <r>
      <t xml:space="preserve">Счетчик электроэнергии "Меркурий 234 ARTMX2-02 POBR.F04" </t>
    </r>
    <r>
      <rPr>
        <sz val="11"/>
        <color theme="0"/>
        <rFont val="Times New Roman"/>
        <family val="1"/>
        <charset val="204"/>
      </rPr>
      <t>098-02</t>
    </r>
  </si>
  <si>
    <r>
      <t xml:space="preserve">Счетчик электроэнергии "Меркурий 234 ARTMX2-02 DPOBR.F04" </t>
    </r>
    <r>
      <rPr>
        <sz val="11"/>
        <color theme="0"/>
        <rFont val="Times New Roman"/>
        <family val="1"/>
        <charset val="204"/>
      </rPr>
      <t>098-02</t>
    </r>
  </si>
  <si>
    <t>сентябрь</t>
  </si>
  <si>
    <r>
      <t xml:space="preserve">Счетчик электроэнергии "Меркурий 234 ARTMX2-03 PBR.G" </t>
    </r>
    <r>
      <rPr>
        <sz val="11"/>
        <color theme="0"/>
        <rFont val="Times New Roman"/>
        <family val="1"/>
        <charset val="204"/>
      </rPr>
      <t>098-03</t>
    </r>
  </si>
  <si>
    <r>
      <t>Счетчик электроэнергии "Меркурий 234 ARTMX2-03 DPBR.G"</t>
    </r>
    <r>
      <rPr>
        <sz val="11"/>
        <color theme="0"/>
        <rFont val="Times New Roman"/>
        <family val="1"/>
        <charset val="204"/>
      </rPr>
      <t xml:space="preserve"> 098-03</t>
    </r>
  </si>
  <si>
    <r>
      <t xml:space="preserve">Счетчик электроэнергии "Меркурий 234 ARTMX2-03 PBR.G1" </t>
    </r>
    <r>
      <rPr>
        <sz val="11"/>
        <color theme="0"/>
        <rFont val="Times New Roman"/>
        <family val="1"/>
        <charset val="204"/>
      </rPr>
      <t>098-03</t>
    </r>
  </si>
  <si>
    <r>
      <t>Счетчик электроэнергии "Меркурий 234 ARTMX2-03 DPBR.G1"</t>
    </r>
    <r>
      <rPr>
        <sz val="11"/>
        <color theme="0"/>
        <rFont val="Times New Roman"/>
        <family val="1"/>
        <charset val="204"/>
      </rPr>
      <t xml:space="preserve"> 098-03</t>
    </r>
  </si>
  <si>
    <r>
      <t>Счетчик электроэнергии "Меркурий 234 ARTMX2-03 DPBR.G5"</t>
    </r>
    <r>
      <rPr>
        <sz val="11"/>
        <color theme="0"/>
        <rFont val="Times New Roman"/>
        <family val="1"/>
        <charset val="204"/>
      </rPr>
      <t xml:space="preserve"> 098-03</t>
    </r>
  </si>
  <si>
    <r>
      <t>Счетчик электроэнергии "Меркурий 234 ARTMX2-03 DPBR.G7"</t>
    </r>
    <r>
      <rPr>
        <sz val="11"/>
        <color theme="0"/>
        <rFont val="Times New Roman"/>
        <family val="1"/>
        <charset val="204"/>
      </rPr>
      <t xml:space="preserve"> 098-03</t>
    </r>
  </si>
  <si>
    <r>
      <t>Счетчик электроэнергии "Меркурий 234 ARTM2-03 PBR.R кл.т. 0,2"</t>
    </r>
    <r>
      <rPr>
        <sz val="11"/>
        <color theme="0"/>
        <rFont val="Times New Roman"/>
        <family val="1"/>
        <charset val="204"/>
      </rPr>
      <t xml:space="preserve"> 45-17</t>
    </r>
  </si>
  <si>
    <r>
      <t xml:space="preserve">Счетчик электроэнергии "Меркурий 234 ARTMX2-03 DPBR.R" </t>
    </r>
    <r>
      <rPr>
        <sz val="11"/>
        <color theme="0"/>
        <rFont val="Times New Roman"/>
        <family val="1"/>
        <charset val="204"/>
      </rPr>
      <t>098-03</t>
    </r>
  </si>
  <si>
    <t>с/з № 325-153шт., с/з №339-14шт.</t>
  </si>
  <si>
    <r>
      <t>Счетчик электроэнергии "Меркурий 234 ARTMX2-03 PBR.F04"</t>
    </r>
    <r>
      <rPr>
        <sz val="11"/>
        <color theme="0"/>
        <rFont val="Times New Roman"/>
        <family val="1"/>
        <charset val="204"/>
      </rPr>
      <t xml:space="preserve"> 098-03</t>
    </r>
  </si>
  <si>
    <r>
      <t xml:space="preserve">Счетчик электроэнергии "Меркурий 234 ARTMX2-03 DPBR.F04" </t>
    </r>
    <r>
      <rPr>
        <sz val="11"/>
        <color theme="0"/>
        <rFont val="Times New Roman"/>
        <family val="1"/>
        <charset val="204"/>
      </rPr>
      <t>098-03</t>
    </r>
  </si>
  <si>
    <r>
      <t>Счетчик электроэнергии "Меркурий 234 ARTM2-03 DPBR.F04 кл.т. 0,2"</t>
    </r>
    <r>
      <rPr>
        <sz val="11"/>
        <color theme="0"/>
        <rFont val="Times New Roman"/>
        <family val="1"/>
        <charset val="204"/>
      </rPr>
      <t xml:space="preserve"> 45-17</t>
    </r>
  </si>
  <si>
    <r>
      <t>Счетчик электроэнергии "Меркурий 234 ARTMX2-03 PBR.L2"</t>
    </r>
    <r>
      <rPr>
        <sz val="11"/>
        <color theme="0"/>
        <rFont val="Times New Roman"/>
        <family val="1"/>
        <charset val="204"/>
      </rPr>
      <t xml:space="preserve"> 098-03</t>
    </r>
  </si>
  <si>
    <r>
      <t xml:space="preserve">Счетчик электроэнергии "Меркурий 234 ARTMX2-03 DPBR.L2" </t>
    </r>
    <r>
      <rPr>
        <sz val="11"/>
        <color theme="0"/>
        <rFont val="Times New Roman"/>
        <family val="1"/>
        <charset val="204"/>
      </rPr>
      <t>098-03</t>
    </r>
  </si>
  <si>
    <r>
      <t xml:space="preserve">Счетчик электроэнергии "Меркурий 234 ARTM2-00 DPK2BR.RRE кл.т. 0,2" </t>
    </r>
    <r>
      <rPr>
        <sz val="11"/>
        <color theme="0"/>
        <rFont val="Times New Roman"/>
        <family val="1"/>
        <charset val="204"/>
      </rPr>
      <t>45-06</t>
    </r>
  </si>
  <si>
    <r>
      <t xml:space="preserve">Счетчик электроэнергии "Меркурий 234 ARTM2-00 DPK1BR.RRG4E кл.т. 0,2" </t>
    </r>
    <r>
      <rPr>
        <sz val="11"/>
        <color theme="0"/>
        <rFont val="Times New Roman"/>
        <family val="1"/>
        <charset val="204"/>
      </rPr>
      <t>45-06</t>
    </r>
  </si>
  <si>
    <r>
      <t xml:space="preserve">Счетчик электроэнергии "Меркурий 234 ARTM2-03 DPK1BR.RRG4E кл.т. 0,2" </t>
    </r>
    <r>
      <rPr>
        <sz val="11"/>
        <color theme="0"/>
        <rFont val="Times New Roman"/>
        <family val="1"/>
        <charset val="204"/>
      </rPr>
      <t>45-17</t>
    </r>
  </si>
  <si>
    <r>
      <t xml:space="preserve">Счетчик электроэнергии "Меркурий 234 ARTM2-03 DPK2BR.RRE кл.т. 0,2" </t>
    </r>
    <r>
      <rPr>
        <sz val="11"/>
        <color theme="0"/>
        <rFont val="Times New Roman"/>
        <family val="1"/>
        <charset val="204"/>
      </rPr>
      <t>45-17</t>
    </r>
  </si>
  <si>
    <t xml:space="preserve">Счетчик электроэнергии "Меркурий 236 ART-01 PQRS" </t>
  </si>
  <si>
    <t xml:space="preserve">Счетчик электроэнергии "Меркурий 236 ART-02 PQRS" </t>
  </si>
  <si>
    <t xml:space="preserve">Счетчик электроэнергии "Меркурий 236 ART-03 PQRS" </t>
  </si>
  <si>
    <r>
      <t xml:space="preserve">Счетчик электроэнергии "Меркурий 238 ART2-02 DPOF04" </t>
    </r>
    <r>
      <rPr>
        <sz val="11"/>
        <color theme="0"/>
        <rFont val="Times New Roman"/>
        <family val="1"/>
        <charset val="204"/>
      </rPr>
      <t>603-635 (С)</t>
    </r>
  </si>
  <si>
    <r>
      <t xml:space="preserve">Счетчик электроэнергии "Меркурий 238 ARTX2-02 DPOWF04" </t>
    </r>
    <r>
      <rPr>
        <sz val="11"/>
        <color theme="0"/>
        <rFont val="Times New Roman"/>
        <family val="1"/>
        <charset val="204"/>
      </rPr>
      <t>603-635 (С)</t>
    </r>
  </si>
  <si>
    <r>
      <t xml:space="preserve">Счетчик электроэнергии "Меркурий 238 ARTX2-02 DPOWG7F04" </t>
    </r>
    <r>
      <rPr>
        <sz val="11"/>
        <color theme="0"/>
        <rFont val="Times New Roman"/>
        <family val="1"/>
        <charset val="204"/>
      </rPr>
      <t>603.748-05 (С)</t>
    </r>
  </si>
  <si>
    <t>Итого (трехфазные)</t>
  </si>
  <si>
    <t>Всего по электросчетчикам ООО НПФ Моссар</t>
  </si>
  <si>
    <t>Сетевое оборудование</t>
  </si>
  <si>
    <t>Адаптер "Меркурий 255"</t>
  </si>
  <si>
    <t>GSM-шлюз "Меркурий 228" новая упаковка</t>
  </si>
  <si>
    <t>Концентратор Меркурий 225.21</t>
  </si>
  <si>
    <t xml:space="preserve">УСПД "Меркурий 250 GRL.12" </t>
  </si>
  <si>
    <t>Итого (сетевое оборудование)</t>
  </si>
  <si>
    <t>Муляжи</t>
  </si>
  <si>
    <t>Итого (муляжи)</t>
  </si>
  <si>
    <t>Переделка, перепрошивка</t>
  </si>
  <si>
    <t xml:space="preserve">Счетчик электроэнергии "Меркурий 234 ARTMX2-02 DPOBR.G7" </t>
  </si>
  <si>
    <t>с/з № 313</t>
  </si>
  <si>
    <t xml:space="preserve">Счетчик электроэнергии «Меркурий 230 АМ-02» </t>
  </si>
  <si>
    <t>с/з № 270</t>
  </si>
  <si>
    <t>Счетчик электроэнергии «Меркурий 230 АRT-01 RN»</t>
  </si>
  <si>
    <t xml:space="preserve"> с/з № 270</t>
  </si>
  <si>
    <t xml:space="preserve">Счетчик электроэнергии «Меркурий 230 ARТ-01 СN» </t>
  </si>
  <si>
    <r>
      <t xml:space="preserve">Счетчик электроэнергии «Меркурий 230 ARТ-02 PQRSIN» </t>
    </r>
    <r>
      <rPr>
        <sz val="11"/>
        <color theme="0"/>
        <rFont val="Times New Roman"/>
        <family val="1"/>
        <charset val="204"/>
      </rPr>
      <t>(АВЛГ 660.00.00-39)</t>
    </r>
  </si>
  <si>
    <t xml:space="preserve">Счетчик электроэнергии «Меркурий 230 ARТ-03 PQRSIDN» </t>
  </si>
  <si>
    <t>Счетчик электроэнергии «Меркурий 238 ARTX2-02 DPOWG7F04» (Дороботка )</t>
  </si>
  <si>
    <t>Счетчик электроэнергии  «Меркурий 238 ARTX2-02 DPOWG7F04»</t>
  </si>
  <si>
    <t>(Передел по письму Короткова Д.А. ) октябрь</t>
  </si>
  <si>
    <t>Счетчик электроэнергии "Меркурий 150М 2-02 DOHR.G7"</t>
  </si>
  <si>
    <t>Счетчик электроэнергии "Меркурий 150 2-02 DOHR"</t>
  </si>
  <si>
    <t>"Ватт-Электросбыт"</t>
  </si>
  <si>
    <t>Счетчик электроэнергии "Меркурий 150М 2-08 DOHR.G7"</t>
  </si>
  <si>
    <t xml:space="preserve">Красноярскэнергосбыт </t>
  </si>
  <si>
    <t>Итого (перепрошивка)</t>
  </si>
  <si>
    <t xml:space="preserve">ВСЕГО </t>
  </si>
</sst>
</file>

<file path=xl/styles.xml><?xml version="1.0" encoding="utf-8"?>
<styleSheet xmlns="http://schemas.openxmlformats.org/spreadsheetml/2006/main">
  <numFmts count="3">
    <numFmt numFmtId="164" formatCode="#,##0;[Red]#,##0"/>
    <numFmt numFmtId="165" formatCode="#,##0.00;[Red]#,##0.00"/>
    <numFmt numFmtId="166" formatCode="#,##0_ ;[Red]\-#,##0\ "/>
  </numFmts>
  <fonts count="60">
    <font>
      <sz val="11"/>
      <color indexed="8"/>
      <name val="Calibri"/>
      <family val="2"/>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indexed="8"/>
      <name val="Calibri"/>
      <family val="2"/>
      <charset val="204"/>
    </font>
    <font>
      <sz val="11"/>
      <color indexed="8"/>
      <name val="Times New Roman"/>
      <family val="1"/>
      <charset val="204"/>
    </font>
    <font>
      <b/>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10"/>
      <name val="Arial"/>
      <family val="2"/>
      <charset val="204"/>
    </font>
    <font>
      <sz val="10"/>
      <color indexed="8"/>
      <name val="Times New Roman"/>
      <family val="1"/>
      <charset val="204"/>
    </font>
    <font>
      <b/>
      <sz val="11"/>
      <color indexed="8"/>
      <name val="Times New Roman"/>
      <family val="1"/>
      <charset val="204"/>
    </font>
    <font>
      <b/>
      <sz val="10"/>
      <color indexed="8"/>
      <name val="Times New Roman"/>
      <family val="1"/>
      <charset val="204"/>
    </font>
    <font>
      <sz val="10"/>
      <color indexed="8"/>
      <name val="Calibri"/>
      <family val="2"/>
      <charset val="204"/>
    </font>
    <font>
      <b/>
      <sz val="10"/>
      <color indexed="10"/>
      <name val="Times New Roman"/>
      <family val="1"/>
      <charset val="204"/>
    </font>
    <font>
      <sz val="12"/>
      <color indexed="8"/>
      <name val="Times New Roman"/>
      <family val="1"/>
      <charset val="204"/>
    </font>
    <font>
      <b/>
      <sz val="12"/>
      <color indexed="8"/>
      <name val="Times New Roman"/>
      <family val="1"/>
      <charset val="204"/>
    </font>
    <font>
      <sz val="12"/>
      <color indexed="8"/>
      <name val="Calibri"/>
      <family val="2"/>
      <charset val="204"/>
    </font>
    <font>
      <sz val="12"/>
      <color rgb="FFFF0000"/>
      <name val="Times New Roman"/>
      <family val="1"/>
      <charset val="204"/>
    </font>
    <font>
      <b/>
      <sz val="12"/>
      <color indexed="10"/>
      <name val="Times New Roman"/>
      <family val="1"/>
      <charset val="204"/>
    </font>
    <font>
      <sz val="12"/>
      <color indexed="10"/>
      <name val="Times New Roman"/>
      <family val="1"/>
      <charset val="204"/>
    </font>
    <font>
      <b/>
      <sz val="11"/>
      <name val="Times New Roman"/>
      <family val="1"/>
      <charset val="204"/>
    </font>
    <font>
      <b/>
      <sz val="11"/>
      <color indexed="30"/>
      <name val="Times New Roman"/>
      <family val="1"/>
      <charset val="204"/>
    </font>
    <font>
      <b/>
      <i/>
      <sz val="14"/>
      <color indexed="8"/>
      <name val="Times New Roman"/>
      <family val="1"/>
      <charset val="204"/>
    </font>
    <font>
      <sz val="10"/>
      <color indexed="30"/>
      <name val="Times New Roman"/>
      <family val="1"/>
      <charset val="204"/>
    </font>
    <font>
      <sz val="10"/>
      <name val="Times New Roman"/>
      <family val="1"/>
      <charset val="204"/>
    </font>
    <font>
      <sz val="11"/>
      <name val="Times New Roman"/>
      <family val="1"/>
      <charset val="204"/>
    </font>
    <font>
      <sz val="11"/>
      <color rgb="FF0070C0"/>
      <name val="Times New Roman"/>
      <family val="1"/>
      <charset val="204"/>
    </font>
    <font>
      <sz val="11"/>
      <color rgb="FFFF0000"/>
      <name val="Times New Roman"/>
      <family val="1"/>
      <charset val="204"/>
    </font>
    <font>
      <sz val="11"/>
      <color indexed="30"/>
      <name val="Times New Roman"/>
      <family val="1"/>
      <charset val="204"/>
    </font>
    <font>
      <b/>
      <sz val="11"/>
      <color rgb="FFFF0000"/>
      <name val="Times New Roman"/>
      <family val="1"/>
      <charset val="204"/>
    </font>
    <font>
      <sz val="10"/>
      <color rgb="FFFF0000"/>
      <name val="Times New Roman"/>
      <family val="1"/>
      <charset val="204"/>
    </font>
    <font>
      <sz val="10"/>
      <color indexed="29"/>
      <name val="Times New Roman"/>
      <family val="1"/>
      <charset val="204"/>
    </font>
    <font>
      <b/>
      <sz val="14"/>
      <color indexed="8"/>
      <name val="Times New Roman"/>
      <family val="1"/>
      <charset val="204"/>
    </font>
    <font>
      <b/>
      <sz val="11"/>
      <color indexed="10"/>
      <name val="Times New Roman"/>
      <family val="1"/>
      <charset val="204"/>
    </font>
    <font>
      <b/>
      <sz val="11"/>
      <color rgb="FFFF0000"/>
      <name val="Calibri"/>
      <family val="2"/>
      <charset val="204"/>
    </font>
    <font>
      <b/>
      <i/>
      <sz val="16"/>
      <color indexed="8"/>
      <name val="Times New Roman"/>
      <family val="1"/>
      <charset val="204"/>
    </font>
    <font>
      <b/>
      <i/>
      <sz val="12"/>
      <color indexed="8"/>
      <name val="Times New Roman"/>
      <family val="1"/>
      <charset val="204"/>
    </font>
    <font>
      <b/>
      <i/>
      <sz val="11"/>
      <color indexed="8"/>
      <name val="Times New Roman"/>
      <family val="1"/>
      <charset val="204"/>
    </font>
    <font>
      <b/>
      <i/>
      <sz val="11"/>
      <name val="Times New Roman"/>
      <family val="1"/>
      <charset val="204"/>
    </font>
    <font>
      <sz val="11"/>
      <color theme="0"/>
      <name val="Times New Roman"/>
      <family val="1"/>
      <charset val="204"/>
    </font>
    <font>
      <b/>
      <sz val="11"/>
      <color rgb="FF0070C0"/>
      <name val="Times New Roman"/>
      <family val="1"/>
      <charset val="204"/>
    </font>
    <font>
      <sz val="11"/>
      <color theme="4" tint="0.39997558519241921"/>
      <name val="Times New Roman"/>
      <family val="1"/>
      <charset val="204"/>
    </font>
    <font>
      <sz val="11"/>
      <color theme="1"/>
      <name val="Times New Roman"/>
      <family val="1"/>
      <charset val="204"/>
    </font>
    <font>
      <b/>
      <i/>
      <sz val="14"/>
      <name val="Times New Roman"/>
      <family val="1"/>
      <charset val="204"/>
    </font>
  </fonts>
  <fills count="33">
    <fill>
      <patternFill patternType="none"/>
    </fill>
    <fill>
      <patternFill patternType="gray125"/>
    </fill>
    <fill>
      <patternFill patternType="solid">
        <fgColor indexed="45"/>
        <bgColor indexed="29"/>
      </patternFill>
    </fill>
    <fill>
      <patternFill patternType="solid">
        <fgColor indexed="31"/>
        <bgColor indexed="22"/>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4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indexed="9"/>
        <bgColor indexed="64"/>
      </patternFill>
    </fill>
    <fill>
      <patternFill patternType="solid">
        <fgColor indexed="9"/>
        <bgColor indexed="26"/>
      </patternFill>
    </fill>
    <fill>
      <patternFill patternType="solid">
        <fgColor indexed="50"/>
        <bgColor indexed="51"/>
      </patternFill>
    </fill>
    <fill>
      <patternFill patternType="solid">
        <fgColor rgb="FFFFFF00"/>
        <bgColor indexed="64"/>
      </patternFill>
    </fill>
    <fill>
      <patternFill patternType="solid">
        <fgColor theme="0"/>
        <bgColor indexed="26"/>
      </patternFill>
    </fill>
    <fill>
      <patternFill patternType="solid">
        <fgColor theme="4" tint="0.79998168889431442"/>
        <bgColor indexed="64"/>
      </patternFill>
    </fill>
    <fill>
      <patternFill patternType="solid">
        <fgColor theme="6" tint="0.59999389629810485"/>
        <bgColor indexed="64"/>
      </patternFill>
    </fill>
    <fill>
      <patternFill patternType="solid">
        <fgColor theme="4" tint="0.39997558519241921"/>
        <bgColor indexed="64"/>
      </patternFill>
    </fill>
  </fills>
  <borders count="51">
    <border>
      <left/>
      <right/>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8"/>
      </left>
      <right style="thin">
        <color indexed="8"/>
      </right>
      <top style="thin">
        <color indexed="8"/>
      </top>
      <bottom/>
      <diagonal/>
    </border>
    <border>
      <left style="thin">
        <color indexed="8"/>
      </left>
      <right style="thin">
        <color indexed="64"/>
      </right>
      <top style="thin">
        <color indexed="8"/>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64"/>
      </left>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thin">
        <color indexed="64"/>
      </left>
      <right/>
      <top style="thin">
        <color indexed="64"/>
      </top>
      <bottom style="thin">
        <color indexed="64"/>
      </bottom>
      <diagonal/>
    </border>
    <border>
      <left style="thin">
        <color indexed="8"/>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style="thin">
        <color indexed="8"/>
      </top>
      <bottom/>
      <diagonal/>
    </border>
    <border>
      <left/>
      <right/>
      <top style="thin">
        <color indexed="64"/>
      </top>
      <bottom style="thin">
        <color indexed="64"/>
      </bottom>
      <diagonal/>
    </border>
    <border>
      <left/>
      <right/>
      <top style="thin">
        <color indexed="8"/>
      </top>
      <bottom/>
      <diagonal/>
    </border>
    <border>
      <left style="thin">
        <color indexed="8"/>
      </left>
      <right/>
      <top/>
      <bottom/>
      <diagonal/>
    </border>
    <border>
      <left style="thin">
        <color indexed="64"/>
      </left>
      <right style="thin">
        <color indexed="64"/>
      </right>
      <top/>
      <bottom/>
      <diagonal/>
    </border>
    <border>
      <left/>
      <right style="thin">
        <color indexed="8"/>
      </right>
      <top/>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top style="thin">
        <color indexed="64"/>
      </top>
      <bottom/>
      <diagonal/>
    </border>
    <border>
      <left/>
      <right style="thin">
        <color indexed="8"/>
      </right>
      <top style="thin">
        <color indexed="64"/>
      </top>
      <bottom/>
      <diagonal/>
    </border>
    <border>
      <left style="thin">
        <color indexed="8"/>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8"/>
      </right>
      <top/>
      <bottom style="thin">
        <color indexed="64"/>
      </bottom>
      <diagonal/>
    </border>
    <border>
      <left style="thin">
        <color indexed="8"/>
      </left>
      <right style="thin">
        <color indexed="64"/>
      </right>
      <top/>
      <bottom style="thin">
        <color indexed="64"/>
      </bottom>
      <diagonal/>
    </border>
    <border>
      <left style="thin">
        <color indexed="8"/>
      </left>
      <right/>
      <top style="thin">
        <color indexed="8"/>
      </top>
      <bottom style="thin">
        <color indexed="64"/>
      </bottom>
      <diagonal/>
    </border>
    <border>
      <left style="thin">
        <color indexed="64"/>
      </left>
      <right style="thin">
        <color indexed="8"/>
      </right>
      <top/>
      <bottom style="thin">
        <color indexed="8"/>
      </bottom>
      <diagonal/>
    </border>
    <border>
      <left style="thin">
        <color indexed="64"/>
      </left>
      <right style="thin">
        <color indexed="8"/>
      </right>
      <top style="thin">
        <color indexed="8"/>
      </top>
      <bottom style="thin">
        <color indexed="8"/>
      </bottom>
      <diagonal/>
    </border>
  </borders>
  <cellStyleXfs count="249">
    <xf numFmtId="0" fontId="0" fillId="0" borderId="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1" fillId="20" borderId="3" applyNumberFormat="0" applyAlignment="0" applyProtection="0"/>
    <xf numFmtId="0" fontId="11" fillId="20" borderId="3" applyNumberFormat="0" applyAlignment="0" applyProtection="0"/>
    <xf numFmtId="0" fontId="11" fillId="20" borderId="3" applyNumberFormat="0" applyAlignment="0" applyProtection="0"/>
    <xf numFmtId="0" fontId="11" fillId="20" borderId="3" applyNumberFormat="0" applyAlignment="0" applyProtection="0"/>
    <xf numFmtId="0" fontId="11" fillId="20" borderId="3" applyNumberFormat="0" applyAlignment="0" applyProtection="0"/>
    <xf numFmtId="0" fontId="12" fillId="20" borderId="2" applyNumberFormat="0" applyAlignment="0" applyProtection="0"/>
    <xf numFmtId="0" fontId="12" fillId="20" borderId="2" applyNumberFormat="0" applyAlignment="0" applyProtection="0"/>
    <xf numFmtId="0" fontId="12" fillId="20" borderId="2" applyNumberFormat="0" applyAlignment="0" applyProtection="0"/>
    <xf numFmtId="0" fontId="12" fillId="20" borderId="2" applyNumberFormat="0" applyAlignment="0" applyProtection="0"/>
    <xf numFmtId="0" fontId="12" fillId="20" borderId="2" applyNumberFormat="0" applyAlignment="0" applyProtection="0"/>
    <xf numFmtId="0" fontId="13" fillId="0" borderId="4"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8" fillId="0" borderId="7" applyNumberFormat="0" applyFill="0" applyAlignment="0" applyProtection="0"/>
    <xf numFmtId="0" fontId="8" fillId="0" borderId="7" applyNumberFormat="0" applyFill="0" applyAlignment="0" applyProtection="0"/>
    <xf numFmtId="0" fontId="8" fillId="0" borderId="7" applyNumberFormat="0" applyFill="0" applyAlignment="0" applyProtection="0"/>
    <xf numFmtId="0" fontId="8" fillId="0" borderId="7" applyNumberFormat="0" applyFill="0" applyAlignment="0" applyProtection="0"/>
    <xf numFmtId="0" fontId="8" fillId="0" borderId="7" applyNumberFormat="0" applyFill="0" applyAlignment="0" applyProtection="0"/>
    <xf numFmtId="0" fontId="16" fillId="21" borderId="8" applyNumberFormat="0" applyAlignment="0" applyProtection="0"/>
    <xf numFmtId="0" fontId="16" fillId="21" borderId="8" applyNumberFormat="0" applyAlignment="0" applyProtection="0"/>
    <xf numFmtId="0" fontId="16" fillId="21" borderId="8" applyNumberFormat="0" applyAlignment="0" applyProtection="0"/>
    <xf numFmtId="0" fontId="16" fillId="21" borderId="8" applyNumberFormat="0" applyAlignment="0" applyProtection="0"/>
    <xf numFmtId="0" fontId="16" fillId="21"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 fillId="23" borderId="9" applyNumberFormat="0" applyAlignment="0" applyProtection="0"/>
    <xf numFmtId="0" fontId="6" fillId="23" borderId="9" applyNumberFormat="0" applyAlignment="0" applyProtection="0"/>
    <xf numFmtId="0" fontId="6" fillId="23" borderId="9" applyNumberFormat="0" applyAlignment="0" applyProtection="0"/>
    <xf numFmtId="0" fontId="6" fillId="23" borderId="9" applyNumberFormat="0" applyAlignment="0" applyProtection="0"/>
    <xf numFmtId="0" fontId="6" fillId="23"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7" fillId="0" borderId="1" applyProtection="0">
      <alignment horizontal="center"/>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5" fillId="0" borderId="0"/>
    <xf numFmtId="0" fontId="5" fillId="0" borderId="0"/>
    <xf numFmtId="0" fontId="5" fillId="0" borderId="0"/>
    <xf numFmtId="0" fontId="4" fillId="0" borderId="0"/>
    <xf numFmtId="0" fontId="24" fillId="0" borderId="0"/>
    <xf numFmtId="0" fontId="3" fillId="0" borderId="0"/>
    <xf numFmtId="0" fontId="2" fillId="0" borderId="0"/>
    <xf numFmtId="0" fontId="1" fillId="0" borderId="0"/>
  </cellStyleXfs>
  <cellXfs count="325">
    <xf numFmtId="0" fontId="0" fillId="0" borderId="0" xfId="0"/>
    <xf numFmtId="0" fontId="25" fillId="0" borderId="0" xfId="0" applyFont="1" applyAlignment="1">
      <alignment horizontal="center"/>
    </xf>
    <xf numFmtId="0" fontId="25" fillId="0" borderId="0" xfId="0" applyFont="1"/>
    <xf numFmtId="0" fontId="7" fillId="0" borderId="0" xfId="0" applyFont="1"/>
    <xf numFmtId="0" fontId="26" fillId="0" borderId="0" xfId="0" applyFont="1"/>
    <xf numFmtId="0" fontId="27" fillId="0" borderId="0" xfId="0" applyFont="1"/>
    <xf numFmtId="0" fontId="25" fillId="0" borderId="0" xfId="0" applyFont="1" applyFill="1"/>
    <xf numFmtId="0" fontId="28" fillId="0" borderId="0" xfId="0" applyFont="1"/>
    <xf numFmtId="0" fontId="29" fillId="0" borderId="0" xfId="0" applyFont="1"/>
    <xf numFmtId="0" fontId="0" fillId="0" borderId="0" xfId="0" applyFont="1"/>
    <xf numFmtId="0" fontId="30" fillId="0" borderId="0" xfId="0" applyFont="1" applyAlignment="1">
      <alignment horizontal="center"/>
    </xf>
    <xf numFmtId="14" fontId="29" fillId="0" borderId="0" xfId="0" applyNumberFormat="1" applyFont="1" applyAlignment="1" applyProtection="1">
      <alignment horizontal="center"/>
      <protection locked="0"/>
    </xf>
    <xf numFmtId="0" fontId="28" fillId="0" borderId="0" xfId="0" applyFont="1" applyProtection="1">
      <protection locked="0"/>
    </xf>
    <xf numFmtId="0" fontId="30" fillId="0" borderId="0" xfId="0" applyFont="1"/>
    <xf numFmtId="0" fontId="31" fillId="0" borderId="1" xfId="0" applyFont="1" applyBorder="1" applyAlignment="1">
      <alignment horizontal="center" wrapText="1"/>
    </xf>
    <xf numFmtId="0" fontId="31" fillId="0" borderId="1" xfId="0" applyFont="1" applyBorder="1" applyAlignment="1">
      <alignment horizontal="center"/>
    </xf>
    <xf numFmtId="0" fontId="31" fillId="0" borderId="1" xfId="0" applyFont="1" applyFill="1" applyBorder="1" applyAlignment="1">
      <alignment horizontal="center" wrapText="1"/>
    </xf>
    <xf numFmtId="0" fontId="32" fillId="0" borderId="0" xfId="0" applyFont="1"/>
    <xf numFmtId="0" fontId="33" fillId="0" borderId="0" xfId="0" applyFont="1"/>
    <xf numFmtId="0" fontId="34" fillId="0" borderId="1" xfId="0" applyFont="1" applyBorder="1" applyAlignment="1">
      <alignment horizontal="center"/>
    </xf>
    <xf numFmtId="0" fontId="35" fillId="0" borderId="1" xfId="0" applyFont="1" applyBorder="1" applyAlignment="1">
      <alignment horizontal="center"/>
    </xf>
    <xf numFmtId="0" fontId="35" fillId="0" borderId="1" xfId="0" applyFont="1" applyBorder="1" applyAlignment="1" applyProtection="1">
      <alignment horizontal="center"/>
      <protection locked="0"/>
    </xf>
    <xf numFmtId="1" fontId="34" fillId="0" borderId="1" xfId="0" applyNumberFormat="1" applyFont="1" applyFill="1" applyBorder="1" applyAlignment="1">
      <alignment horizontal="center"/>
    </xf>
    <xf numFmtId="0" fontId="26" fillId="0" borderId="11" xfId="0" applyFont="1" applyBorder="1" applyAlignment="1">
      <alignment horizontal="center" vertical="top"/>
    </xf>
    <xf numFmtId="0" fontId="36" fillId="0" borderId="11" xfId="0" applyFont="1" applyBorder="1" applyAlignment="1">
      <alignment horizontal="center" vertical="top" wrapText="1"/>
    </xf>
    <xf numFmtId="0" fontId="26" fillId="0" borderId="1" xfId="0" applyFont="1" applyBorder="1" applyAlignment="1">
      <alignment horizontal="center" vertical="top" wrapText="1"/>
    </xf>
    <xf numFmtId="0" fontId="26" fillId="0" borderId="13" xfId="0" applyFont="1" applyBorder="1" applyAlignment="1" applyProtection="1">
      <alignment horizontal="center" vertical="top" wrapText="1"/>
    </xf>
    <xf numFmtId="0" fontId="26" fillId="0" borderId="14" xfId="0" applyFont="1" applyBorder="1" applyAlignment="1" applyProtection="1">
      <alignment horizontal="center" vertical="top" wrapText="1"/>
    </xf>
    <xf numFmtId="0" fontId="26" fillId="0" borderId="17" xfId="0" applyFont="1" applyBorder="1" applyAlignment="1">
      <alignment horizontal="center" vertical="top"/>
    </xf>
    <xf numFmtId="0" fontId="37" fillId="0" borderId="17" xfId="0" applyFont="1" applyBorder="1" applyAlignment="1">
      <alignment horizontal="center" vertical="top" wrapText="1"/>
    </xf>
    <xf numFmtId="14" fontId="27" fillId="0" borderId="1" xfId="0" applyNumberFormat="1" applyFont="1" applyBorder="1" applyAlignment="1">
      <alignment horizontal="center" vertical="top" wrapText="1"/>
    </xf>
    <xf numFmtId="14" fontId="27" fillId="0" borderId="1" xfId="0" applyNumberFormat="1" applyFont="1" applyBorder="1" applyAlignment="1" applyProtection="1">
      <alignment horizontal="center" vertical="top" wrapText="1"/>
      <protection locked="0"/>
    </xf>
    <xf numFmtId="14" fontId="27" fillId="0" borderId="19" xfId="0" applyNumberFormat="1" applyFont="1" applyBorder="1" applyAlignment="1">
      <alignment horizontal="center" vertical="top" wrapText="1"/>
    </xf>
    <xf numFmtId="14" fontId="27" fillId="0" borderId="20" xfId="0" applyNumberFormat="1" applyFont="1" applyBorder="1" applyAlignment="1">
      <alignment horizontal="center" vertical="top" wrapText="1"/>
    </xf>
    <xf numFmtId="0" fontId="26" fillId="0" borderId="1" xfId="0" applyFont="1" applyBorder="1" applyAlignment="1">
      <alignment horizontal="center" vertical="top"/>
    </xf>
    <xf numFmtId="0" fontId="36" fillId="0" borderId="1" xfId="0" applyFont="1" applyBorder="1" applyAlignment="1">
      <alignment horizontal="center" vertical="top"/>
    </xf>
    <xf numFmtId="0" fontId="37" fillId="0" borderId="1" xfId="0" applyFont="1" applyBorder="1" applyAlignment="1">
      <alignment horizontal="center" vertical="top"/>
    </xf>
    <xf numFmtId="0" fontId="26" fillId="0" borderId="1" xfId="0" applyFont="1" applyFill="1" applyBorder="1" applyAlignment="1">
      <alignment horizontal="center" vertical="top"/>
    </xf>
    <xf numFmtId="0" fontId="26" fillId="0" borderId="21" xfId="0" applyFont="1" applyBorder="1" applyAlignment="1">
      <alignment horizontal="center" vertical="top"/>
    </xf>
    <xf numFmtId="0" fontId="26" fillId="0" borderId="20" xfId="0" applyFont="1" applyBorder="1" applyAlignment="1">
      <alignment horizontal="center" vertical="top"/>
    </xf>
    <xf numFmtId="0" fontId="26" fillId="0" borderId="22" xfId="0" applyFont="1" applyBorder="1" applyAlignment="1">
      <alignment horizontal="center" vertical="top"/>
    </xf>
    <xf numFmtId="0" fontId="38" fillId="0" borderId="21" xfId="0" applyFont="1" applyBorder="1" applyAlignment="1"/>
    <xf numFmtId="0" fontId="38" fillId="0" borderId="23" xfId="0" applyFont="1" applyBorder="1" applyAlignment="1"/>
    <xf numFmtId="0" fontId="38" fillId="0" borderId="20" xfId="0" applyFont="1" applyBorder="1" applyAlignment="1"/>
    <xf numFmtId="164" fontId="39" fillId="0" borderId="22" xfId="0" applyNumberFormat="1" applyFont="1" applyBorder="1" applyAlignment="1">
      <alignment horizontal="center"/>
    </xf>
    <xf numFmtId="164" fontId="39" fillId="0" borderId="1" xfId="0" applyNumberFormat="1" applyFont="1" applyBorder="1" applyAlignment="1">
      <alignment horizontal="center"/>
    </xf>
    <xf numFmtId="164" fontId="25" fillId="0" borderId="1" xfId="0" applyNumberFormat="1" applyFont="1" applyBorder="1" applyAlignment="1">
      <alignment horizontal="center"/>
    </xf>
    <xf numFmtId="164" fontId="40" fillId="0" borderId="1" xfId="0" applyNumberFormat="1" applyFont="1" applyFill="1" applyBorder="1" applyAlignment="1">
      <alignment horizontal="center"/>
    </xf>
    <xf numFmtId="0" fontId="25" fillId="0" borderId="1" xfId="0" applyFont="1" applyBorder="1"/>
    <xf numFmtId="0" fontId="7" fillId="0" borderId="1" xfId="0" applyFont="1" applyBorder="1" applyAlignment="1">
      <alignment horizontal="center"/>
    </xf>
    <xf numFmtId="0" fontId="41" fillId="0" borderId="1" xfId="0" applyFont="1" applyBorder="1" applyAlignment="1">
      <alignment wrapText="1"/>
    </xf>
    <xf numFmtId="0" fontId="7" fillId="0" borderId="1" xfId="0" applyFont="1" applyBorder="1"/>
    <xf numFmtId="164" fontId="42" fillId="0" borderId="17" xfId="0" applyNumberFormat="1" applyFont="1" applyBorder="1" applyAlignment="1">
      <alignment horizontal="right" vertical="center"/>
    </xf>
    <xf numFmtId="165" fontId="43" fillId="0" borderId="1" xfId="0" applyNumberFormat="1" applyFont="1" applyBorder="1" applyAlignment="1" applyProtection="1">
      <alignment vertical="center"/>
    </xf>
    <xf numFmtId="0" fontId="43" fillId="24" borderId="1" xfId="0" applyNumberFormat="1" applyFont="1" applyFill="1" applyBorder="1" applyAlignment="1" applyProtection="1">
      <alignment horizontal="center" vertical="center"/>
    </xf>
    <xf numFmtId="164" fontId="44" fillId="0" borderId="1" xfId="0" applyNumberFormat="1" applyFont="1" applyBorder="1" applyAlignment="1">
      <alignment horizontal="right" vertical="center"/>
    </xf>
    <xf numFmtId="164" fontId="7" fillId="0" borderId="1" xfId="0" applyNumberFormat="1" applyFont="1" applyBorder="1" applyAlignment="1">
      <alignment horizontal="right" vertical="center"/>
    </xf>
    <xf numFmtId="164" fontId="7" fillId="0" borderId="1" xfId="0" applyNumberFormat="1" applyFont="1" applyBorder="1" applyAlignment="1" applyProtection="1">
      <alignment horizontal="right" vertical="center"/>
      <protection locked="0"/>
    </xf>
    <xf numFmtId="3" fontId="7" fillId="0" borderId="1" xfId="0" applyNumberFormat="1" applyFont="1" applyBorder="1" applyAlignment="1">
      <alignment horizontal="right" vertical="center"/>
    </xf>
    <xf numFmtId="3" fontId="7" fillId="0" borderId="1" xfId="0" applyNumberFormat="1" applyFont="1" applyFill="1" applyBorder="1" applyAlignment="1" applyProtection="1">
      <alignment horizontal="right" vertical="center"/>
    </xf>
    <xf numFmtId="3" fontId="7" fillId="0" borderId="1" xfId="0" applyNumberFormat="1" applyFont="1" applyFill="1" applyBorder="1" applyAlignment="1">
      <alignment horizontal="right" vertical="center"/>
    </xf>
    <xf numFmtId="166" fontId="7" fillId="0" borderId="1" xfId="0" applyNumberFormat="1" applyFont="1" applyBorder="1" applyAlignment="1">
      <alignment horizontal="right" vertical="center"/>
    </xf>
    <xf numFmtId="0" fontId="41" fillId="0" borderId="1" xfId="0" applyFont="1" applyBorder="1"/>
    <xf numFmtId="164" fontId="42" fillId="0" borderId="1" xfId="0" applyNumberFormat="1" applyFont="1" applyBorder="1" applyAlignment="1">
      <alignment horizontal="right" vertical="center"/>
    </xf>
    <xf numFmtId="1" fontId="42" fillId="24" borderId="1" xfId="0" applyNumberFormat="1" applyFont="1" applyFill="1" applyBorder="1" applyAlignment="1" applyProtection="1">
      <alignment horizontal="center" vertical="center"/>
    </xf>
    <xf numFmtId="166" fontId="7" fillId="0" borderId="1" xfId="0" applyNumberFormat="1" applyFont="1" applyBorder="1" applyAlignment="1">
      <alignment vertical="center"/>
    </xf>
    <xf numFmtId="164" fontId="42" fillId="0" borderId="1" xfId="0" applyNumberFormat="1" applyFont="1" applyBorder="1" applyAlignment="1">
      <alignment horizontal="right" vertical="center" wrapText="1"/>
    </xf>
    <xf numFmtId="1" fontId="42" fillId="24" borderId="1" xfId="0" applyNumberFormat="1" applyFont="1" applyFill="1" applyBorder="1" applyAlignment="1" applyProtection="1">
      <alignment horizontal="center" vertical="center" wrapText="1"/>
    </xf>
    <xf numFmtId="164" fontId="44" fillId="0" borderId="1" xfId="0" applyNumberFormat="1" applyFont="1" applyBorder="1" applyAlignment="1">
      <alignment horizontal="right" vertical="center" wrapText="1"/>
    </xf>
    <xf numFmtId="164" fontId="7" fillId="0" borderId="1" xfId="0" applyNumberFormat="1" applyFont="1" applyBorder="1" applyAlignment="1">
      <alignment horizontal="right" vertical="center" wrapText="1"/>
    </xf>
    <xf numFmtId="164" fontId="7" fillId="0" borderId="1" xfId="0" applyNumberFormat="1" applyFont="1" applyBorder="1" applyAlignment="1" applyProtection="1">
      <alignment horizontal="right" vertical="center" wrapText="1"/>
      <protection locked="0"/>
    </xf>
    <xf numFmtId="3" fontId="7" fillId="0" borderId="1" xfId="0" applyNumberFormat="1" applyFont="1" applyBorder="1" applyAlignment="1">
      <alignment horizontal="right" vertical="center" wrapText="1"/>
    </xf>
    <xf numFmtId="3" fontId="7" fillId="0" borderId="1" xfId="0" applyNumberFormat="1" applyFont="1" applyFill="1" applyBorder="1" applyAlignment="1" applyProtection="1">
      <alignment horizontal="right" vertical="center" wrapText="1"/>
    </xf>
    <xf numFmtId="3" fontId="7" fillId="0" borderId="1" xfId="0" applyNumberFormat="1" applyFont="1" applyFill="1" applyBorder="1" applyAlignment="1">
      <alignment horizontal="right" vertical="center" wrapText="1"/>
    </xf>
    <xf numFmtId="166" fontId="7" fillId="0" borderId="1" xfId="0" applyNumberFormat="1" applyFont="1" applyBorder="1" applyAlignment="1">
      <alignment vertical="center" wrapText="1"/>
    </xf>
    <xf numFmtId="0" fontId="28" fillId="0" borderId="0" xfId="0" applyFont="1" applyAlignment="1">
      <alignment wrapText="1"/>
    </xf>
    <xf numFmtId="0" fontId="41" fillId="24" borderId="1" xfId="0" applyFont="1" applyFill="1" applyBorder="1"/>
    <xf numFmtId="164" fontId="42" fillId="24" borderId="1" xfId="0" applyNumberFormat="1" applyFont="1" applyFill="1" applyBorder="1" applyAlignment="1">
      <alignment horizontal="right" vertical="center"/>
    </xf>
    <xf numFmtId="164" fontId="7" fillId="24" borderId="1" xfId="0" applyNumberFormat="1" applyFont="1" applyFill="1" applyBorder="1" applyAlignment="1" applyProtection="1">
      <alignment horizontal="right" vertical="center"/>
      <protection locked="0"/>
    </xf>
    <xf numFmtId="3" fontId="7" fillId="24" borderId="1" xfId="0" applyNumberFormat="1" applyFont="1" applyFill="1" applyBorder="1" applyAlignment="1">
      <alignment horizontal="right" vertical="center"/>
    </xf>
    <xf numFmtId="1" fontId="43" fillId="24" borderId="1" xfId="0" applyNumberFormat="1" applyFont="1" applyFill="1" applyBorder="1" applyAlignment="1" applyProtection="1">
      <alignment horizontal="center" vertical="center"/>
    </xf>
    <xf numFmtId="0" fontId="7" fillId="0" borderId="1" xfId="0" applyFont="1" applyBorder="1" applyAlignment="1">
      <alignment wrapText="1"/>
    </xf>
    <xf numFmtId="165" fontId="43" fillId="0" borderId="1" xfId="0" applyNumberFormat="1" applyFont="1" applyBorder="1" applyAlignment="1" applyProtection="1">
      <alignment vertical="center" wrapText="1"/>
    </xf>
    <xf numFmtId="164" fontId="42" fillId="24" borderId="1" xfId="0" applyNumberFormat="1" applyFont="1" applyFill="1" applyBorder="1" applyAlignment="1">
      <alignment horizontal="right" vertical="center" wrapText="1"/>
    </xf>
    <xf numFmtId="165" fontId="43" fillId="0" borderId="1" xfId="0" applyNumberFormat="1" applyFont="1" applyBorder="1" applyAlignment="1">
      <alignment vertical="center" wrapText="1"/>
    </xf>
    <xf numFmtId="0" fontId="41" fillId="25" borderId="24" xfId="248" applyFont="1" applyFill="1" applyBorder="1" applyAlignment="1" applyProtection="1">
      <alignment vertical="center"/>
    </xf>
    <xf numFmtId="0" fontId="7" fillId="26" borderId="1" xfId="0" applyFont="1" applyFill="1" applyBorder="1" applyProtection="1"/>
    <xf numFmtId="0" fontId="41" fillId="25" borderId="24" xfId="248" applyFont="1" applyFill="1" applyBorder="1" applyAlignment="1" applyProtection="1"/>
    <xf numFmtId="0" fontId="41" fillId="24" borderId="1" xfId="0" applyFont="1" applyFill="1" applyBorder="1" applyAlignment="1">
      <alignment wrapText="1"/>
    </xf>
    <xf numFmtId="164" fontId="7" fillId="24" borderId="1" xfId="0" applyNumberFormat="1" applyFont="1" applyFill="1" applyBorder="1" applyAlignment="1" applyProtection="1">
      <alignment horizontal="right" vertical="center" wrapText="1"/>
      <protection locked="0"/>
    </xf>
    <xf numFmtId="164" fontId="26" fillId="0" borderId="17" xfId="0" applyNumberFormat="1" applyFont="1" applyBorder="1" applyAlignment="1">
      <alignment horizontal="right" vertical="center"/>
    </xf>
    <xf numFmtId="3" fontId="7" fillId="0" borderId="1" xfId="0" applyNumberFormat="1" applyFont="1" applyBorder="1" applyAlignment="1" applyProtection="1">
      <alignment horizontal="right" vertical="center"/>
      <protection locked="0"/>
    </xf>
    <xf numFmtId="0" fontId="41" fillId="0" borderId="1" xfId="0" applyFont="1" applyFill="1" applyBorder="1"/>
    <xf numFmtId="1" fontId="7" fillId="24" borderId="1" xfId="0" applyNumberFormat="1" applyFont="1" applyFill="1" applyBorder="1" applyAlignment="1" applyProtection="1">
      <alignment horizontal="right" vertical="center"/>
      <protection locked="0"/>
    </xf>
    <xf numFmtId="1" fontId="7" fillId="0" borderId="1" xfId="0" applyNumberFormat="1" applyFont="1" applyBorder="1" applyAlignment="1" applyProtection="1">
      <alignment horizontal="right" vertical="center"/>
      <protection locked="0"/>
    </xf>
    <xf numFmtId="0" fontId="41" fillId="0" borderId="20" xfId="0" applyFont="1" applyBorder="1" applyAlignment="1">
      <alignment wrapText="1"/>
    </xf>
    <xf numFmtId="164" fontId="42" fillId="0" borderId="22" xfId="0" applyNumberFormat="1" applyFont="1" applyBorder="1" applyAlignment="1">
      <alignment horizontal="right" vertical="center" wrapText="1"/>
    </xf>
    <xf numFmtId="166" fontId="7" fillId="0" borderId="1" xfId="0" applyNumberFormat="1" applyFont="1" applyBorder="1" applyAlignment="1">
      <alignment horizontal="right" vertical="center" wrapText="1"/>
    </xf>
    <xf numFmtId="0" fontId="31" fillId="0" borderId="17" xfId="0" applyFont="1" applyBorder="1"/>
    <xf numFmtId="0" fontId="26" fillId="0" borderId="17" xfId="0" applyFont="1" applyBorder="1"/>
    <xf numFmtId="164" fontId="36" fillId="0" borderId="1" xfId="0" applyNumberFormat="1" applyFont="1" applyBorder="1" applyAlignment="1">
      <alignment horizontal="right" vertical="center"/>
    </xf>
    <xf numFmtId="164" fontId="45" fillId="0" borderId="1" xfId="0" applyNumberFormat="1" applyFont="1" applyBorder="1" applyAlignment="1">
      <alignment horizontal="right" vertical="center"/>
    </xf>
    <xf numFmtId="164" fontId="37" fillId="0" borderId="1" xfId="0" applyNumberFormat="1" applyFont="1" applyBorder="1" applyAlignment="1">
      <alignment horizontal="right" vertical="center"/>
    </xf>
    <xf numFmtId="164" fontId="26" fillId="0" borderId="1" xfId="0" applyNumberFormat="1" applyFont="1" applyBorder="1" applyAlignment="1">
      <alignment horizontal="right" vertical="center"/>
    </xf>
    <xf numFmtId="164" fontId="26" fillId="0" borderId="1" xfId="0" applyNumberFormat="1" applyFont="1" applyFill="1" applyBorder="1" applyAlignment="1">
      <alignment horizontal="right" vertical="center"/>
    </xf>
    <xf numFmtId="0" fontId="25" fillId="0" borderId="0" xfId="0" applyFont="1" applyBorder="1" applyAlignment="1">
      <alignment horizontal="center"/>
    </xf>
    <xf numFmtId="0" fontId="25" fillId="0" borderId="0" xfId="0" applyFont="1" applyBorder="1"/>
    <xf numFmtId="4" fontId="39" fillId="26" borderId="1" xfId="0" applyNumberFormat="1" applyFont="1" applyFill="1" applyBorder="1" applyAlignment="1" applyProtection="1">
      <alignment horizontal="right" vertical="center"/>
    </xf>
    <xf numFmtId="0" fontId="25" fillId="0" borderId="0" xfId="0" applyFont="1" applyProtection="1"/>
    <xf numFmtId="0" fontId="39" fillId="26" borderId="1" xfId="0" applyFont="1" applyFill="1" applyBorder="1" applyAlignment="1">
      <alignment horizontal="center"/>
    </xf>
    <xf numFmtId="0" fontId="25" fillId="0" borderId="0" xfId="0" applyFont="1" applyFill="1" applyBorder="1"/>
    <xf numFmtId="0" fontId="27" fillId="0" borderId="0" xfId="0" applyFont="1" applyBorder="1"/>
    <xf numFmtId="4" fontId="46" fillId="26" borderId="25" xfId="0" applyNumberFormat="1" applyFont="1" applyFill="1" applyBorder="1" applyAlignment="1" applyProtection="1">
      <alignment horizontal="right" vertical="center"/>
    </xf>
    <xf numFmtId="0" fontId="27" fillId="0" borderId="0" xfId="0" applyFont="1" applyProtection="1"/>
    <xf numFmtId="0" fontId="47" fillId="9" borderId="1" xfId="0" applyFont="1" applyFill="1" applyBorder="1"/>
    <xf numFmtId="0" fontId="25" fillId="27" borderId="1" xfId="0" applyFont="1" applyFill="1" applyBorder="1"/>
    <xf numFmtId="0" fontId="25" fillId="28" borderId="1" xfId="0" applyFont="1" applyFill="1" applyBorder="1"/>
    <xf numFmtId="0" fontId="28" fillId="0" borderId="0" xfId="0" applyFont="1" applyAlignment="1">
      <alignment horizontal="center"/>
    </xf>
    <xf numFmtId="164" fontId="28" fillId="0" borderId="0" xfId="0" applyNumberFormat="1" applyFont="1" applyFill="1"/>
    <xf numFmtId="0" fontId="28" fillId="0" borderId="0" xfId="0" applyFont="1" applyFill="1"/>
    <xf numFmtId="0" fontId="48" fillId="0" borderId="0" xfId="0" applyFont="1"/>
    <xf numFmtId="0" fontId="49" fillId="0" borderId="0" xfId="0" applyFont="1" applyAlignment="1">
      <alignment horizontal="left"/>
    </xf>
    <xf numFmtId="0" fontId="48" fillId="0" borderId="0" xfId="0" applyFont="1" applyAlignment="1">
      <alignment vertical="center"/>
    </xf>
    <xf numFmtId="0" fontId="26" fillId="0" borderId="0" xfId="0" applyFont="1" applyAlignment="1">
      <alignment vertical="center"/>
    </xf>
    <xf numFmtId="14" fontId="49" fillId="0" borderId="0" xfId="0" applyNumberFormat="1" applyFont="1" applyAlignment="1" applyProtection="1">
      <alignment horizontal="center"/>
      <protection locked="0"/>
    </xf>
    <xf numFmtId="14" fontId="49" fillId="0" borderId="0" xfId="0" applyNumberFormat="1" applyFont="1"/>
    <xf numFmtId="0" fontId="26" fillId="29" borderId="22" xfId="0" applyFont="1" applyFill="1" applyBorder="1" applyAlignment="1">
      <alignment vertical="center"/>
    </xf>
    <xf numFmtId="0" fontId="26" fillId="26" borderId="21" xfId="0" applyFont="1" applyFill="1" applyBorder="1" applyAlignment="1">
      <alignment vertical="center"/>
    </xf>
    <xf numFmtId="0" fontId="7" fillId="0" borderId="20" xfId="0" applyFont="1" applyBorder="1"/>
    <xf numFmtId="0" fontId="49" fillId="29" borderId="20" xfId="0" applyFont="1" applyFill="1" applyBorder="1" applyAlignment="1">
      <alignment horizontal="center"/>
    </xf>
    <xf numFmtId="0" fontId="49" fillId="26" borderId="1" xfId="0" applyFont="1" applyFill="1" applyBorder="1" applyAlignment="1" applyProtection="1">
      <alignment horizontal="center"/>
      <protection locked="0"/>
    </xf>
    <xf numFmtId="0" fontId="36" fillId="0" borderId="16" xfId="0" applyFont="1" applyBorder="1" applyAlignment="1">
      <alignment horizontal="center" vertical="top" wrapText="1"/>
    </xf>
    <xf numFmtId="3" fontId="36" fillId="26" borderId="14" xfId="0" applyNumberFormat="1" applyFont="1" applyFill="1" applyBorder="1" applyAlignment="1">
      <alignment horizontal="center" vertical="top"/>
    </xf>
    <xf numFmtId="0" fontId="26" fillId="26" borderId="16" xfId="0" applyFont="1" applyFill="1" applyBorder="1" applyAlignment="1">
      <alignment horizontal="center" vertical="top" wrapText="1"/>
    </xf>
    <xf numFmtId="0" fontId="26" fillId="26" borderId="20" xfId="0" applyFont="1" applyFill="1" applyBorder="1" applyAlignment="1">
      <alignment vertical="top" wrapText="1"/>
    </xf>
    <xf numFmtId="0" fontId="36" fillId="0" borderId="20" xfId="0" applyFont="1" applyBorder="1" applyAlignment="1">
      <alignment horizontal="center" vertical="top" wrapText="1"/>
    </xf>
    <xf numFmtId="0" fontId="36" fillId="0" borderId="36" xfId="0" applyFont="1" applyBorder="1" applyAlignment="1">
      <alignment horizontal="center" vertical="top" wrapText="1"/>
    </xf>
    <xf numFmtId="0" fontId="37" fillId="0" borderId="45" xfId="0" applyFont="1" applyBorder="1" applyAlignment="1">
      <alignment horizontal="center" vertical="top" wrapText="1"/>
    </xf>
    <xf numFmtId="14" fontId="26" fillId="26" borderId="43" xfId="0" applyNumberFormat="1" applyFont="1" applyFill="1" applyBorder="1" applyAlignment="1" applyProtection="1">
      <alignment horizontal="center" vertical="top"/>
      <protection locked="0"/>
    </xf>
    <xf numFmtId="14" fontId="26" fillId="0" borderId="20" xfId="0" applyNumberFormat="1" applyFont="1" applyBorder="1" applyAlignment="1">
      <alignment horizontal="center" vertical="top" wrapText="1"/>
    </xf>
    <xf numFmtId="14" fontId="26" fillId="0" borderId="30" xfId="0" applyNumberFormat="1" applyFont="1" applyBorder="1" applyAlignment="1">
      <alignment horizontal="center" vertical="top" wrapText="1"/>
    </xf>
    <xf numFmtId="0" fontId="26" fillId="0" borderId="20" xfId="0" applyFont="1" applyBorder="1" applyAlignment="1">
      <alignment horizontal="center"/>
    </xf>
    <xf numFmtId="0" fontId="51" fillId="0" borderId="17" xfId="0" applyFont="1" applyBorder="1"/>
    <xf numFmtId="0" fontId="26" fillId="0" borderId="17" xfId="0" applyFont="1" applyBorder="1" applyAlignment="1">
      <alignment horizontal="center" vertical="center"/>
    </xf>
    <xf numFmtId="0" fontId="44" fillId="0" borderId="17" xfId="0" applyFont="1" applyBorder="1"/>
    <xf numFmtId="0" fontId="7" fillId="0" borderId="17" xfId="0" applyFont="1" applyBorder="1"/>
    <xf numFmtId="0" fontId="52" fillId="0" borderId="1" xfId="0" applyFont="1" applyBorder="1"/>
    <xf numFmtId="0" fontId="53" fillId="0" borderId="1" xfId="0" applyFont="1" applyBorder="1"/>
    <xf numFmtId="0" fontId="54" fillId="0" borderId="1" xfId="0" applyFont="1" applyBorder="1" applyAlignment="1">
      <alignment horizontal="center" vertical="center"/>
    </xf>
    <xf numFmtId="3" fontId="44" fillId="0" borderId="1" xfId="0" applyNumberFormat="1" applyFont="1" applyBorder="1"/>
    <xf numFmtId="3" fontId="7" fillId="0" borderId="1" xfId="0" applyNumberFormat="1"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41" fillId="0" borderId="1" xfId="0" applyFont="1" applyBorder="1" applyAlignment="1">
      <alignment horizontal="center" vertical="center"/>
    </xf>
    <xf numFmtId="3" fontId="41" fillId="0" borderId="1" xfId="0" applyNumberFormat="1" applyFont="1" applyBorder="1" applyAlignment="1">
      <alignment horizontal="center" vertical="center"/>
    </xf>
    <xf numFmtId="3" fontId="42" fillId="0" borderId="1" xfId="0" applyNumberFormat="1" applyFont="1" applyBorder="1" applyAlignment="1">
      <alignment horizontal="right" vertical="center"/>
    </xf>
    <xf numFmtId="4" fontId="43" fillId="24" borderId="1" xfId="0" applyNumberFormat="1" applyFont="1" applyFill="1" applyBorder="1" applyAlignment="1">
      <alignment horizontal="right" vertical="center"/>
    </xf>
    <xf numFmtId="3" fontId="44" fillId="0" borderId="1" xfId="0" applyNumberFormat="1" applyFont="1" applyBorder="1" applyAlignment="1">
      <alignment horizontal="right" vertical="center"/>
    </xf>
    <xf numFmtId="3" fontId="7" fillId="2" borderId="1" xfId="0" applyNumberFormat="1" applyFont="1" applyFill="1" applyBorder="1" applyAlignment="1">
      <alignment horizontal="right" vertical="center"/>
    </xf>
    <xf numFmtId="49" fontId="0" fillId="0" borderId="0" xfId="0" applyNumberFormat="1"/>
    <xf numFmtId="0" fontId="7" fillId="0" borderId="1" xfId="0" applyFont="1" applyBorder="1" applyAlignment="1">
      <alignment horizontal="left" vertical="center" wrapText="1"/>
    </xf>
    <xf numFmtId="0" fontId="41" fillId="0" borderId="1" xfId="0" applyFont="1" applyBorder="1" applyAlignment="1">
      <alignment horizontal="center" vertical="center" wrapText="1"/>
    </xf>
    <xf numFmtId="0" fontId="7" fillId="29" borderId="1" xfId="0" applyFont="1" applyFill="1" applyBorder="1" applyAlignment="1">
      <alignment horizontal="left" vertical="center" wrapText="1"/>
    </xf>
    <xf numFmtId="0" fontId="7" fillId="26" borderId="1" xfId="0" applyFont="1" applyFill="1" applyBorder="1" applyAlignment="1">
      <alignment horizontal="left" vertical="center" wrapText="1"/>
    </xf>
    <xf numFmtId="0" fontId="41" fillId="26" borderId="1" xfId="0" applyFont="1" applyFill="1" applyBorder="1" applyAlignment="1">
      <alignment horizontal="center" vertical="center" wrapText="1"/>
    </xf>
    <xf numFmtId="3" fontId="41" fillId="26" borderId="1" xfId="0" applyNumberFormat="1" applyFont="1" applyFill="1" applyBorder="1" applyAlignment="1">
      <alignment horizontal="center" vertical="center"/>
    </xf>
    <xf numFmtId="0" fontId="7" fillId="24" borderId="1" xfId="0" applyFont="1" applyFill="1" applyBorder="1" applyAlignment="1">
      <alignment horizontal="left" vertical="center" wrapText="1"/>
    </xf>
    <xf numFmtId="0" fontId="41" fillId="0" borderId="1" xfId="0" applyFont="1" applyBorder="1" applyAlignment="1">
      <alignment horizontal="left" vertical="center"/>
    </xf>
    <xf numFmtId="0" fontId="41" fillId="0" borderId="1" xfId="0" applyFont="1" applyBorder="1" applyAlignment="1">
      <alignment horizontal="left" vertical="center" wrapText="1"/>
    </xf>
    <xf numFmtId="0" fontId="7" fillId="24" borderId="1" xfId="0" applyFont="1" applyFill="1" applyBorder="1" applyAlignment="1">
      <alignment horizontal="left" vertical="center"/>
    </xf>
    <xf numFmtId="0" fontId="41" fillId="24" borderId="1" xfId="0" applyFont="1" applyFill="1" applyBorder="1" applyAlignment="1">
      <alignment horizontal="center" vertical="center"/>
    </xf>
    <xf numFmtId="3" fontId="41" fillId="24" borderId="1" xfId="0" applyNumberFormat="1" applyFont="1" applyFill="1" applyBorder="1" applyAlignment="1">
      <alignment horizontal="center" vertical="center"/>
    </xf>
    <xf numFmtId="3" fontId="44" fillId="24" borderId="1" xfId="0" applyNumberFormat="1" applyFont="1" applyFill="1" applyBorder="1" applyAlignment="1">
      <alignment horizontal="right" vertical="center"/>
    </xf>
    <xf numFmtId="0" fontId="26" fillId="0" borderId="1" xfId="0" applyFont="1" applyBorder="1"/>
    <xf numFmtId="3" fontId="36" fillId="0" borderId="1" xfId="0" applyNumberFormat="1" applyFont="1" applyBorder="1" applyAlignment="1">
      <alignment horizontal="center" vertical="center"/>
    </xf>
    <xf numFmtId="3" fontId="56" fillId="0" borderId="1" xfId="0" applyNumberFormat="1" applyFont="1" applyBorder="1" applyAlignment="1">
      <alignment horizontal="right" vertical="center"/>
    </xf>
    <xf numFmtId="3" fontId="43" fillId="24" borderId="1" xfId="0" applyNumberFormat="1" applyFont="1" applyFill="1" applyBorder="1" applyAlignment="1">
      <alignment horizontal="center" vertical="center"/>
    </xf>
    <xf numFmtId="3" fontId="37" fillId="0" borderId="1" xfId="0" applyNumberFormat="1" applyFont="1" applyBorder="1" applyAlignment="1">
      <alignment horizontal="right" vertical="center"/>
    </xf>
    <xf numFmtId="3" fontId="26" fillId="0" borderId="1" xfId="0" applyNumberFormat="1" applyFont="1" applyBorder="1" applyAlignment="1">
      <alignment horizontal="right" vertical="center"/>
    </xf>
    <xf numFmtId="4" fontId="43" fillId="0" borderId="1" xfId="0" applyNumberFormat="1" applyFont="1" applyBorder="1" applyAlignment="1">
      <alignment horizontal="left" vertical="center"/>
    </xf>
    <xf numFmtId="3" fontId="53" fillId="0" borderId="1" xfId="0" applyNumberFormat="1" applyFont="1" applyBorder="1" applyAlignment="1">
      <alignment horizontal="right" vertical="center"/>
    </xf>
    <xf numFmtId="3" fontId="49" fillId="0" borderId="1" xfId="0" applyNumberFormat="1" applyFont="1" applyBorder="1" applyAlignment="1">
      <alignment horizontal="right" vertical="center"/>
    </xf>
    <xf numFmtId="0" fontId="41" fillId="0" borderId="11" xfId="0" applyFont="1" applyBorder="1" applyAlignment="1">
      <alignment horizontal="center" vertical="center" wrapText="1"/>
    </xf>
    <xf numFmtId="3" fontId="42" fillId="24" borderId="1" xfId="0" applyNumberFormat="1" applyFont="1" applyFill="1" applyBorder="1" applyAlignment="1">
      <alignment horizontal="center" vertical="center"/>
    </xf>
    <xf numFmtId="0" fontId="41" fillId="24" borderId="1" xfId="0" applyFont="1" applyFill="1" applyBorder="1" applyAlignment="1">
      <alignment horizontal="center" vertical="center" wrapText="1"/>
    </xf>
    <xf numFmtId="3" fontId="42" fillId="24" borderId="1" xfId="0" applyNumberFormat="1" applyFont="1" applyFill="1" applyBorder="1" applyAlignment="1">
      <alignment horizontal="right" vertical="center"/>
    </xf>
    <xf numFmtId="0" fontId="58" fillId="0" borderId="1" xfId="0" applyFont="1" applyBorder="1" applyAlignment="1">
      <alignment horizontal="left" vertical="center" wrapText="1"/>
    </xf>
    <xf numFmtId="4" fontId="42" fillId="24" borderId="1" xfId="0" applyNumberFormat="1" applyFont="1" applyFill="1" applyBorder="1" applyAlignment="1">
      <alignment horizontal="right" vertical="center"/>
    </xf>
    <xf numFmtId="0" fontId="58" fillId="32" borderId="1" xfId="0" applyFont="1" applyFill="1" applyBorder="1" applyAlignment="1">
      <alignment horizontal="left" vertical="center" wrapText="1"/>
    </xf>
    <xf numFmtId="3" fontId="41" fillId="26" borderId="1" xfId="0" applyNumberFormat="1" applyFont="1" applyFill="1" applyBorder="1" applyAlignment="1" applyProtection="1">
      <alignment horizontal="right" vertical="center"/>
      <protection locked="0"/>
    </xf>
    <xf numFmtId="3" fontId="41" fillId="26" borderId="1" xfId="0" applyNumberFormat="1" applyFont="1" applyFill="1" applyBorder="1" applyAlignment="1">
      <alignment horizontal="right" vertical="center"/>
    </xf>
    <xf numFmtId="0" fontId="58" fillId="24" borderId="1" xfId="0" applyFont="1" applyFill="1" applyBorder="1" applyAlignment="1">
      <alignment horizontal="left" vertical="center" wrapText="1"/>
    </xf>
    <xf numFmtId="3" fontId="41" fillId="0" borderId="1" xfId="0" applyNumberFormat="1" applyFont="1" applyBorder="1" applyAlignment="1" applyProtection="1">
      <alignment horizontal="right" vertical="center"/>
      <protection locked="0"/>
    </xf>
    <xf numFmtId="0" fontId="26" fillId="0" borderId="21" xfId="0" applyFont="1" applyBorder="1"/>
    <xf numFmtId="3" fontId="56" fillId="0" borderId="1" xfId="0" applyNumberFormat="1" applyFont="1" applyBorder="1" applyAlignment="1">
      <alignment horizontal="center" vertical="center"/>
    </xf>
    <xf numFmtId="3" fontId="36" fillId="0" borderId="1" xfId="0" applyNumberFormat="1" applyFont="1" applyBorder="1" applyAlignment="1">
      <alignment horizontal="right" vertical="center"/>
    </xf>
    <xf numFmtId="0" fontId="7" fillId="0" borderId="16" xfId="0" applyFont="1" applyBorder="1" applyAlignment="1">
      <alignment horizontal="center" vertical="center"/>
    </xf>
    <xf numFmtId="0" fontId="7" fillId="0" borderId="21" xfId="0" applyFont="1" applyBorder="1"/>
    <xf numFmtId="0" fontId="7" fillId="0" borderId="15" xfId="0" applyFont="1" applyBorder="1"/>
    <xf numFmtId="0" fontId="41" fillId="0" borderId="20" xfId="0" applyFont="1" applyBorder="1" applyAlignment="1">
      <alignment horizontal="center" vertical="center"/>
    </xf>
    <xf numFmtId="3" fontId="42" fillId="0" borderId="24" xfId="0" applyNumberFormat="1" applyFont="1" applyBorder="1" applyAlignment="1">
      <alignment horizontal="right" vertical="center"/>
    </xf>
    <xf numFmtId="4" fontId="7" fillId="0" borderId="1" xfId="0" applyNumberFormat="1" applyFont="1" applyBorder="1" applyAlignment="1">
      <alignment horizontal="left" vertical="center"/>
    </xf>
    <xf numFmtId="0" fontId="38" fillId="0" borderId="1" xfId="0" applyFont="1" applyBorder="1"/>
    <xf numFmtId="0" fontId="38" fillId="0" borderId="48" xfId="0" applyFont="1" applyBorder="1"/>
    <xf numFmtId="0" fontId="38" fillId="0" borderId="28" xfId="0" applyFont="1" applyBorder="1"/>
    <xf numFmtId="0" fontId="59" fillId="0" borderId="28" xfId="0" applyFont="1" applyBorder="1" applyAlignment="1">
      <alignment horizontal="center" vertical="center"/>
    </xf>
    <xf numFmtId="3" fontId="56" fillId="0" borderId="20" xfId="0" applyNumberFormat="1" applyFont="1" applyBorder="1" applyAlignment="1">
      <alignment horizontal="right" vertical="center"/>
    </xf>
    <xf numFmtId="3" fontId="56" fillId="0" borderId="22" xfId="0" applyNumberFormat="1" applyFont="1" applyBorder="1" applyAlignment="1">
      <alignment horizontal="right" vertical="center"/>
    </xf>
    <xf numFmtId="4" fontId="45" fillId="0" borderId="1" xfId="0" applyNumberFormat="1" applyFont="1" applyBorder="1" applyAlignment="1">
      <alignment horizontal="left" vertical="center"/>
    </xf>
    <xf numFmtId="4" fontId="37" fillId="0" borderId="1" xfId="0" applyNumberFormat="1" applyFont="1" applyBorder="1" applyAlignment="1">
      <alignment horizontal="left" vertical="center"/>
    </xf>
    <xf numFmtId="3" fontId="36" fillId="0" borderId="22" xfId="0" applyNumberFormat="1" applyFont="1" applyBorder="1" applyAlignment="1">
      <alignment horizontal="right" vertical="center"/>
    </xf>
    <xf numFmtId="0" fontId="41" fillId="0" borderId="17" xfId="0" applyFont="1" applyBorder="1" applyAlignment="1">
      <alignment horizontal="center" vertical="center"/>
    </xf>
    <xf numFmtId="3" fontId="42" fillId="0" borderId="17" xfId="0" applyNumberFormat="1" applyFont="1" applyBorder="1" applyAlignment="1">
      <alignment horizontal="right" vertical="center"/>
    </xf>
    <xf numFmtId="0" fontId="36" fillId="0" borderId="1" xfId="0" applyFont="1" applyBorder="1" applyAlignment="1">
      <alignment horizontal="center" vertical="center"/>
    </xf>
    <xf numFmtId="3" fontId="36" fillId="0" borderId="1" xfId="0" applyNumberFormat="1" applyFont="1" applyBorder="1" applyAlignment="1" applyProtection="1">
      <alignment horizontal="right" vertical="center"/>
    </xf>
    <xf numFmtId="0" fontId="26" fillId="0" borderId="31" xfId="0" applyFont="1" applyBorder="1"/>
    <xf numFmtId="0" fontId="26" fillId="0" borderId="33" xfId="0" applyFont="1" applyBorder="1"/>
    <xf numFmtId="0" fontId="36" fillId="0" borderId="33" xfId="0" applyFont="1" applyBorder="1" applyAlignment="1">
      <alignment horizontal="center" vertical="center"/>
    </xf>
    <xf numFmtId="0" fontId="7" fillId="0" borderId="1" xfId="0" applyFont="1" applyBorder="1" applyAlignment="1">
      <alignment horizontal="center" vertical="center" wrapText="1"/>
    </xf>
    <xf numFmtId="3" fontId="42" fillId="0" borderId="1" xfId="0" applyNumberFormat="1" applyFont="1" applyBorder="1" applyAlignment="1">
      <alignment horizontal="right" vertical="center" wrapText="1"/>
    </xf>
    <xf numFmtId="4" fontId="42" fillId="24" borderId="1" xfId="0" applyNumberFormat="1" applyFont="1" applyFill="1" applyBorder="1" applyAlignment="1">
      <alignment horizontal="right" vertical="center" wrapText="1"/>
    </xf>
    <xf numFmtId="3" fontId="44" fillId="0" borderId="1" xfId="0" applyNumberFormat="1" applyFont="1" applyBorder="1" applyAlignment="1">
      <alignment horizontal="right" vertical="center" wrapText="1"/>
    </xf>
    <xf numFmtId="3" fontId="7" fillId="0" borderId="1" xfId="0" applyNumberFormat="1" applyFont="1" applyBorder="1" applyAlignment="1" applyProtection="1">
      <alignment horizontal="right" vertical="center" wrapText="1"/>
      <protection locked="0"/>
    </xf>
    <xf numFmtId="3" fontId="7" fillId="2" borderId="1" xfId="0" applyNumberFormat="1" applyFont="1" applyFill="1" applyBorder="1" applyAlignment="1">
      <alignment horizontal="right" vertical="center" wrapText="1"/>
    </xf>
    <xf numFmtId="49" fontId="0" fillId="0" borderId="0" xfId="0" applyNumberFormat="1" applyAlignment="1">
      <alignment wrapText="1"/>
    </xf>
    <xf numFmtId="0" fontId="0" fillId="0" borderId="0" xfId="0" applyAlignment="1">
      <alignment wrapText="1"/>
    </xf>
    <xf numFmtId="0" fontId="26" fillId="0" borderId="23" xfId="0" applyFont="1" applyBorder="1"/>
    <xf numFmtId="0" fontId="36" fillId="0" borderId="23" xfId="0" applyFont="1" applyBorder="1" applyAlignment="1">
      <alignment horizontal="center" vertical="center"/>
    </xf>
    <xf numFmtId="3" fontId="26" fillId="0" borderId="1" xfId="0" applyNumberFormat="1" applyFont="1" applyBorder="1" applyAlignment="1">
      <alignment horizontal="right" vertical="center" wrapText="1"/>
    </xf>
    <xf numFmtId="49" fontId="8" fillId="0" borderId="0" xfId="0" applyNumberFormat="1" applyFont="1"/>
    <xf numFmtId="0" fontId="8" fillId="0" borderId="0" xfId="0" applyFont="1"/>
    <xf numFmtId="0" fontId="7" fillId="0" borderId="11" xfId="0" applyFont="1" applyBorder="1" applyAlignment="1">
      <alignment horizontal="left" vertical="center" wrapText="1"/>
    </xf>
    <xf numFmtId="0" fontId="26" fillId="0" borderId="20" xfId="0" applyFont="1" applyBorder="1"/>
    <xf numFmtId="0" fontId="36" fillId="0" borderId="20" xfId="0" applyFont="1" applyBorder="1" applyAlignment="1">
      <alignment horizontal="center" vertical="center"/>
    </xf>
    <xf numFmtId="0" fontId="48" fillId="0" borderId="48" xfId="0" applyFont="1" applyBorder="1"/>
    <xf numFmtId="3" fontId="56" fillId="0" borderId="49" xfId="0" applyNumberFormat="1" applyFont="1" applyBorder="1" applyAlignment="1">
      <alignment horizontal="right" vertical="center"/>
    </xf>
    <xf numFmtId="3" fontId="36" fillId="0" borderId="49" xfId="0" applyNumberFormat="1" applyFont="1" applyBorder="1" applyAlignment="1">
      <alignment horizontal="right" vertical="center"/>
    </xf>
    <xf numFmtId="3" fontId="56" fillId="0" borderId="50" xfId="0" applyNumberFormat="1" applyFont="1" applyBorder="1" applyAlignment="1">
      <alignment horizontal="right" vertical="center"/>
    </xf>
    <xf numFmtId="3" fontId="36" fillId="0" borderId="50" xfId="0" applyNumberFormat="1" applyFont="1" applyBorder="1" applyAlignment="1">
      <alignment horizontal="right" vertical="center"/>
    </xf>
    <xf numFmtId="0" fontId="36" fillId="0" borderId="20" xfId="0" applyFont="1" applyBorder="1" applyAlignment="1">
      <alignment horizontal="center" vertical="top" wrapText="1"/>
    </xf>
    <xf numFmtId="0" fontId="36" fillId="0" borderId="14" xfId="0" applyFont="1" applyBorder="1" applyAlignment="1">
      <alignment horizontal="center" vertical="top" wrapText="1"/>
    </xf>
    <xf numFmtId="0" fontId="36" fillId="0" borderId="43" xfId="0" applyFont="1" applyBorder="1" applyAlignment="1">
      <alignment horizontal="center" vertical="top" wrapText="1"/>
    </xf>
    <xf numFmtId="0" fontId="26" fillId="26" borderId="14" xfId="0" applyFont="1" applyFill="1" applyBorder="1" applyAlignment="1">
      <alignment horizontal="center" vertical="top" wrapText="1"/>
    </xf>
    <xf numFmtId="0" fontId="26" fillId="26" borderId="43" xfId="0" applyFont="1" applyFill="1" applyBorder="1" applyAlignment="1">
      <alignment horizontal="center" vertical="top" wrapText="1"/>
    </xf>
    <xf numFmtId="0" fontId="26" fillId="0" borderId="13" xfId="0" applyFont="1" applyBorder="1" applyAlignment="1">
      <alignment horizontal="center" vertical="top" wrapText="1"/>
    </xf>
    <xf numFmtId="0" fontId="26" fillId="0" borderId="29" xfId="0" applyFont="1" applyBorder="1" applyAlignment="1">
      <alignment horizontal="center" vertical="top" wrapText="1"/>
    </xf>
    <xf numFmtId="0" fontId="26" fillId="0" borderId="42" xfId="0" applyFont="1" applyBorder="1" applyAlignment="1">
      <alignment horizontal="center" vertical="top" wrapText="1"/>
    </xf>
    <xf numFmtId="0" fontId="26" fillId="0" borderId="30" xfId="0" applyFont="1" applyBorder="1" applyAlignment="1">
      <alignment horizontal="center" vertical="top" wrapText="1"/>
    </xf>
    <xf numFmtId="0" fontId="26" fillId="26" borderId="26" xfId="0" applyFont="1" applyFill="1" applyBorder="1" applyAlignment="1">
      <alignment horizontal="center" vertical="top" wrapText="1"/>
    </xf>
    <xf numFmtId="0" fontId="26" fillId="26" borderId="32" xfId="0" applyFont="1" applyFill="1" applyBorder="1" applyAlignment="1">
      <alignment horizontal="center" vertical="top" wrapText="1"/>
    </xf>
    <xf numFmtId="0" fontId="26" fillId="26" borderId="15" xfId="0" applyFont="1" applyFill="1" applyBorder="1" applyAlignment="1">
      <alignment horizontal="center" vertical="top" wrapText="1"/>
    </xf>
    <xf numFmtId="0" fontId="26" fillId="0" borderId="33" xfId="0" applyFont="1" applyBorder="1" applyAlignment="1">
      <alignment horizontal="center" vertical="top" wrapText="1"/>
    </xf>
    <xf numFmtId="0" fontId="26" fillId="0" borderId="0" xfId="0" applyFont="1" applyBorder="1" applyAlignment="1">
      <alignment horizontal="center" vertical="top" wrapText="1"/>
    </xf>
    <xf numFmtId="0" fontId="26" fillId="0" borderId="28" xfId="0" applyFont="1" applyBorder="1" applyAlignment="1">
      <alignment horizontal="center" vertical="top" wrapText="1"/>
    </xf>
    <xf numFmtId="0" fontId="26" fillId="0" borderId="26" xfId="0" applyFont="1" applyBorder="1" applyAlignment="1">
      <alignment horizontal="center" vertical="top" wrapText="1"/>
    </xf>
    <xf numFmtId="0" fontId="26" fillId="0" borderId="32" xfId="0" applyFont="1" applyBorder="1" applyAlignment="1">
      <alignment horizontal="center" vertical="top" wrapText="1"/>
    </xf>
    <xf numFmtId="0" fontId="26" fillId="0" borderId="15" xfId="0" applyFont="1" applyBorder="1" applyAlignment="1">
      <alignment horizontal="center" vertical="top" wrapText="1"/>
    </xf>
    <xf numFmtId="0" fontId="36" fillId="0" borderId="37" xfId="0" applyFont="1" applyBorder="1" applyAlignment="1">
      <alignment horizontal="center" vertical="top" wrapText="1"/>
    </xf>
    <xf numFmtId="0" fontId="36" fillId="0" borderId="46" xfId="0" applyFont="1" applyBorder="1" applyAlignment="1">
      <alignment horizontal="center" vertical="top" wrapText="1"/>
    </xf>
    <xf numFmtId="0" fontId="36" fillId="0" borderId="38" xfId="0" applyFont="1" applyBorder="1" applyAlignment="1">
      <alignment horizontal="center" vertical="top" wrapText="1"/>
    </xf>
    <xf numFmtId="0" fontId="36" fillId="0" borderId="45" xfId="0" applyFont="1" applyBorder="1" applyAlignment="1">
      <alignment horizontal="center" vertical="top" wrapText="1"/>
    </xf>
    <xf numFmtId="0" fontId="36" fillId="0" borderId="26" xfId="0" applyFont="1" applyBorder="1" applyAlignment="1" applyProtection="1">
      <alignment horizontal="center" vertical="top" wrapText="1"/>
    </xf>
    <xf numFmtId="0" fontId="36" fillId="0" borderId="32" xfId="0" applyFont="1" applyBorder="1" applyAlignment="1" applyProtection="1">
      <alignment horizontal="center" vertical="top" wrapText="1"/>
    </xf>
    <xf numFmtId="0" fontId="36" fillId="0" borderId="15" xfId="0" applyFont="1" applyBorder="1" applyAlignment="1" applyProtection="1">
      <alignment horizontal="center" vertical="top" wrapText="1"/>
    </xf>
    <xf numFmtId="0" fontId="37" fillId="0" borderId="24" xfId="0" applyFont="1" applyBorder="1" applyAlignment="1">
      <alignment horizontal="center" vertical="top" wrapText="1"/>
    </xf>
    <xf numFmtId="0" fontId="37" fillId="0" borderId="36" xfId="0" applyFont="1" applyBorder="1" applyAlignment="1">
      <alignment horizontal="center" vertical="top" wrapText="1"/>
    </xf>
    <xf numFmtId="0" fontId="37" fillId="0" borderId="44" xfId="0" applyFont="1" applyBorder="1" applyAlignment="1">
      <alignment horizontal="center" vertical="top" wrapText="1"/>
    </xf>
    <xf numFmtId="0" fontId="37" fillId="26" borderId="31" xfId="0" applyFont="1" applyFill="1" applyBorder="1" applyAlignment="1">
      <alignment horizontal="center" vertical="top" wrapText="1"/>
    </xf>
    <xf numFmtId="0" fontId="37" fillId="26" borderId="34" xfId="0" applyFont="1" applyFill="1" applyBorder="1" applyAlignment="1">
      <alignment horizontal="center" vertical="top" wrapText="1"/>
    </xf>
    <xf numFmtId="0" fontId="37" fillId="26" borderId="27" xfId="0" applyFont="1" applyFill="1" applyBorder="1" applyAlignment="1">
      <alignment horizontal="center" vertical="top" wrapText="1"/>
    </xf>
    <xf numFmtId="0" fontId="26" fillId="26" borderId="13" xfId="0" applyFont="1" applyFill="1" applyBorder="1" applyAlignment="1">
      <alignment horizontal="center" vertical="top" wrapText="1"/>
    </xf>
    <xf numFmtId="0" fontId="26" fillId="26" borderId="32" xfId="0" applyFont="1" applyFill="1" applyBorder="1" applyAlignment="1">
      <alignment horizontal="center" vertical="top"/>
    </xf>
    <xf numFmtId="0" fontId="36" fillId="0" borderId="39" xfId="0" applyFont="1" applyBorder="1" applyAlignment="1">
      <alignment horizontal="center" vertical="top" wrapText="1"/>
    </xf>
    <xf numFmtId="0" fontId="36" fillId="0" borderId="27" xfId="0" applyFont="1" applyBorder="1" applyAlignment="1">
      <alignment horizontal="center" vertical="top" wrapText="1"/>
    </xf>
    <xf numFmtId="0" fontId="36" fillId="0" borderId="40" xfId="0" applyFont="1" applyBorder="1" applyAlignment="1">
      <alignment horizontal="center" vertical="top" wrapText="1"/>
    </xf>
    <xf numFmtId="0" fontId="36" fillId="0" borderId="44" xfId="0" applyFont="1" applyBorder="1" applyAlignment="1">
      <alignment horizontal="center" vertical="top" wrapText="1"/>
    </xf>
    <xf numFmtId="0" fontId="36" fillId="0" borderId="41" xfId="0" applyFont="1" applyBorder="1" applyAlignment="1">
      <alignment horizontal="center" vertical="top" wrapText="1"/>
    </xf>
    <xf numFmtId="0" fontId="36" fillId="0" borderId="47" xfId="0" applyFont="1" applyBorder="1" applyAlignment="1">
      <alignment horizontal="center" vertical="top" wrapText="1"/>
    </xf>
    <xf numFmtId="0" fontId="26" fillId="0" borderId="14" xfId="0" applyFont="1" applyBorder="1" applyAlignment="1">
      <alignment horizontal="center" vertical="center" wrapText="1"/>
    </xf>
    <xf numFmtId="0" fontId="26" fillId="0" borderId="35" xfId="0" applyFont="1" applyBorder="1" applyAlignment="1">
      <alignment horizontal="center" vertical="center" wrapText="1"/>
    </xf>
    <xf numFmtId="0" fontId="26" fillId="0" borderId="43" xfId="0" applyFont="1" applyBorder="1" applyAlignment="1">
      <alignment horizontal="center" vertical="center" wrapText="1"/>
    </xf>
    <xf numFmtId="0" fontId="36" fillId="30" borderId="14" xfId="0" applyFont="1" applyFill="1" applyBorder="1" applyAlignment="1">
      <alignment horizontal="center" vertical="center" wrapText="1"/>
    </xf>
    <xf numFmtId="0" fontId="36" fillId="30" borderId="35" xfId="0" applyFont="1" applyFill="1" applyBorder="1" applyAlignment="1">
      <alignment horizontal="center" vertical="center" wrapText="1"/>
    </xf>
    <xf numFmtId="0" fontId="36" fillId="30" borderId="43" xfId="0" applyFont="1" applyFill="1" applyBorder="1" applyAlignment="1">
      <alignment horizontal="center" vertical="center" wrapText="1"/>
    </xf>
    <xf numFmtId="0" fontId="36" fillId="31" borderId="14" xfId="0" applyFont="1" applyFill="1" applyBorder="1" applyAlignment="1">
      <alignment horizontal="center" vertical="center" wrapText="1"/>
    </xf>
    <xf numFmtId="0" fontId="36" fillId="31" borderId="35" xfId="0" applyFont="1" applyFill="1" applyBorder="1" applyAlignment="1">
      <alignment horizontal="center" vertical="center" wrapText="1"/>
    </xf>
    <xf numFmtId="0" fontId="36" fillId="31" borderId="43" xfId="0" applyFont="1" applyFill="1" applyBorder="1" applyAlignment="1">
      <alignment horizontal="center" vertical="center" wrapText="1"/>
    </xf>
    <xf numFmtId="0" fontId="26" fillId="30" borderId="14" xfId="0" applyFont="1" applyFill="1" applyBorder="1" applyAlignment="1">
      <alignment horizontal="center" vertical="center" wrapText="1"/>
    </xf>
    <xf numFmtId="0" fontId="26" fillId="30" borderId="35" xfId="0" applyFont="1" applyFill="1" applyBorder="1" applyAlignment="1">
      <alignment horizontal="center" vertical="center" wrapText="1"/>
    </xf>
    <xf numFmtId="0" fontId="26" fillId="30" borderId="43" xfId="0" applyFont="1" applyFill="1" applyBorder="1" applyAlignment="1">
      <alignment horizontal="center" vertical="center" wrapText="1"/>
    </xf>
    <xf numFmtId="0" fontId="26" fillId="31" borderId="14" xfId="0" applyFont="1" applyFill="1" applyBorder="1" applyAlignment="1">
      <alignment horizontal="center" vertical="center" wrapText="1"/>
    </xf>
    <xf numFmtId="0" fontId="26" fillId="31" borderId="35" xfId="0" applyFont="1" applyFill="1" applyBorder="1" applyAlignment="1">
      <alignment horizontal="center" vertical="center" wrapText="1"/>
    </xf>
    <xf numFmtId="0" fontId="26" fillId="31" borderId="43" xfId="0" applyFont="1" applyFill="1" applyBorder="1" applyAlignment="1">
      <alignment horizontal="center" vertical="center" wrapText="1"/>
    </xf>
    <xf numFmtId="0" fontId="26" fillId="0" borderId="11" xfId="0" applyFont="1" applyBorder="1" applyAlignment="1">
      <alignment horizontal="center" vertical="top" wrapText="1"/>
    </xf>
    <xf numFmtId="0" fontId="26" fillId="0" borderId="16" xfId="0" applyFont="1" applyBorder="1" applyAlignment="1">
      <alignment horizontal="center" vertical="top" wrapText="1"/>
    </xf>
    <xf numFmtId="0" fontId="26" fillId="0" borderId="16" xfId="0" applyFont="1" applyBorder="1" applyAlignment="1">
      <alignment horizontal="center" vertical="top"/>
    </xf>
    <xf numFmtId="0" fontId="26" fillId="0" borderId="31" xfId="0" applyFont="1" applyBorder="1" applyAlignment="1">
      <alignment horizontal="center" vertical="top"/>
    </xf>
    <xf numFmtId="0" fontId="26" fillId="0" borderId="34" xfId="0" applyFont="1" applyBorder="1" applyAlignment="1">
      <alignment horizontal="center" vertical="top"/>
    </xf>
    <xf numFmtId="0" fontId="26" fillId="0" borderId="20" xfId="0" applyFont="1" applyBorder="1" applyAlignment="1">
      <alignment horizontal="center" vertical="top"/>
    </xf>
    <xf numFmtId="0" fontId="26" fillId="26" borderId="26" xfId="0" applyFont="1" applyFill="1" applyBorder="1" applyAlignment="1">
      <alignment horizontal="center" vertical="center" wrapText="1"/>
    </xf>
    <xf numFmtId="0" fontId="26" fillId="26" borderId="15" xfId="0" applyFont="1" applyFill="1" applyBorder="1" applyAlignment="1">
      <alignment horizontal="center" vertical="center" wrapText="1"/>
    </xf>
    <xf numFmtId="0" fontId="26" fillId="26" borderId="20" xfId="0" applyFont="1" applyFill="1" applyBorder="1" applyAlignment="1">
      <alignment horizontal="center" vertical="center"/>
    </xf>
    <xf numFmtId="0" fontId="26" fillId="26" borderId="20" xfId="0" applyFont="1" applyFill="1" applyBorder="1" applyAlignment="1">
      <alignment horizontal="center" vertical="top" wrapText="1"/>
    </xf>
    <xf numFmtId="0" fontId="50" fillId="0" borderId="26" xfId="0" applyFont="1" applyBorder="1" applyAlignment="1">
      <alignment horizontal="center"/>
    </xf>
    <xf numFmtId="0" fontId="50" fillId="0" borderId="15" xfId="0" applyFont="1" applyBorder="1" applyAlignment="1">
      <alignment horizontal="center"/>
    </xf>
    <xf numFmtId="0" fontId="49" fillId="26" borderId="27" xfId="0" applyFont="1" applyFill="1" applyBorder="1" applyAlignment="1" applyProtection="1">
      <alignment horizontal="center"/>
      <protection locked="0"/>
    </xf>
    <xf numFmtId="0" fontId="49" fillId="26" borderId="28" xfId="0" applyFont="1" applyFill="1" applyBorder="1" applyAlignment="1" applyProtection="1">
      <alignment horizontal="center"/>
      <protection locked="0"/>
    </xf>
    <xf numFmtId="1" fontId="49" fillId="0" borderId="29" xfId="0" applyNumberFormat="1" applyFont="1" applyBorder="1" applyAlignment="1">
      <alignment horizontal="center"/>
    </xf>
    <xf numFmtId="1" fontId="49" fillId="0" borderId="28" xfId="0" applyNumberFormat="1" applyFont="1" applyBorder="1" applyAlignment="1">
      <alignment horizontal="center"/>
    </xf>
    <xf numFmtId="1" fontId="49" fillId="0" borderId="30" xfId="0" applyNumberFormat="1" applyFont="1" applyBorder="1" applyAlignment="1">
      <alignment horizontal="center"/>
    </xf>
    <xf numFmtId="1" fontId="49" fillId="0" borderId="20" xfId="0" applyNumberFormat="1" applyFont="1" applyBorder="1" applyAlignment="1">
      <alignment horizontal="center"/>
    </xf>
    <xf numFmtId="0" fontId="0" fillId="0" borderId="15" xfId="0" applyFont="1" applyBorder="1" applyAlignment="1">
      <alignment horizontal="center" vertical="top" wrapText="1"/>
    </xf>
    <xf numFmtId="0" fontId="26" fillId="0" borderId="17" xfId="0" applyFont="1" applyBorder="1" applyAlignment="1">
      <alignment horizontal="center" vertical="top" wrapText="1"/>
    </xf>
    <xf numFmtId="0" fontId="36" fillId="0" borderId="11" xfId="0" applyFont="1" applyFill="1" applyBorder="1" applyAlignment="1">
      <alignment horizontal="center" vertical="top" wrapText="1"/>
    </xf>
    <xf numFmtId="0" fontId="36" fillId="0" borderId="17" xfId="0" applyFont="1" applyFill="1" applyBorder="1" applyAlignment="1">
      <alignment horizontal="center" vertical="top" wrapText="1"/>
    </xf>
    <xf numFmtId="0" fontId="26" fillId="0" borderId="12" xfId="0" applyFont="1" applyBorder="1" applyAlignment="1">
      <alignment horizontal="center" vertical="top" wrapText="1"/>
    </xf>
    <xf numFmtId="0" fontId="26" fillId="0" borderId="18" xfId="0" applyFont="1" applyBorder="1" applyAlignment="1">
      <alignment horizontal="center" vertical="top" wrapText="1"/>
    </xf>
    <xf numFmtId="0" fontId="26" fillId="0" borderId="11" xfId="0" applyFont="1" applyBorder="1" applyAlignment="1" applyProtection="1">
      <alignment horizontal="center" vertical="top" wrapText="1"/>
    </xf>
    <xf numFmtId="0" fontId="26" fillId="0" borderId="16" xfId="0" applyFont="1" applyBorder="1" applyAlignment="1" applyProtection="1">
      <alignment horizontal="center" vertical="top"/>
    </xf>
    <xf numFmtId="0" fontId="31" fillId="0" borderId="11" xfId="0" applyFont="1" applyBorder="1" applyAlignment="1">
      <alignment horizontal="center" vertical="top"/>
    </xf>
    <xf numFmtId="0" fontId="31" fillId="0" borderId="17" xfId="0" applyFont="1" applyBorder="1" applyAlignment="1">
      <alignment horizontal="center" vertical="top"/>
    </xf>
    <xf numFmtId="0" fontId="36" fillId="0" borderId="11" xfId="0" applyFont="1" applyBorder="1" applyAlignment="1">
      <alignment horizontal="center" vertical="top" wrapText="1"/>
    </xf>
    <xf numFmtId="0" fontId="36" fillId="0" borderId="17" xfId="0" applyFont="1" applyBorder="1" applyAlignment="1">
      <alignment horizontal="center" vertical="top" wrapText="1"/>
    </xf>
    <xf numFmtId="0" fontId="37" fillId="0" borderId="11" xfId="0" applyFont="1" applyBorder="1" applyAlignment="1">
      <alignment horizontal="center" vertical="top" wrapText="1"/>
    </xf>
    <xf numFmtId="0" fontId="37" fillId="0" borderId="17" xfId="0" applyFont="1" applyBorder="1" applyAlignment="1">
      <alignment horizontal="center" vertical="top" wrapText="1"/>
    </xf>
  </cellXfs>
  <cellStyles count="249">
    <cellStyle name="20% - Акцент1 2" xfId="1"/>
    <cellStyle name="20% - Акцент1 3" xfId="2"/>
    <cellStyle name="20% - Акцент1 4" xfId="3"/>
    <cellStyle name="20% - Акцент1 5" xfId="4"/>
    <cellStyle name="20% - Акцент1 6" xfId="5"/>
    <cellStyle name="20% - Акцент2 2" xfId="6"/>
    <cellStyle name="20% - Акцент2 3" xfId="7"/>
    <cellStyle name="20% - Акцент2 4" xfId="8"/>
    <cellStyle name="20% - Акцент2 5" xfId="9"/>
    <cellStyle name="20% - Акцент2 6" xfId="10"/>
    <cellStyle name="20% - Акцент3 2" xfId="11"/>
    <cellStyle name="20% - Акцент3 3" xfId="12"/>
    <cellStyle name="20% - Акцент3 4" xfId="13"/>
    <cellStyle name="20% - Акцент3 5" xfId="14"/>
    <cellStyle name="20% - Акцент3 6" xfId="15"/>
    <cellStyle name="20% - Акцент4 2" xfId="16"/>
    <cellStyle name="20% - Акцент4 3" xfId="17"/>
    <cellStyle name="20% - Акцент4 4" xfId="18"/>
    <cellStyle name="20% - Акцент4 5" xfId="19"/>
    <cellStyle name="20% - Акцент4 6" xfId="20"/>
    <cellStyle name="20% - Акцент5 2" xfId="21"/>
    <cellStyle name="20% - Акцент5 3" xfId="22"/>
    <cellStyle name="20% - Акцент5 4" xfId="23"/>
    <cellStyle name="20% - Акцент5 5" xfId="24"/>
    <cellStyle name="20% - Акцент5 6" xfId="25"/>
    <cellStyle name="20% - Акцент6 2" xfId="26"/>
    <cellStyle name="20% - Акцент6 3" xfId="27"/>
    <cellStyle name="20% - Акцент6 4" xfId="28"/>
    <cellStyle name="20% - Акцент6 5" xfId="29"/>
    <cellStyle name="20% - Акцент6 6" xfId="30"/>
    <cellStyle name="40% - Акцент1 2" xfId="31"/>
    <cellStyle name="40% - Акцент1 3" xfId="32"/>
    <cellStyle name="40% - Акцент1 4" xfId="33"/>
    <cellStyle name="40% - Акцент1 5" xfId="34"/>
    <cellStyle name="40% - Акцент1 6" xfId="35"/>
    <cellStyle name="40% - Акцент2 2" xfId="36"/>
    <cellStyle name="40% - Акцент2 3" xfId="37"/>
    <cellStyle name="40% - Акцент2 4" xfId="38"/>
    <cellStyle name="40% - Акцент2 5" xfId="39"/>
    <cellStyle name="40% - Акцент2 6" xfId="40"/>
    <cellStyle name="40% - Акцент3 2" xfId="41"/>
    <cellStyle name="40% - Акцент3 3" xfId="42"/>
    <cellStyle name="40% - Акцент3 4" xfId="43"/>
    <cellStyle name="40% - Акцент3 5" xfId="44"/>
    <cellStyle name="40% - Акцент3 6" xfId="45"/>
    <cellStyle name="40% - Акцент4 2" xfId="46"/>
    <cellStyle name="40% - Акцент4 3" xfId="47"/>
    <cellStyle name="40% - Акцент4 4" xfId="48"/>
    <cellStyle name="40% - Акцент4 5" xfId="49"/>
    <cellStyle name="40% - Акцент4 6" xfId="50"/>
    <cellStyle name="40% - Акцент5 2" xfId="51"/>
    <cellStyle name="40% - Акцент5 3" xfId="52"/>
    <cellStyle name="40% - Акцент5 4" xfId="53"/>
    <cellStyle name="40% - Акцент5 5" xfId="54"/>
    <cellStyle name="40% - Акцент5 6" xfId="55"/>
    <cellStyle name="40% - Акцент6 2" xfId="56"/>
    <cellStyle name="40% - Акцент6 3" xfId="57"/>
    <cellStyle name="40% - Акцент6 4" xfId="58"/>
    <cellStyle name="40% - Акцент6 5" xfId="59"/>
    <cellStyle name="40% - Акцент6 6" xfId="60"/>
    <cellStyle name="60% - Акцент1 2" xfId="61"/>
    <cellStyle name="60% - Акцент1 3" xfId="62"/>
    <cellStyle name="60% - Акцент1 4" xfId="63"/>
    <cellStyle name="60% - Акцент1 5" xfId="64"/>
    <cellStyle name="60% - Акцент1 6" xfId="65"/>
    <cellStyle name="60% - Акцент2 2" xfId="66"/>
    <cellStyle name="60% - Акцент2 3" xfId="67"/>
    <cellStyle name="60% - Акцент2 4" xfId="68"/>
    <cellStyle name="60% - Акцент2 5" xfId="69"/>
    <cellStyle name="60% - Акцент2 6" xfId="70"/>
    <cellStyle name="60% - Акцент3 2" xfId="71"/>
    <cellStyle name="60% - Акцент3 3" xfId="72"/>
    <cellStyle name="60% - Акцент3 4" xfId="73"/>
    <cellStyle name="60% - Акцент3 5" xfId="74"/>
    <cellStyle name="60% - Акцент3 6" xfId="75"/>
    <cellStyle name="60% - Акцент4 2" xfId="76"/>
    <cellStyle name="60% - Акцент4 3" xfId="77"/>
    <cellStyle name="60% - Акцент4 4" xfId="78"/>
    <cellStyle name="60% - Акцент4 5" xfId="79"/>
    <cellStyle name="60% - Акцент4 6" xfId="80"/>
    <cellStyle name="60% - Акцент5 2" xfId="81"/>
    <cellStyle name="60% - Акцент5 3" xfId="82"/>
    <cellStyle name="60% - Акцент5 4" xfId="83"/>
    <cellStyle name="60% - Акцент5 5" xfId="84"/>
    <cellStyle name="60% - Акцент5 6" xfId="85"/>
    <cellStyle name="60% - Акцент6 2" xfId="86"/>
    <cellStyle name="60% - Акцент6 3" xfId="87"/>
    <cellStyle name="60% - Акцент6 4" xfId="88"/>
    <cellStyle name="60% - Акцент6 5" xfId="89"/>
    <cellStyle name="60% - Акцент6 6" xfId="90"/>
    <cellStyle name="Excel Built-in Explanatory Text" xfId="245"/>
    <cellStyle name="Акцент1 2" xfId="91"/>
    <cellStyle name="Акцент1 3" xfId="92"/>
    <cellStyle name="Акцент1 4" xfId="93"/>
    <cellStyle name="Акцент1 5" xfId="94"/>
    <cellStyle name="Акцент1 6" xfId="95"/>
    <cellStyle name="Акцент2 2" xfId="96"/>
    <cellStyle name="Акцент2 3" xfId="97"/>
    <cellStyle name="Акцент2 4" xfId="98"/>
    <cellStyle name="Акцент2 5" xfId="99"/>
    <cellStyle name="Акцент2 6" xfId="100"/>
    <cellStyle name="Акцент3 2" xfId="101"/>
    <cellStyle name="Акцент3 3" xfId="102"/>
    <cellStyle name="Акцент3 4" xfId="103"/>
    <cellStyle name="Акцент3 5" xfId="104"/>
    <cellStyle name="Акцент3 6" xfId="105"/>
    <cellStyle name="Акцент4 2" xfId="106"/>
    <cellStyle name="Акцент4 3" xfId="107"/>
    <cellStyle name="Акцент4 4" xfId="108"/>
    <cellStyle name="Акцент4 5" xfId="109"/>
    <cellStyle name="Акцент4 6" xfId="110"/>
    <cellStyle name="Акцент5 2" xfId="111"/>
    <cellStyle name="Акцент5 3" xfId="112"/>
    <cellStyle name="Акцент5 4" xfId="113"/>
    <cellStyle name="Акцент5 5" xfId="114"/>
    <cellStyle name="Акцент5 6" xfId="115"/>
    <cellStyle name="Акцент6 2" xfId="116"/>
    <cellStyle name="Акцент6 3" xfId="117"/>
    <cellStyle name="Акцент6 4" xfId="118"/>
    <cellStyle name="Акцент6 5" xfId="119"/>
    <cellStyle name="Акцент6 6" xfId="120"/>
    <cellStyle name="Ввод  2" xfId="121"/>
    <cellStyle name="Ввод  3" xfId="122"/>
    <cellStyle name="Ввод  4" xfId="123"/>
    <cellStyle name="Ввод  5" xfId="124"/>
    <cellStyle name="Ввод  6" xfId="125"/>
    <cellStyle name="Вывод 2" xfId="126"/>
    <cellStyle name="Вывод 3" xfId="127"/>
    <cellStyle name="Вывод 4" xfId="128"/>
    <cellStyle name="Вывод 5" xfId="129"/>
    <cellStyle name="Вывод 6" xfId="130"/>
    <cellStyle name="Вычисление 2" xfId="131"/>
    <cellStyle name="Вычисление 3" xfId="132"/>
    <cellStyle name="Вычисление 4" xfId="133"/>
    <cellStyle name="Вычисление 5" xfId="134"/>
    <cellStyle name="Вычисление 6" xfId="135"/>
    <cellStyle name="Заголовок 1 2" xfId="136"/>
    <cellStyle name="Заголовок 1 3" xfId="137"/>
    <cellStyle name="Заголовок 1 4" xfId="138"/>
    <cellStyle name="Заголовок 1 5" xfId="139"/>
    <cellStyle name="Заголовок 1 6" xfId="140"/>
    <cellStyle name="Заголовок 2 2" xfId="141"/>
    <cellStyle name="Заголовок 2 3" xfId="142"/>
    <cellStyle name="Заголовок 2 4" xfId="143"/>
    <cellStyle name="Заголовок 2 5" xfId="144"/>
    <cellStyle name="Заголовок 2 6" xfId="145"/>
    <cellStyle name="Заголовок 3 2" xfId="146"/>
    <cellStyle name="Заголовок 3 3" xfId="147"/>
    <cellStyle name="Заголовок 3 4" xfId="148"/>
    <cellStyle name="Заголовок 3 5" xfId="149"/>
    <cellStyle name="Заголовок 3 6" xfId="150"/>
    <cellStyle name="Заголовок 4 2" xfId="151"/>
    <cellStyle name="Заголовок 4 3" xfId="152"/>
    <cellStyle name="Заголовок 4 4" xfId="153"/>
    <cellStyle name="Заголовок 4 5" xfId="154"/>
    <cellStyle name="Заголовок 4 6" xfId="155"/>
    <cellStyle name="Итог 2" xfId="156"/>
    <cellStyle name="Итог 3" xfId="157"/>
    <cellStyle name="Итог 4" xfId="158"/>
    <cellStyle name="Итог 5" xfId="159"/>
    <cellStyle name="Итог 6" xfId="160"/>
    <cellStyle name="Контрольная ячейка 2" xfId="161"/>
    <cellStyle name="Контрольная ячейка 3" xfId="162"/>
    <cellStyle name="Контрольная ячейка 4" xfId="163"/>
    <cellStyle name="Контрольная ячейка 5" xfId="164"/>
    <cellStyle name="Контрольная ячейка 6" xfId="165"/>
    <cellStyle name="Название 2" xfId="166"/>
    <cellStyle name="Название 3" xfId="167"/>
    <cellStyle name="Название 4" xfId="168"/>
    <cellStyle name="Название 5" xfId="169"/>
    <cellStyle name="Название 6" xfId="170"/>
    <cellStyle name="Нейтральный 2" xfId="171"/>
    <cellStyle name="Нейтральный 3" xfId="172"/>
    <cellStyle name="Нейтральный 4" xfId="173"/>
    <cellStyle name="Нейтральный 5" xfId="174"/>
    <cellStyle name="Нейтральный 6" xfId="175"/>
    <cellStyle name="Обычный" xfId="0" builtinId="0"/>
    <cellStyle name="Обычный 2" xfId="176"/>
    <cellStyle name="Обычный 3" xfId="177"/>
    <cellStyle name="Обычный 3 2" xfId="178"/>
    <cellStyle name="Обычный 3 2 2" xfId="179"/>
    <cellStyle name="Обычный 3 2 2 2" xfId="180"/>
    <cellStyle name="Обычный 3 2 2 2 2" xfId="181"/>
    <cellStyle name="Обычный 3 2 2 2 2 2" xfId="182"/>
    <cellStyle name="Обычный 3 2 2 2 2 2 2" xfId="183"/>
    <cellStyle name="Обычный 3 2 2 2 2 2 2 2" xfId="184"/>
    <cellStyle name="Обычный 3 2 2 2 2 2 2 2 2" xfId="185"/>
    <cellStyle name="Обычный 3 2 2 2 2 2 2 2 2 2" xfId="186"/>
    <cellStyle name="Обычный 3 2 2 2 2 2 2 2 2 2 2" xfId="187"/>
    <cellStyle name="Обычный 3 2 3" xfId="188"/>
    <cellStyle name="Обычный 3 2 3 2" xfId="189"/>
    <cellStyle name="Обычный 3 2 3 2 2" xfId="190"/>
    <cellStyle name="Обычный 3 2 3 2 2 2" xfId="191"/>
    <cellStyle name="Обычный 3 2 3 2 2 2 2" xfId="192"/>
    <cellStyle name="Обычный 3 2 3 2 2 2 2 2" xfId="193"/>
    <cellStyle name="Обычный 3 2 3 2 2 2 2 2 2" xfId="194"/>
    <cellStyle name="Обычный 3 2 3 2 2 2 2 2 2 2" xfId="195"/>
    <cellStyle name="Обычный 3 2 3 2 2 2 2 2 2 2 2" xfId="196"/>
    <cellStyle name="Обычный 3 2 3 2 2 2 2 2 2 2 2 2" xfId="197"/>
    <cellStyle name="Обычный 3 2 3 2 2 2 2 2 2 2 2 2 2" xfId="198"/>
    <cellStyle name="Обычный 3 2 3 2 2 2 2 2 2 2 2 2 2 2" xfId="199"/>
    <cellStyle name="Обычный 3 2 3 2 2 2 2 2 2 2 2 2 2 2 2" xfId="200"/>
    <cellStyle name="Обычный 3 2 3 2 2 2 2 2 2 2 2 2 2 2 2 2" xfId="201"/>
    <cellStyle name="Обычный 3 2 3 2 2 2 2 2 2 2 2 2 2 2 2 2 2" xfId="202"/>
    <cellStyle name="Обычный 3 2 3 2 2 2 2 2 2 2 2 2 2 2 2 2 2 2" xfId="203"/>
    <cellStyle name="Обычный 3 2 3 2 2 2 2 2 2 2 2 2 2 2 2 2 2 2 2" xfId="204"/>
    <cellStyle name="Обычный 3 2 3 2 2 2 2 2 2 2 2 2 2 2 2 2 2 2 2 2" xfId="205"/>
    <cellStyle name="Обычный 3 2 3 2 2 2 2 2 2 2 2 2 2 2 2 2 2 2 2 2 2" xfId="206"/>
    <cellStyle name="Обычный 3 2 3 2 2 2 2 2 2 2 2 2 2 2 2 2 2 2 2 2 2 2" xfId="242"/>
    <cellStyle name="Обычный 3 2 3 2 2 2 2 2 2 2 2 2 2 2 2 2 2 2 2 2 2 2 2" xfId="241"/>
    <cellStyle name="Обычный 3 2 3 2 2 2 2 2 2 2 2 2 2 2 2 2 2 2 2 2 2 2 2 2" xfId="243"/>
    <cellStyle name="Обычный 3 2 3 2 2 2 2 2 2 2 2 2 2 2 2 2 2 2 2 2 2 2 2 3" xfId="244"/>
    <cellStyle name="Обычный 3 2 3 2 2 2 2 2 2 2 2 2 2 2 2 2 2 2 2 2 2 2 2 3 2" xfId="246"/>
    <cellStyle name="Обычный 3 2 3 2 2 2 2 2 2 2 2 2 2 2 2 2 2 2 2 2 2 2 2 3 2 2" xfId="247"/>
    <cellStyle name="Обычный 3 2 3 2 2 2 2 2 2 2 2 2 2 2 2 2 2 2 2 2 2 2 2 3 2 3" xfId="248"/>
    <cellStyle name="Обычный 4" xfId="207"/>
    <cellStyle name="Обычный 5" xfId="208"/>
    <cellStyle name="Обычный 6" xfId="209"/>
    <cellStyle name="Плохой 2" xfId="210"/>
    <cellStyle name="Плохой 3" xfId="211"/>
    <cellStyle name="Плохой 4" xfId="212"/>
    <cellStyle name="Плохой 5" xfId="213"/>
    <cellStyle name="Плохой 6" xfId="214"/>
    <cellStyle name="Пояснение 2" xfId="215"/>
    <cellStyle name="Пояснение 3" xfId="216"/>
    <cellStyle name="Пояснение 4" xfId="217"/>
    <cellStyle name="Пояснение 5" xfId="218"/>
    <cellStyle name="Пояснение 6" xfId="219"/>
    <cellStyle name="Примечание 2" xfId="220"/>
    <cellStyle name="Примечание 3" xfId="221"/>
    <cellStyle name="Примечание 4" xfId="222"/>
    <cellStyle name="Примечание 5" xfId="223"/>
    <cellStyle name="Примечание 6" xfId="224"/>
    <cellStyle name="Связанная ячейка 2" xfId="225"/>
    <cellStyle name="Связанная ячейка 3" xfId="226"/>
    <cellStyle name="Связанная ячейка 4" xfId="227"/>
    <cellStyle name="Связанная ячейка 5" xfId="228"/>
    <cellStyle name="Связанная ячейка 6" xfId="229"/>
    <cellStyle name="Стиль 1" xfId="230"/>
    <cellStyle name="Текст предупреждения 2" xfId="231"/>
    <cellStyle name="Текст предупреждения 3" xfId="232"/>
    <cellStyle name="Текст предупреждения 4" xfId="233"/>
    <cellStyle name="Текст предупреждения 5" xfId="234"/>
    <cellStyle name="Текст предупреждения 6" xfId="235"/>
    <cellStyle name="Хороший 2" xfId="236"/>
    <cellStyle name="Хороший 3" xfId="237"/>
    <cellStyle name="Хороший 4" xfId="238"/>
    <cellStyle name="Хороший 5" xfId="239"/>
    <cellStyle name="Хороший 6" xfId="240"/>
  </cellStyles>
  <dxfs count="401">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45"/>
          <bgColor indexed="29"/>
        </patternFill>
      </fill>
    </dxf>
    <dxf>
      <font>
        <b val="0"/>
        <condense val="0"/>
        <extend val="0"/>
        <sz val="11"/>
        <color indexed="8"/>
      </font>
      <fill>
        <patternFill patternType="solid">
          <fgColor indexed="26"/>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N178"/>
  <sheetViews>
    <sheetView tabSelected="1" zoomScale="70" zoomScaleNormal="70" zoomScaleSheetLayoutView="40" workbookViewId="0">
      <pane xSplit="1" ySplit="8" topLeftCell="B9" activePane="bottomRight" state="frozen"/>
      <selection pane="topRight" activeCell="B1" sqref="B1"/>
      <selection pane="bottomLeft" activeCell="A9" sqref="A9"/>
      <selection pane="bottomRight" activeCell="B5" sqref="B5:B7"/>
    </sheetView>
  </sheetViews>
  <sheetFormatPr defaultColWidth="9.140625" defaultRowHeight="15" outlineLevelCol="1"/>
  <cols>
    <col min="1" max="1" width="4.28515625" customWidth="1"/>
    <col min="2" max="2" width="77.42578125" customWidth="1"/>
    <col min="3" max="3" width="23.28515625" customWidth="1" outlineLevel="1"/>
    <col min="4" max="4" width="10.28515625" customWidth="1"/>
    <col min="5" max="6" width="10.28515625" hidden="1" customWidth="1" outlineLevel="1"/>
    <col min="7" max="7" width="10.85546875" customWidth="1" collapsed="1"/>
    <col min="8" max="9" width="10.28515625" hidden="1" customWidth="1" outlineLevel="1"/>
    <col min="10" max="10" width="10.28515625" customWidth="1" collapsed="1"/>
    <col min="11" max="12" width="10.28515625" hidden="1" customWidth="1" outlineLevel="1"/>
    <col min="13" max="13" width="9.140625" customWidth="1" collapsed="1"/>
    <col min="14" max="14" width="10.7109375" customWidth="1"/>
    <col min="15" max="15" width="11.28515625" customWidth="1"/>
    <col min="16" max="16" width="10.28515625" hidden="1" customWidth="1" outlineLevel="1"/>
    <col min="17" max="17" width="8.42578125" hidden="1" customWidth="1" outlineLevel="1"/>
    <col min="18" max="18" width="11" hidden="1" customWidth="1" outlineLevel="1"/>
    <col min="19" max="19" width="9.140625" customWidth="1" collapsed="1"/>
    <col min="20" max="20" width="10.7109375" customWidth="1"/>
    <col min="21" max="21" width="10.42578125" customWidth="1"/>
    <col min="22" max="22" width="9.85546875" customWidth="1"/>
    <col min="23" max="24" width="9.140625" customWidth="1"/>
    <col min="25" max="25" width="9.28515625" customWidth="1"/>
    <col min="26" max="27" width="9.7109375" customWidth="1"/>
    <col min="28" max="28" width="12" customWidth="1"/>
    <col min="29" max="29" width="12.7109375" hidden="1" customWidth="1" outlineLevel="1"/>
    <col min="30" max="30" width="10.7109375" customWidth="1" collapsed="1"/>
    <col min="31" max="31" width="10.85546875" customWidth="1"/>
    <col min="32" max="32" width="13.140625" hidden="1" customWidth="1" outlineLevel="1"/>
    <col min="33" max="33" width="9.140625" hidden="1" customWidth="1" outlineLevel="1" collapsed="1"/>
    <col min="34" max="34" width="10" hidden="1" customWidth="1" outlineLevel="1"/>
    <col min="35" max="35" width="9.140625" hidden="1" customWidth="1" outlineLevel="1"/>
    <col min="36" max="36" width="11.85546875" customWidth="1" collapsed="1"/>
    <col min="37" max="38" width="11.85546875" customWidth="1"/>
    <col min="39" max="39" width="10.7109375" customWidth="1"/>
  </cols>
  <sheetData>
    <row r="1" spans="1:39" ht="20.100000000000001" customHeight="1">
      <c r="A1" s="3"/>
      <c r="B1" s="3"/>
      <c r="C1" s="3"/>
      <c r="D1" s="3"/>
      <c r="E1" s="3"/>
      <c r="F1" s="3"/>
      <c r="G1" s="3"/>
      <c r="H1" s="3"/>
      <c r="I1" s="3"/>
      <c r="J1" s="3"/>
      <c r="K1" s="3"/>
      <c r="L1" s="3"/>
      <c r="M1" s="3"/>
      <c r="N1" s="3"/>
      <c r="O1" s="3"/>
      <c r="P1" s="4"/>
      <c r="Q1" s="4"/>
      <c r="R1" s="4"/>
      <c r="S1" s="120" t="s">
        <v>0</v>
      </c>
      <c r="T1" s="4"/>
      <c r="U1" s="4"/>
      <c r="V1" s="4" t="s">
        <v>313</v>
      </c>
      <c r="W1" s="4"/>
      <c r="X1" s="4"/>
      <c r="Y1" s="4"/>
      <c r="Z1" s="4"/>
      <c r="AA1" s="4"/>
      <c r="AB1" s="3"/>
      <c r="AC1" s="3"/>
      <c r="AD1" s="3"/>
      <c r="AE1" s="3"/>
      <c r="AF1" s="3"/>
      <c r="AG1" s="3"/>
      <c r="AH1" s="3"/>
      <c r="AI1" s="3"/>
      <c r="AJ1" s="3"/>
      <c r="AK1" s="3"/>
      <c r="AL1" s="3"/>
    </row>
    <row r="2" spans="1:39" ht="25.9" customHeight="1">
      <c r="A2" s="3"/>
      <c r="B2" s="121"/>
      <c r="C2" s="121"/>
      <c r="D2" s="121"/>
      <c r="E2" s="121"/>
      <c r="F2" s="121"/>
      <c r="G2" s="121"/>
      <c r="H2" s="121"/>
      <c r="I2" s="121"/>
      <c r="J2" s="121"/>
      <c r="K2" s="121"/>
      <c r="L2" s="121"/>
      <c r="M2" s="122" t="s">
        <v>314</v>
      </c>
      <c r="N2" s="123"/>
      <c r="O2" s="123"/>
      <c r="P2" s="4"/>
      <c r="Q2" s="4"/>
      <c r="R2" s="4"/>
      <c r="S2" s="4"/>
      <c r="T2" s="4"/>
      <c r="U2" s="4"/>
      <c r="V2" s="4"/>
      <c r="W2" s="4"/>
      <c r="X2" s="4"/>
      <c r="Y2" s="4"/>
      <c r="Z2" s="4"/>
      <c r="AA2" s="4"/>
      <c r="AB2" s="4"/>
      <c r="AC2" s="3"/>
      <c r="AD2" s="3"/>
      <c r="AE2" s="3"/>
      <c r="AF2" s="3"/>
      <c r="AG2" s="3"/>
      <c r="AH2" s="3"/>
      <c r="AI2" s="3"/>
      <c r="AJ2" s="3"/>
      <c r="AK2" s="3"/>
      <c r="AL2" s="3"/>
    </row>
    <row r="3" spans="1:39" ht="60" customHeight="1">
      <c r="A3" s="3"/>
      <c r="B3" s="124">
        <v>45625</v>
      </c>
      <c r="C3" s="124"/>
      <c r="D3" s="124"/>
      <c r="E3" s="124"/>
      <c r="F3" s="124"/>
      <c r="G3" s="124"/>
      <c r="H3" s="124"/>
      <c r="I3" s="124"/>
      <c r="J3" s="124"/>
      <c r="K3" s="124"/>
      <c r="L3" s="124"/>
      <c r="M3" s="124"/>
      <c r="N3" s="124"/>
      <c r="O3" s="124"/>
      <c r="P3" s="125"/>
      <c r="Q3" s="125"/>
      <c r="R3" s="125"/>
      <c r="S3" s="299" t="s">
        <v>315</v>
      </c>
      <c r="T3" s="300"/>
      <c r="U3" s="126" t="s">
        <v>316</v>
      </c>
      <c r="V3" s="127" t="s">
        <v>317</v>
      </c>
      <c r="W3" s="301" t="s">
        <v>318</v>
      </c>
      <c r="X3" s="301"/>
      <c r="Y3" s="302" t="s">
        <v>7</v>
      </c>
      <c r="Z3" s="302"/>
      <c r="AA3" s="302"/>
      <c r="AB3" s="302"/>
      <c r="AC3" s="128"/>
      <c r="AD3" s="302" t="s">
        <v>8</v>
      </c>
      <c r="AE3" s="302"/>
      <c r="AF3" s="3"/>
      <c r="AG3" s="3"/>
      <c r="AH3" s="3"/>
      <c r="AI3" s="3"/>
      <c r="AJ3" s="3"/>
      <c r="AK3" s="3"/>
      <c r="AL3" s="3"/>
    </row>
    <row r="4" spans="1:39" ht="15" customHeight="1">
      <c r="A4" s="3"/>
      <c r="B4" s="3" t="s">
        <v>313</v>
      </c>
      <c r="C4" s="3"/>
      <c r="D4" s="3"/>
      <c r="E4" s="3"/>
      <c r="F4" s="3"/>
      <c r="G4" s="3"/>
      <c r="H4" s="3"/>
      <c r="I4" s="3"/>
      <c r="J4" s="3"/>
      <c r="K4" s="3"/>
      <c r="L4" s="3"/>
      <c r="M4" s="3"/>
      <c r="N4" s="3"/>
      <c r="O4" s="3"/>
      <c r="P4" s="3"/>
      <c r="Q4" s="3"/>
      <c r="R4" s="3"/>
      <c r="S4" s="303" t="s">
        <v>9</v>
      </c>
      <c r="T4" s="304"/>
      <c r="U4" s="129">
        <v>21</v>
      </c>
      <c r="V4" s="130">
        <v>20</v>
      </c>
      <c r="W4" s="305">
        <f>U4-V4</f>
        <v>1</v>
      </c>
      <c r="X4" s="306"/>
      <c r="Y4" s="307">
        <f>IF(U4&gt;0,ROUND((V4/U4)*100,0),0)</f>
        <v>95</v>
      </c>
      <c r="Z4" s="308"/>
      <c r="AA4" s="308"/>
      <c r="AB4" s="309"/>
      <c r="AC4" s="128"/>
      <c r="AD4" s="310">
        <f>IF(U4&gt;0,ROUND((V4/U4)*100,0),0)</f>
        <v>95</v>
      </c>
      <c r="AE4" s="310"/>
      <c r="AF4" s="3"/>
      <c r="AG4" s="3"/>
      <c r="AH4" s="3"/>
      <c r="AI4" s="3"/>
      <c r="AJ4" s="3"/>
      <c r="AK4" s="3"/>
      <c r="AL4" s="3"/>
    </row>
    <row r="5" spans="1:39" ht="45" customHeight="1">
      <c r="A5" s="293" t="s">
        <v>10</v>
      </c>
      <c r="B5" s="296" t="s">
        <v>11</v>
      </c>
      <c r="C5" s="298" t="s">
        <v>319</v>
      </c>
      <c r="D5" s="278" t="s">
        <v>320</v>
      </c>
      <c r="E5" s="287" t="s">
        <v>321</v>
      </c>
      <c r="F5" s="290" t="s">
        <v>322</v>
      </c>
      <c r="G5" s="278" t="s">
        <v>323</v>
      </c>
      <c r="H5" s="281" t="s">
        <v>324</v>
      </c>
      <c r="I5" s="284" t="s">
        <v>325</v>
      </c>
      <c r="J5" s="278" t="s">
        <v>326</v>
      </c>
      <c r="K5" s="287" t="s">
        <v>327</v>
      </c>
      <c r="L5" s="290" t="s">
        <v>328</v>
      </c>
      <c r="M5" s="261" t="s">
        <v>329</v>
      </c>
      <c r="N5" s="262"/>
      <c r="O5" s="263"/>
      <c r="P5" s="264" t="s">
        <v>14</v>
      </c>
      <c r="Q5" s="24" t="s">
        <v>15</v>
      </c>
      <c r="R5" s="267" t="s">
        <v>330</v>
      </c>
      <c r="S5" s="270" t="s">
        <v>331</v>
      </c>
      <c r="T5" s="271"/>
      <c r="U5" s="271"/>
      <c r="V5" s="248" t="s">
        <v>332</v>
      </c>
      <c r="W5" s="249"/>
      <c r="X5" s="249"/>
      <c r="Y5" s="248" t="s">
        <v>333</v>
      </c>
      <c r="Z5" s="249"/>
      <c r="AA5" s="250"/>
      <c r="AB5" s="248" t="s">
        <v>334</v>
      </c>
      <c r="AC5" s="249"/>
      <c r="AD5" s="249"/>
      <c r="AE5" s="250"/>
      <c r="AF5" s="251" t="s">
        <v>27</v>
      </c>
      <c r="AG5" s="254" t="s">
        <v>335</v>
      </c>
      <c r="AH5" s="255"/>
      <c r="AI5" s="256"/>
      <c r="AJ5" s="254" t="s">
        <v>336</v>
      </c>
      <c r="AK5" s="255"/>
      <c r="AL5" s="255"/>
    </row>
    <row r="6" spans="1:39" ht="17.25" customHeight="1">
      <c r="A6" s="294"/>
      <c r="B6" s="297"/>
      <c r="C6" s="298"/>
      <c r="D6" s="279"/>
      <c r="E6" s="288"/>
      <c r="F6" s="291"/>
      <c r="G6" s="279"/>
      <c r="H6" s="282"/>
      <c r="I6" s="285"/>
      <c r="J6" s="279"/>
      <c r="K6" s="288"/>
      <c r="L6" s="291"/>
      <c r="M6" s="240" t="s">
        <v>4</v>
      </c>
      <c r="N6" s="240" t="s">
        <v>337</v>
      </c>
      <c r="O6" s="240" t="s">
        <v>338</v>
      </c>
      <c r="P6" s="265"/>
      <c r="Q6" s="131"/>
      <c r="R6" s="268"/>
      <c r="S6" s="132" t="s">
        <v>4</v>
      </c>
      <c r="T6" s="257" t="s">
        <v>339</v>
      </c>
      <c r="U6" s="259" t="s">
        <v>340</v>
      </c>
      <c r="V6" s="133" t="s">
        <v>4</v>
      </c>
      <c r="W6" s="259" t="s">
        <v>339</v>
      </c>
      <c r="X6" s="272" t="s">
        <v>340</v>
      </c>
      <c r="Y6" s="239" t="s">
        <v>316</v>
      </c>
      <c r="Z6" s="274" t="s">
        <v>339</v>
      </c>
      <c r="AA6" s="276" t="s">
        <v>340</v>
      </c>
      <c r="AB6" s="240" t="s">
        <v>341</v>
      </c>
      <c r="AC6" s="134"/>
      <c r="AD6" s="242" t="s">
        <v>342</v>
      </c>
      <c r="AE6" s="240" t="s">
        <v>343</v>
      </c>
      <c r="AF6" s="252"/>
      <c r="AG6" s="244" t="s">
        <v>4</v>
      </c>
      <c r="AH6" s="135" t="s">
        <v>344</v>
      </c>
      <c r="AI6" s="136" t="s">
        <v>345</v>
      </c>
      <c r="AJ6" s="246" t="s">
        <v>4</v>
      </c>
      <c r="AK6" s="240" t="s">
        <v>339</v>
      </c>
      <c r="AL6" s="239" t="s">
        <v>340</v>
      </c>
    </row>
    <row r="7" spans="1:39" ht="30" customHeight="1">
      <c r="A7" s="295"/>
      <c r="B7" s="297"/>
      <c r="C7" s="298"/>
      <c r="D7" s="280"/>
      <c r="E7" s="289"/>
      <c r="F7" s="292"/>
      <c r="G7" s="280"/>
      <c r="H7" s="283"/>
      <c r="I7" s="286"/>
      <c r="J7" s="280"/>
      <c r="K7" s="289"/>
      <c r="L7" s="292"/>
      <c r="M7" s="241"/>
      <c r="N7" s="241"/>
      <c r="O7" s="241"/>
      <c r="P7" s="266"/>
      <c r="Q7" s="137"/>
      <c r="R7" s="269"/>
      <c r="S7" s="138"/>
      <c r="T7" s="258"/>
      <c r="U7" s="260"/>
      <c r="V7" s="133"/>
      <c r="W7" s="260"/>
      <c r="X7" s="273"/>
      <c r="Y7" s="239"/>
      <c r="Z7" s="275"/>
      <c r="AA7" s="277"/>
      <c r="AB7" s="241"/>
      <c r="AC7" s="134"/>
      <c r="AD7" s="243"/>
      <c r="AE7" s="241"/>
      <c r="AF7" s="253"/>
      <c r="AG7" s="245"/>
      <c r="AH7" s="139" t="s">
        <v>346</v>
      </c>
      <c r="AI7" s="140"/>
      <c r="AJ7" s="247"/>
      <c r="AK7" s="241"/>
      <c r="AL7" s="239"/>
    </row>
    <row r="8" spans="1:39" ht="20.25" customHeight="1">
      <c r="A8" s="141">
        <v>1</v>
      </c>
      <c r="B8" s="141">
        <v>2</v>
      </c>
      <c r="C8" s="141">
        <v>3</v>
      </c>
      <c r="D8" s="141">
        <v>4</v>
      </c>
      <c r="E8" s="141"/>
      <c r="F8" s="141"/>
      <c r="G8" s="141">
        <v>5</v>
      </c>
      <c r="H8" s="141"/>
      <c r="I8" s="141"/>
      <c r="J8" s="141">
        <v>6</v>
      </c>
      <c r="K8" s="141"/>
      <c r="L8" s="141"/>
      <c r="M8" s="141">
        <v>7</v>
      </c>
      <c r="N8" s="141">
        <v>8</v>
      </c>
      <c r="O8" s="141">
        <v>9</v>
      </c>
      <c r="P8" s="141">
        <v>10</v>
      </c>
      <c r="Q8" s="141">
        <v>11</v>
      </c>
      <c r="R8" s="141">
        <v>12</v>
      </c>
      <c r="S8" s="141">
        <v>13</v>
      </c>
      <c r="T8" s="141">
        <v>14</v>
      </c>
      <c r="U8" s="141">
        <v>15</v>
      </c>
      <c r="V8" s="141">
        <v>16</v>
      </c>
      <c r="W8" s="141">
        <v>17</v>
      </c>
      <c r="X8" s="141">
        <v>18</v>
      </c>
      <c r="Y8" s="141">
        <v>19</v>
      </c>
      <c r="Z8" s="141">
        <v>20</v>
      </c>
      <c r="AA8" s="141">
        <v>21</v>
      </c>
      <c r="AB8" s="141">
        <v>22</v>
      </c>
      <c r="AC8" s="141">
        <v>23</v>
      </c>
      <c r="AD8" s="141">
        <v>24</v>
      </c>
      <c r="AE8" s="141">
        <v>25</v>
      </c>
      <c r="AF8" s="141">
        <v>26</v>
      </c>
      <c r="AG8" s="141">
        <v>27</v>
      </c>
      <c r="AH8" s="141">
        <v>28</v>
      </c>
      <c r="AI8" s="141">
        <v>29</v>
      </c>
      <c r="AJ8" s="141">
        <v>30</v>
      </c>
      <c r="AK8" s="141">
        <v>31</v>
      </c>
      <c r="AL8" s="141">
        <v>32</v>
      </c>
    </row>
    <row r="9" spans="1:39" ht="20.25" customHeight="1">
      <c r="A9" s="142" t="s">
        <v>347</v>
      </c>
      <c r="B9" s="99"/>
      <c r="C9" s="99"/>
      <c r="D9" s="143"/>
      <c r="E9" s="143"/>
      <c r="F9" s="143"/>
      <c r="G9" s="143"/>
      <c r="H9" s="143"/>
      <c r="I9" s="143"/>
      <c r="J9" s="143"/>
      <c r="K9" s="143"/>
      <c r="L9" s="143"/>
      <c r="M9" s="144"/>
      <c r="N9" s="144"/>
      <c r="O9" s="144"/>
      <c r="P9" s="144"/>
      <c r="Q9" s="144"/>
      <c r="R9" s="144"/>
      <c r="S9" s="145"/>
      <c r="T9" s="145"/>
      <c r="U9" s="145"/>
      <c r="V9" s="145"/>
      <c r="W9" s="145"/>
      <c r="X9" s="145"/>
      <c r="Y9" s="145"/>
      <c r="Z9" s="145"/>
      <c r="AA9" s="145"/>
      <c r="AB9" s="145"/>
      <c r="AC9" s="145"/>
      <c r="AD9" s="145"/>
      <c r="AE9" s="145"/>
      <c r="AF9" s="145"/>
      <c r="AG9" s="145"/>
      <c r="AH9" s="145"/>
      <c r="AI9" s="145"/>
      <c r="AJ9" s="145"/>
      <c r="AK9" s="145"/>
      <c r="AL9" s="145"/>
    </row>
    <row r="10" spans="1:39" ht="20.25" customHeight="1">
      <c r="A10" s="146" t="s">
        <v>348</v>
      </c>
      <c r="B10" s="147"/>
      <c r="C10" s="147"/>
      <c r="D10" s="148"/>
      <c r="E10" s="148"/>
      <c r="F10" s="148"/>
      <c r="G10" s="148"/>
      <c r="H10" s="148"/>
      <c r="I10" s="148"/>
      <c r="J10" s="148"/>
      <c r="K10" s="148"/>
      <c r="L10" s="148"/>
      <c r="M10" s="149"/>
      <c r="N10" s="149"/>
      <c r="O10" s="149"/>
      <c r="P10" s="149"/>
      <c r="Q10" s="149"/>
      <c r="R10" s="149"/>
      <c r="S10" s="150"/>
      <c r="T10" s="150"/>
      <c r="U10" s="150"/>
      <c r="V10" s="150"/>
      <c r="W10" s="150"/>
      <c r="X10" s="150"/>
      <c r="Y10" s="150"/>
      <c r="Z10" s="150"/>
      <c r="AA10" s="150"/>
      <c r="AB10" s="150"/>
      <c r="AC10" s="150"/>
      <c r="AD10" s="150"/>
      <c r="AE10" s="150"/>
      <c r="AF10" s="150"/>
      <c r="AG10" s="150"/>
      <c r="AH10" s="150"/>
      <c r="AI10" s="150"/>
      <c r="AJ10" s="150"/>
      <c r="AK10" s="150"/>
      <c r="AL10" s="150"/>
    </row>
    <row r="11" spans="1:39" ht="19.5" customHeight="1">
      <c r="A11" s="151">
        <v>1</v>
      </c>
      <c r="B11" s="152" t="s">
        <v>349</v>
      </c>
      <c r="C11" s="152" t="s">
        <v>350</v>
      </c>
      <c r="D11" s="153">
        <f>F11+E11</f>
        <v>0</v>
      </c>
      <c r="E11" s="153"/>
      <c r="F11" s="153"/>
      <c r="G11" s="154">
        <f>H11+I11</f>
        <v>2500</v>
      </c>
      <c r="H11" s="154">
        <v>2500</v>
      </c>
      <c r="I11" s="154"/>
      <c r="J11" s="154">
        <f>K11+L11</f>
        <v>1000</v>
      </c>
      <c r="K11" s="154">
        <v>1000</v>
      </c>
      <c r="L11" s="153"/>
      <c r="M11" s="155">
        <f>N11+O11</f>
        <v>3500</v>
      </c>
      <c r="N11" s="155">
        <f>E11+H11+K11</f>
        <v>3500</v>
      </c>
      <c r="O11" s="155">
        <f>F11+I11+L11</f>
        <v>0</v>
      </c>
      <c r="P11" s="156">
        <v>0</v>
      </c>
      <c r="Q11" s="156"/>
      <c r="R11" s="157" t="e">
        <f>#REF!*P11</f>
        <v>#REF!</v>
      </c>
      <c r="S11" s="91">
        <f t="shared" ref="S11:S42" si="0">T11+U11</f>
        <v>120</v>
      </c>
      <c r="T11" s="91">
        <f>30+90</f>
        <v>120</v>
      </c>
      <c r="U11" s="91"/>
      <c r="V11" s="91">
        <f>W11+X11</f>
        <v>3500</v>
      </c>
      <c r="W11" s="91">
        <f>400+120+400+720+520+20+100+860+180+60+30+90</f>
        <v>3500</v>
      </c>
      <c r="X11" s="91"/>
      <c r="Y11" s="58">
        <f t="shared" ref="Y11:AA26" si="1">IF(M11&gt;0,ROUND((V11/M11)*100,0),0)</f>
        <v>100</v>
      </c>
      <c r="Z11" s="58">
        <f t="shared" si="1"/>
        <v>100</v>
      </c>
      <c r="AA11" s="58">
        <f t="shared" si="1"/>
        <v>0</v>
      </c>
      <c r="AB11" s="91">
        <f>400+120+400+720+520+20+100+860+180+60</f>
        <v>3380</v>
      </c>
      <c r="AC11" s="58" t="e">
        <f>#REF!*P11</f>
        <v>#REF!</v>
      </c>
      <c r="AD11" s="158">
        <f>IF(M11&gt;0,ROUND((AB11/M11)*100,0),0)</f>
        <v>97</v>
      </c>
      <c r="AE11" s="58">
        <f t="shared" ref="AE11:AE42" si="2">W11-AB11</f>
        <v>120</v>
      </c>
      <c r="AF11" s="58" t="e">
        <f>#REF!*P11</f>
        <v>#REF!</v>
      </c>
      <c r="AG11" s="58">
        <f>AH11+AI11</f>
        <v>0</v>
      </c>
      <c r="AH11" s="58"/>
      <c r="AI11" s="58"/>
      <c r="AJ11" s="58">
        <f t="shared" ref="AJ11:AJ42" si="3">AK11+AL11</f>
        <v>0</v>
      </c>
      <c r="AK11" s="58">
        <f t="shared" ref="AK11:AL26" si="4">N11-W11</f>
        <v>0</v>
      </c>
      <c r="AL11" s="58">
        <f t="shared" si="4"/>
        <v>0</v>
      </c>
      <c r="AM11" s="159"/>
    </row>
    <row r="12" spans="1:39" ht="19.5" customHeight="1">
      <c r="A12" s="151">
        <v>2</v>
      </c>
      <c r="B12" s="152" t="s">
        <v>351</v>
      </c>
      <c r="C12" s="152"/>
      <c r="D12" s="153">
        <f t="shared" ref="D12:D41" si="5">F12+E12</f>
        <v>0</v>
      </c>
      <c r="E12" s="153"/>
      <c r="F12" s="153"/>
      <c r="G12" s="154">
        <f t="shared" ref="G12:G40" si="6">H12+I12</f>
        <v>400</v>
      </c>
      <c r="H12" s="154">
        <v>400</v>
      </c>
      <c r="I12" s="154"/>
      <c r="J12" s="154">
        <f t="shared" ref="J12:J42" si="7">K12+L12</f>
        <v>0</v>
      </c>
      <c r="K12" s="154"/>
      <c r="L12" s="153"/>
      <c r="M12" s="155">
        <f t="shared" ref="M12:M41" si="8">N12+O12</f>
        <v>400</v>
      </c>
      <c r="N12" s="155">
        <f t="shared" ref="N12:O41" si="9">E12+H12+K12</f>
        <v>400</v>
      </c>
      <c r="O12" s="155">
        <f t="shared" si="9"/>
        <v>0</v>
      </c>
      <c r="P12" s="156">
        <v>0</v>
      </c>
      <c r="Q12" s="156"/>
      <c r="R12" s="157" t="e">
        <f>#REF!*P12</f>
        <v>#REF!</v>
      </c>
      <c r="S12" s="91">
        <f t="shared" si="0"/>
        <v>0</v>
      </c>
      <c r="T12" s="91"/>
      <c r="U12" s="91"/>
      <c r="V12" s="91">
        <f t="shared" ref="V12:V42" si="10">W12+X12</f>
        <v>260</v>
      </c>
      <c r="W12" s="91">
        <f>20+160+60+20</f>
        <v>260</v>
      </c>
      <c r="X12" s="91"/>
      <c r="Y12" s="58">
        <f t="shared" si="1"/>
        <v>65</v>
      </c>
      <c r="Z12" s="58">
        <f t="shared" si="1"/>
        <v>65</v>
      </c>
      <c r="AA12" s="58">
        <f t="shared" si="1"/>
        <v>0</v>
      </c>
      <c r="AB12" s="91">
        <f>20+160+60+20</f>
        <v>260</v>
      </c>
      <c r="AC12" s="58" t="e">
        <f>#REF!*P12</f>
        <v>#REF!</v>
      </c>
      <c r="AD12" s="158">
        <f t="shared" ref="AD12:AD42" si="11">IF(M12&gt;0,ROUND((AB12/M12)*100,0),0)</f>
        <v>65</v>
      </c>
      <c r="AE12" s="58">
        <f t="shared" si="2"/>
        <v>0</v>
      </c>
      <c r="AF12" s="58" t="e">
        <f>#REF!*P12</f>
        <v>#REF!</v>
      </c>
      <c r="AG12" s="58">
        <f t="shared" ref="AG12:AG42" si="12">AH12+AI12</f>
        <v>0</v>
      </c>
      <c r="AH12" s="58"/>
      <c r="AI12" s="58"/>
      <c r="AJ12" s="58">
        <f t="shared" si="3"/>
        <v>140</v>
      </c>
      <c r="AK12" s="58">
        <f t="shared" si="4"/>
        <v>140</v>
      </c>
      <c r="AL12" s="58">
        <f t="shared" si="4"/>
        <v>0</v>
      </c>
      <c r="AM12" s="159"/>
    </row>
    <row r="13" spans="1:39" ht="19.5" customHeight="1">
      <c r="A13" s="151">
        <v>3</v>
      </c>
      <c r="B13" s="160" t="s">
        <v>352</v>
      </c>
      <c r="C13" s="160"/>
      <c r="D13" s="153">
        <f t="shared" si="5"/>
        <v>0</v>
      </c>
      <c r="E13" s="161"/>
      <c r="F13" s="161"/>
      <c r="G13" s="154">
        <f t="shared" si="6"/>
        <v>3000</v>
      </c>
      <c r="H13" s="154">
        <v>3000</v>
      </c>
      <c r="I13" s="154"/>
      <c r="J13" s="154">
        <f t="shared" si="7"/>
        <v>0</v>
      </c>
      <c r="K13" s="154"/>
      <c r="L13" s="161"/>
      <c r="M13" s="155">
        <f t="shared" si="8"/>
        <v>3000</v>
      </c>
      <c r="N13" s="155">
        <f t="shared" si="9"/>
        <v>3000</v>
      </c>
      <c r="O13" s="155">
        <f t="shared" si="9"/>
        <v>0</v>
      </c>
      <c r="P13" s="156">
        <v>0</v>
      </c>
      <c r="Q13" s="156"/>
      <c r="R13" s="157" t="e">
        <f>#REF!*P13</f>
        <v>#REF!</v>
      </c>
      <c r="S13" s="91">
        <f t="shared" si="0"/>
        <v>0</v>
      </c>
      <c r="T13" s="91"/>
      <c r="U13" s="91"/>
      <c r="V13" s="91">
        <f t="shared" si="10"/>
        <v>3000</v>
      </c>
      <c r="W13" s="91">
        <f>48+72+912+1608+360</f>
        <v>3000</v>
      </c>
      <c r="X13" s="91"/>
      <c r="Y13" s="58">
        <f t="shared" si="1"/>
        <v>100</v>
      </c>
      <c r="Z13" s="58">
        <f t="shared" si="1"/>
        <v>100</v>
      </c>
      <c r="AA13" s="58">
        <f t="shared" si="1"/>
        <v>0</v>
      </c>
      <c r="AB13" s="91">
        <f>48+72+912+1608+360</f>
        <v>3000</v>
      </c>
      <c r="AC13" s="58" t="e">
        <f>#REF!*P13</f>
        <v>#REF!</v>
      </c>
      <c r="AD13" s="158">
        <f t="shared" si="11"/>
        <v>100</v>
      </c>
      <c r="AE13" s="58">
        <f t="shared" si="2"/>
        <v>0</v>
      </c>
      <c r="AF13" s="58" t="e">
        <f>#REF!*P13</f>
        <v>#REF!</v>
      </c>
      <c r="AG13" s="58">
        <f t="shared" si="12"/>
        <v>0</v>
      </c>
      <c r="AH13" s="58"/>
      <c r="AI13" s="58"/>
      <c r="AJ13" s="58">
        <f t="shared" si="3"/>
        <v>0</v>
      </c>
      <c r="AK13" s="58">
        <f t="shared" si="4"/>
        <v>0</v>
      </c>
      <c r="AL13" s="58">
        <f t="shared" si="4"/>
        <v>0</v>
      </c>
      <c r="AM13" s="159"/>
    </row>
    <row r="14" spans="1:39" ht="19.5" customHeight="1">
      <c r="A14" s="151">
        <v>4</v>
      </c>
      <c r="B14" s="160" t="s">
        <v>353</v>
      </c>
      <c r="C14" s="160" t="s">
        <v>350</v>
      </c>
      <c r="D14" s="153">
        <f t="shared" si="5"/>
        <v>0</v>
      </c>
      <c r="E14" s="161"/>
      <c r="F14" s="161"/>
      <c r="G14" s="154">
        <f t="shared" si="6"/>
        <v>250</v>
      </c>
      <c r="H14" s="154">
        <v>250</v>
      </c>
      <c r="I14" s="154"/>
      <c r="J14" s="154">
        <f t="shared" si="7"/>
        <v>130</v>
      </c>
      <c r="K14" s="154">
        <v>130</v>
      </c>
      <c r="L14" s="161"/>
      <c r="M14" s="155">
        <f t="shared" si="8"/>
        <v>380</v>
      </c>
      <c r="N14" s="155">
        <f t="shared" si="9"/>
        <v>380</v>
      </c>
      <c r="O14" s="155">
        <f t="shared" si="9"/>
        <v>0</v>
      </c>
      <c r="P14" s="156">
        <v>0</v>
      </c>
      <c r="Q14" s="156"/>
      <c r="R14" s="157" t="e">
        <f>#REF!*P14</f>
        <v>#REF!</v>
      </c>
      <c r="S14" s="91">
        <f t="shared" si="0"/>
        <v>0</v>
      </c>
      <c r="T14" s="91"/>
      <c r="U14" s="91"/>
      <c r="V14" s="91">
        <f t="shared" si="10"/>
        <v>380</v>
      </c>
      <c r="W14" s="91">
        <f>240+140</f>
        <v>380</v>
      </c>
      <c r="X14" s="91"/>
      <c r="Y14" s="58">
        <f t="shared" si="1"/>
        <v>100</v>
      </c>
      <c r="Z14" s="58">
        <f t="shared" si="1"/>
        <v>100</v>
      </c>
      <c r="AA14" s="58">
        <f t="shared" si="1"/>
        <v>0</v>
      </c>
      <c r="AB14" s="91">
        <f>240+140</f>
        <v>380</v>
      </c>
      <c r="AC14" s="58" t="e">
        <f>#REF!*P14</f>
        <v>#REF!</v>
      </c>
      <c r="AD14" s="158">
        <f t="shared" si="11"/>
        <v>100</v>
      </c>
      <c r="AE14" s="58">
        <f t="shared" si="2"/>
        <v>0</v>
      </c>
      <c r="AF14" s="58" t="e">
        <f>#REF!*P14</f>
        <v>#REF!</v>
      </c>
      <c r="AG14" s="58">
        <f t="shared" si="12"/>
        <v>0</v>
      </c>
      <c r="AH14" s="58"/>
      <c r="AI14" s="58"/>
      <c r="AJ14" s="58">
        <f t="shared" si="3"/>
        <v>0</v>
      </c>
      <c r="AK14" s="58">
        <f t="shared" si="4"/>
        <v>0</v>
      </c>
      <c r="AL14" s="58">
        <f t="shared" si="4"/>
        <v>0</v>
      </c>
      <c r="AM14" s="159"/>
    </row>
    <row r="15" spans="1:39" ht="19.5" customHeight="1">
      <c r="A15" s="151">
        <v>5</v>
      </c>
      <c r="B15" s="162" t="s">
        <v>354</v>
      </c>
      <c r="C15" s="163"/>
      <c r="D15" s="153">
        <f t="shared" si="5"/>
        <v>0</v>
      </c>
      <c r="E15" s="164"/>
      <c r="F15" s="164"/>
      <c r="G15" s="154">
        <f t="shared" si="6"/>
        <v>20000</v>
      </c>
      <c r="H15" s="165">
        <v>20000</v>
      </c>
      <c r="I15" s="165"/>
      <c r="J15" s="154">
        <f t="shared" si="7"/>
        <v>0</v>
      </c>
      <c r="K15" s="165"/>
      <c r="L15" s="164"/>
      <c r="M15" s="155">
        <f t="shared" si="8"/>
        <v>20000</v>
      </c>
      <c r="N15" s="155">
        <f t="shared" si="9"/>
        <v>20000</v>
      </c>
      <c r="O15" s="155">
        <f t="shared" si="9"/>
        <v>0</v>
      </c>
      <c r="P15" s="156">
        <v>0</v>
      </c>
      <c r="Q15" s="156"/>
      <c r="R15" s="157" t="e">
        <f>#REF!*P15</f>
        <v>#REF!</v>
      </c>
      <c r="S15" s="91">
        <f t="shared" si="0"/>
        <v>728</v>
      </c>
      <c r="T15" s="91">
        <v>728</v>
      </c>
      <c r="U15" s="91"/>
      <c r="V15" s="91">
        <f t="shared" si="10"/>
        <v>20000</v>
      </c>
      <c r="W15" s="91">
        <f>792+624+888+504+1584+1752+696+2496+96+1296+840+1512+1248+1680+624+552+1056+1032+728</f>
        <v>20000</v>
      </c>
      <c r="X15" s="91"/>
      <c r="Y15" s="58">
        <f t="shared" si="1"/>
        <v>100</v>
      </c>
      <c r="Z15" s="58">
        <f t="shared" si="1"/>
        <v>100</v>
      </c>
      <c r="AA15" s="58">
        <f t="shared" si="1"/>
        <v>0</v>
      </c>
      <c r="AB15" s="91">
        <f>792+624+1392+1584+1752+696+2496+96+1296+840+1512+1248+1680+624+552+2088</f>
        <v>19272</v>
      </c>
      <c r="AC15" s="58" t="e">
        <f>#REF!*P15</f>
        <v>#REF!</v>
      </c>
      <c r="AD15" s="158">
        <f t="shared" si="11"/>
        <v>96</v>
      </c>
      <c r="AE15" s="58">
        <f t="shared" si="2"/>
        <v>728</v>
      </c>
      <c r="AF15" s="58" t="e">
        <f>#REF!*P15</f>
        <v>#REF!</v>
      </c>
      <c r="AG15" s="58">
        <f t="shared" si="12"/>
        <v>0</v>
      </c>
      <c r="AH15" s="58"/>
      <c r="AI15" s="58"/>
      <c r="AJ15" s="58">
        <f t="shared" si="3"/>
        <v>0</v>
      </c>
      <c r="AK15" s="58">
        <f>N15-W15</f>
        <v>0</v>
      </c>
      <c r="AL15" s="58">
        <f t="shared" si="4"/>
        <v>0</v>
      </c>
      <c r="AM15" s="159"/>
    </row>
    <row r="16" spans="1:39" ht="19.5" customHeight="1">
      <c r="A16" s="151">
        <v>6</v>
      </c>
      <c r="B16" s="160" t="s">
        <v>355</v>
      </c>
      <c r="C16" s="160" t="s">
        <v>350</v>
      </c>
      <c r="D16" s="153">
        <f t="shared" si="5"/>
        <v>0</v>
      </c>
      <c r="E16" s="161"/>
      <c r="F16" s="161"/>
      <c r="G16" s="154">
        <f t="shared" si="6"/>
        <v>300</v>
      </c>
      <c r="H16" s="154">
        <v>300</v>
      </c>
      <c r="I16" s="154"/>
      <c r="J16" s="154">
        <f t="shared" si="7"/>
        <v>49</v>
      </c>
      <c r="K16" s="154">
        <v>49</v>
      </c>
      <c r="L16" s="161"/>
      <c r="M16" s="155">
        <f t="shared" si="8"/>
        <v>349</v>
      </c>
      <c r="N16" s="155">
        <f t="shared" si="9"/>
        <v>349</v>
      </c>
      <c r="O16" s="155">
        <f t="shared" si="9"/>
        <v>0</v>
      </c>
      <c r="P16" s="156">
        <v>0</v>
      </c>
      <c r="Q16" s="156"/>
      <c r="R16" s="157" t="e">
        <f>#REF!*P16</f>
        <v>#REF!</v>
      </c>
      <c r="S16" s="91">
        <f t="shared" si="0"/>
        <v>0</v>
      </c>
      <c r="T16" s="91"/>
      <c r="U16" s="91"/>
      <c r="V16" s="91">
        <f t="shared" si="10"/>
        <v>349</v>
      </c>
      <c r="W16" s="91">
        <f>240+109</f>
        <v>349</v>
      </c>
      <c r="X16" s="91"/>
      <c r="Y16" s="58">
        <f t="shared" si="1"/>
        <v>100</v>
      </c>
      <c r="Z16" s="58">
        <f t="shared" si="1"/>
        <v>100</v>
      </c>
      <c r="AA16" s="58">
        <f t="shared" si="1"/>
        <v>0</v>
      </c>
      <c r="AB16" s="91">
        <f>240+109</f>
        <v>349</v>
      </c>
      <c r="AC16" s="58" t="e">
        <f>#REF!*P16</f>
        <v>#REF!</v>
      </c>
      <c r="AD16" s="158">
        <f t="shared" si="11"/>
        <v>100</v>
      </c>
      <c r="AE16" s="58">
        <f t="shared" si="2"/>
        <v>0</v>
      </c>
      <c r="AF16" s="58" t="e">
        <f>#REF!*P16</f>
        <v>#REF!</v>
      </c>
      <c r="AG16" s="58">
        <f t="shared" si="12"/>
        <v>0</v>
      </c>
      <c r="AH16" s="58"/>
      <c r="AI16" s="58"/>
      <c r="AJ16" s="58">
        <f t="shared" si="3"/>
        <v>0</v>
      </c>
      <c r="AK16" s="58">
        <f t="shared" si="4"/>
        <v>0</v>
      </c>
      <c r="AL16" s="58">
        <f t="shared" si="4"/>
        <v>0</v>
      </c>
      <c r="AM16" s="159"/>
    </row>
    <row r="17" spans="1:39" ht="19.5" customHeight="1">
      <c r="A17" s="151">
        <v>7</v>
      </c>
      <c r="B17" s="166" t="s">
        <v>356</v>
      </c>
      <c r="C17" s="160"/>
      <c r="D17" s="153">
        <f t="shared" si="5"/>
        <v>0</v>
      </c>
      <c r="E17" s="161"/>
      <c r="F17" s="161"/>
      <c r="G17" s="154">
        <f t="shared" si="6"/>
        <v>25000</v>
      </c>
      <c r="H17" s="154">
        <f>30000-5000</f>
        <v>25000</v>
      </c>
      <c r="I17" s="154"/>
      <c r="J17" s="154">
        <f t="shared" si="7"/>
        <v>0</v>
      </c>
      <c r="K17" s="154"/>
      <c r="L17" s="161"/>
      <c r="M17" s="155">
        <f t="shared" si="8"/>
        <v>25000</v>
      </c>
      <c r="N17" s="155">
        <f t="shared" si="9"/>
        <v>25000</v>
      </c>
      <c r="O17" s="155">
        <f t="shared" si="9"/>
        <v>0</v>
      </c>
      <c r="P17" s="156">
        <v>0</v>
      </c>
      <c r="Q17" s="156"/>
      <c r="R17" s="157" t="e">
        <f>#REF!*P17</f>
        <v>#REF!</v>
      </c>
      <c r="S17" s="91">
        <f t="shared" si="0"/>
        <v>0</v>
      </c>
      <c r="T17" s="91"/>
      <c r="U17" s="91"/>
      <c r="V17" s="91">
        <f t="shared" si="10"/>
        <v>25000</v>
      </c>
      <c r="W17" s="91">
        <f>2832+672+1632+2352+2304+2256+2304+1008+3504+1440+1104+1104+1728+760</f>
        <v>25000</v>
      </c>
      <c r="X17" s="91"/>
      <c r="Y17" s="58">
        <f t="shared" si="1"/>
        <v>100</v>
      </c>
      <c r="Z17" s="58">
        <f t="shared" si="1"/>
        <v>100</v>
      </c>
      <c r="AA17" s="58">
        <f t="shared" si="1"/>
        <v>0</v>
      </c>
      <c r="AB17" s="91">
        <f>2832+672+1584+2400+2304+2256+2304+1008+3504+1440+1104+1104+1728+760</f>
        <v>25000</v>
      </c>
      <c r="AC17" s="58" t="e">
        <f>#REF!*P17</f>
        <v>#REF!</v>
      </c>
      <c r="AD17" s="158">
        <f t="shared" si="11"/>
        <v>100</v>
      </c>
      <c r="AE17" s="58">
        <f t="shared" si="2"/>
        <v>0</v>
      </c>
      <c r="AF17" s="58" t="e">
        <f>#REF!*P17</f>
        <v>#REF!</v>
      </c>
      <c r="AG17" s="58">
        <f t="shared" si="12"/>
        <v>0</v>
      </c>
      <c r="AH17" s="58"/>
      <c r="AI17" s="58"/>
      <c r="AJ17" s="58">
        <f t="shared" si="3"/>
        <v>0</v>
      </c>
      <c r="AK17" s="58">
        <f t="shared" si="4"/>
        <v>0</v>
      </c>
      <c r="AL17" s="58">
        <f t="shared" si="4"/>
        <v>0</v>
      </c>
      <c r="AM17" s="159"/>
    </row>
    <row r="18" spans="1:39" ht="19.5" customHeight="1">
      <c r="A18" s="151">
        <v>8</v>
      </c>
      <c r="B18" s="166" t="s">
        <v>357</v>
      </c>
      <c r="C18" s="160"/>
      <c r="D18" s="153">
        <f t="shared" si="5"/>
        <v>0</v>
      </c>
      <c r="E18" s="161"/>
      <c r="F18" s="161"/>
      <c r="G18" s="154">
        <f t="shared" si="6"/>
        <v>5000</v>
      </c>
      <c r="H18" s="154">
        <f>8000-3000</f>
        <v>5000</v>
      </c>
      <c r="I18" s="154"/>
      <c r="J18" s="154">
        <f t="shared" si="7"/>
        <v>0</v>
      </c>
      <c r="K18" s="154"/>
      <c r="L18" s="161"/>
      <c r="M18" s="155">
        <f t="shared" si="8"/>
        <v>5000</v>
      </c>
      <c r="N18" s="155">
        <f t="shared" si="9"/>
        <v>5000</v>
      </c>
      <c r="O18" s="155">
        <f t="shared" si="9"/>
        <v>0</v>
      </c>
      <c r="P18" s="156">
        <v>0</v>
      </c>
      <c r="Q18" s="156"/>
      <c r="R18" s="157" t="e">
        <f>#REF!*P18</f>
        <v>#REF!</v>
      </c>
      <c r="S18" s="91">
        <f t="shared" si="0"/>
        <v>0</v>
      </c>
      <c r="T18" s="91"/>
      <c r="U18" s="91"/>
      <c r="V18" s="91">
        <f t="shared" si="10"/>
        <v>5000</v>
      </c>
      <c r="W18" s="91">
        <f>1152+912+96+192+192+152+624+1152+528</f>
        <v>5000</v>
      </c>
      <c r="X18" s="91"/>
      <c r="Y18" s="58">
        <f t="shared" si="1"/>
        <v>100</v>
      </c>
      <c r="Z18" s="58">
        <f t="shared" si="1"/>
        <v>100</v>
      </c>
      <c r="AA18" s="58">
        <f t="shared" si="1"/>
        <v>0</v>
      </c>
      <c r="AB18" s="91">
        <f>1152+864+48+96+192+192+152+624+1152+528</f>
        <v>5000</v>
      </c>
      <c r="AC18" s="58" t="e">
        <f>#REF!*P18</f>
        <v>#REF!</v>
      </c>
      <c r="AD18" s="158">
        <f t="shared" si="11"/>
        <v>100</v>
      </c>
      <c r="AE18" s="58">
        <f t="shared" si="2"/>
        <v>0</v>
      </c>
      <c r="AF18" s="58" t="e">
        <f>#REF!*P18</f>
        <v>#REF!</v>
      </c>
      <c r="AG18" s="58">
        <f t="shared" si="12"/>
        <v>0</v>
      </c>
      <c r="AH18" s="58"/>
      <c r="AI18" s="58"/>
      <c r="AJ18" s="58">
        <f t="shared" si="3"/>
        <v>0</v>
      </c>
      <c r="AK18" s="58">
        <f t="shared" si="4"/>
        <v>0</v>
      </c>
      <c r="AL18" s="58">
        <f t="shared" si="4"/>
        <v>0</v>
      </c>
      <c r="AM18" s="159"/>
    </row>
    <row r="19" spans="1:39" ht="19.5" customHeight="1">
      <c r="A19" s="151">
        <v>9</v>
      </c>
      <c r="B19" s="167" t="s">
        <v>358</v>
      </c>
      <c r="C19" s="167"/>
      <c r="D19" s="153">
        <f t="shared" si="5"/>
        <v>0</v>
      </c>
      <c r="E19" s="153"/>
      <c r="F19" s="153"/>
      <c r="G19" s="154">
        <f t="shared" si="6"/>
        <v>50</v>
      </c>
      <c r="H19" s="154"/>
      <c r="I19" s="154">
        <v>50</v>
      </c>
      <c r="J19" s="154">
        <f t="shared" si="7"/>
        <v>0</v>
      </c>
      <c r="K19" s="154"/>
      <c r="L19" s="153"/>
      <c r="M19" s="155">
        <f t="shared" si="8"/>
        <v>50</v>
      </c>
      <c r="N19" s="155">
        <f t="shared" si="9"/>
        <v>0</v>
      </c>
      <c r="O19" s="155">
        <f t="shared" si="9"/>
        <v>50</v>
      </c>
      <c r="P19" s="156">
        <v>0</v>
      </c>
      <c r="Q19" s="156"/>
      <c r="R19" s="157" t="e">
        <f>#REF!*P19</f>
        <v>#REF!</v>
      </c>
      <c r="S19" s="91">
        <f t="shared" si="0"/>
        <v>0</v>
      </c>
      <c r="T19" s="91"/>
      <c r="U19" s="91"/>
      <c r="V19" s="91">
        <f t="shared" si="10"/>
        <v>50</v>
      </c>
      <c r="W19" s="91"/>
      <c r="X19" s="91">
        <f>50</f>
        <v>50</v>
      </c>
      <c r="Y19" s="58">
        <f t="shared" si="1"/>
        <v>100</v>
      </c>
      <c r="Z19" s="58">
        <f t="shared" si="1"/>
        <v>0</v>
      </c>
      <c r="AA19" s="58">
        <f t="shared" si="1"/>
        <v>100</v>
      </c>
      <c r="AB19" s="91"/>
      <c r="AC19" s="58" t="e">
        <f>#REF!*P19</f>
        <v>#REF!</v>
      </c>
      <c r="AD19" s="158">
        <f t="shared" si="11"/>
        <v>0</v>
      </c>
      <c r="AE19" s="58">
        <f t="shared" si="2"/>
        <v>0</v>
      </c>
      <c r="AF19" s="58" t="e">
        <f>#REF!*P19</f>
        <v>#REF!</v>
      </c>
      <c r="AG19" s="58">
        <f t="shared" si="12"/>
        <v>0</v>
      </c>
      <c r="AH19" s="58"/>
      <c r="AI19" s="58"/>
      <c r="AJ19" s="58">
        <f t="shared" si="3"/>
        <v>0</v>
      </c>
      <c r="AK19" s="58">
        <f t="shared" si="4"/>
        <v>0</v>
      </c>
      <c r="AL19" s="58">
        <f t="shared" si="4"/>
        <v>0</v>
      </c>
      <c r="AM19" s="159"/>
    </row>
    <row r="20" spans="1:39" ht="35.25" customHeight="1">
      <c r="A20" s="151">
        <v>10</v>
      </c>
      <c r="B20" s="167" t="s">
        <v>359</v>
      </c>
      <c r="C20" s="168" t="s">
        <v>360</v>
      </c>
      <c r="D20" s="153">
        <f t="shared" si="5"/>
        <v>1273</v>
      </c>
      <c r="E20" s="153">
        <v>471</v>
      </c>
      <c r="F20" s="153">
        <v>802</v>
      </c>
      <c r="G20" s="154">
        <f t="shared" si="6"/>
        <v>3000</v>
      </c>
      <c r="H20" s="154">
        <v>1000</v>
      </c>
      <c r="I20" s="154">
        <v>2000</v>
      </c>
      <c r="J20" s="154">
        <f t="shared" si="7"/>
        <v>1418</v>
      </c>
      <c r="K20" s="154">
        <f>1021+397</f>
        <v>1418</v>
      </c>
      <c r="L20" s="153"/>
      <c r="M20" s="155">
        <f t="shared" si="8"/>
        <v>5691</v>
      </c>
      <c r="N20" s="155">
        <f>E20+H20+K20</f>
        <v>2889</v>
      </c>
      <c r="O20" s="155">
        <f t="shared" si="9"/>
        <v>2802</v>
      </c>
      <c r="P20" s="156">
        <v>0</v>
      </c>
      <c r="Q20" s="156"/>
      <c r="R20" s="157" t="e">
        <f>#REF!*P20</f>
        <v>#REF!</v>
      </c>
      <c r="S20" s="91">
        <f t="shared" si="0"/>
        <v>0</v>
      </c>
      <c r="T20" s="91"/>
      <c r="U20" s="91"/>
      <c r="V20" s="91">
        <f t="shared" si="10"/>
        <v>5691</v>
      </c>
      <c r="W20" s="91">
        <f>60+36+156+156+120+216+132+348+180+420+12+72+168+157+216+288+152</f>
        <v>2889</v>
      </c>
      <c r="X20" s="91">
        <f>588+168+46+48+240+312+228+732+312+124+4</f>
        <v>2802</v>
      </c>
      <c r="Y20" s="58">
        <f t="shared" si="1"/>
        <v>100</v>
      </c>
      <c r="Z20" s="58">
        <f t="shared" si="1"/>
        <v>100</v>
      </c>
      <c r="AA20" s="58">
        <f t="shared" si="1"/>
        <v>100</v>
      </c>
      <c r="AB20" s="91">
        <f>60+36+156+156+120+216+132+348+180+420+12+72+168+373+288+152</f>
        <v>2889</v>
      </c>
      <c r="AC20" s="58" t="e">
        <f>#REF!*P20</f>
        <v>#REF!</v>
      </c>
      <c r="AD20" s="158">
        <f t="shared" si="11"/>
        <v>51</v>
      </c>
      <c r="AE20" s="58">
        <f t="shared" si="2"/>
        <v>0</v>
      </c>
      <c r="AF20" s="58" t="e">
        <f>#REF!*P20</f>
        <v>#REF!</v>
      </c>
      <c r="AG20" s="58">
        <f t="shared" si="12"/>
        <v>0</v>
      </c>
      <c r="AH20" s="58"/>
      <c r="AI20" s="58"/>
      <c r="AJ20" s="58">
        <f t="shared" si="3"/>
        <v>0</v>
      </c>
      <c r="AK20" s="58">
        <f t="shared" si="4"/>
        <v>0</v>
      </c>
      <c r="AL20" s="58">
        <f>O20-X20</f>
        <v>0</v>
      </c>
      <c r="AM20" s="159"/>
    </row>
    <row r="21" spans="1:39" ht="19.5" customHeight="1">
      <c r="A21" s="151">
        <v>11</v>
      </c>
      <c r="B21" s="167" t="s">
        <v>361</v>
      </c>
      <c r="C21" s="167"/>
      <c r="D21" s="153">
        <f t="shared" si="5"/>
        <v>0</v>
      </c>
      <c r="E21" s="153"/>
      <c r="F21" s="153"/>
      <c r="G21" s="154">
        <f t="shared" si="6"/>
        <v>1404</v>
      </c>
      <c r="H21" s="154"/>
      <c r="I21" s="154">
        <v>1404</v>
      </c>
      <c r="J21" s="154">
        <f t="shared" si="7"/>
        <v>0</v>
      </c>
      <c r="K21" s="154"/>
      <c r="L21" s="153"/>
      <c r="M21" s="155">
        <f t="shared" si="8"/>
        <v>1404</v>
      </c>
      <c r="N21" s="155">
        <f t="shared" si="9"/>
        <v>0</v>
      </c>
      <c r="O21" s="155">
        <f t="shared" si="9"/>
        <v>1404</v>
      </c>
      <c r="P21" s="156">
        <v>0</v>
      </c>
      <c r="Q21" s="156"/>
      <c r="R21" s="157" t="e">
        <f>#REF!*P21</f>
        <v>#REF!</v>
      </c>
      <c r="S21" s="91">
        <f t="shared" si="0"/>
        <v>0</v>
      </c>
      <c r="T21" s="91"/>
      <c r="U21" s="91"/>
      <c r="V21" s="91">
        <f t="shared" si="10"/>
        <v>1404</v>
      </c>
      <c r="W21" s="91"/>
      <c r="X21" s="91">
        <f>48+276+432+468+180</f>
        <v>1404</v>
      </c>
      <c r="Y21" s="58">
        <f t="shared" si="1"/>
        <v>100</v>
      </c>
      <c r="Z21" s="58">
        <f t="shared" si="1"/>
        <v>0</v>
      </c>
      <c r="AA21" s="58">
        <f t="shared" si="1"/>
        <v>100</v>
      </c>
      <c r="AB21" s="91"/>
      <c r="AC21" s="58" t="e">
        <f>#REF!*P21</f>
        <v>#REF!</v>
      </c>
      <c r="AD21" s="158">
        <f t="shared" si="11"/>
        <v>0</v>
      </c>
      <c r="AE21" s="58">
        <f t="shared" si="2"/>
        <v>0</v>
      </c>
      <c r="AF21" s="58" t="e">
        <f>#REF!*P21</f>
        <v>#REF!</v>
      </c>
      <c r="AG21" s="58">
        <f t="shared" si="12"/>
        <v>0</v>
      </c>
      <c r="AH21" s="58"/>
      <c r="AI21" s="58"/>
      <c r="AJ21" s="58">
        <f t="shared" si="3"/>
        <v>0</v>
      </c>
      <c r="AK21" s="58">
        <f t="shared" si="4"/>
        <v>0</v>
      </c>
      <c r="AL21" s="58">
        <f t="shared" si="4"/>
        <v>0</v>
      </c>
      <c r="AM21" s="159"/>
    </row>
    <row r="22" spans="1:39" ht="19.5" customHeight="1">
      <c r="A22" s="151">
        <v>12</v>
      </c>
      <c r="B22" s="167" t="s">
        <v>362</v>
      </c>
      <c r="C22" s="167"/>
      <c r="D22" s="153">
        <f t="shared" si="5"/>
        <v>0</v>
      </c>
      <c r="E22" s="153"/>
      <c r="F22" s="153"/>
      <c r="G22" s="154">
        <f t="shared" si="6"/>
        <v>20</v>
      </c>
      <c r="H22" s="154"/>
      <c r="I22" s="154">
        <v>20</v>
      </c>
      <c r="J22" s="154">
        <f t="shared" si="7"/>
        <v>0</v>
      </c>
      <c r="K22" s="154"/>
      <c r="L22" s="153"/>
      <c r="M22" s="155">
        <f t="shared" si="8"/>
        <v>20</v>
      </c>
      <c r="N22" s="155">
        <f t="shared" si="9"/>
        <v>0</v>
      </c>
      <c r="O22" s="155">
        <f t="shared" si="9"/>
        <v>20</v>
      </c>
      <c r="P22" s="156">
        <v>0</v>
      </c>
      <c r="Q22" s="156"/>
      <c r="R22" s="157" t="e">
        <f>#REF!*P22</f>
        <v>#REF!</v>
      </c>
      <c r="S22" s="91">
        <f t="shared" si="0"/>
        <v>0</v>
      </c>
      <c r="T22" s="91"/>
      <c r="U22" s="91"/>
      <c r="V22" s="91">
        <f t="shared" si="10"/>
        <v>20</v>
      </c>
      <c r="W22" s="91"/>
      <c r="X22" s="91">
        <f>12+8</f>
        <v>20</v>
      </c>
      <c r="Y22" s="58">
        <f t="shared" si="1"/>
        <v>100</v>
      </c>
      <c r="Z22" s="58">
        <f t="shared" si="1"/>
        <v>0</v>
      </c>
      <c r="AA22" s="58">
        <f t="shared" si="1"/>
        <v>100</v>
      </c>
      <c r="AB22" s="91"/>
      <c r="AC22" s="58" t="e">
        <f>#REF!*P22</f>
        <v>#REF!</v>
      </c>
      <c r="AD22" s="158">
        <f t="shared" si="11"/>
        <v>0</v>
      </c>
      <c r="AE22" s="58">
        <f t="shared" si="2"/>
        <v>0</v>
      </c>
      <c r="AF22" s="58" t="e">
        <f>#REF!*P22</f>
        <v>#REF!</v>
      </c>
      <c r="AG22" s="58">
        <f t="shared" si="12"/>
        <v>0</v>
      </c>
      <c r="AH22" s="58"/>
      <c r="AI22" s="58"/>
      <c r="AJ22" s="58">
        <f t="shared" si="3"/>
        <v>0</v>
      </c>
      <c r="AK22" s="58">
        <f t="shared" si="4"/>
        <v>0</v>
      </c>
      <c r="AL22" s="58">
        <f t="shared" si="4"/>
        <v>0</v>
      </c>
      <c r="AM22" s="159"/>
    </row>
    <row r="23" spans="1:39" ht="19.5" customHeight="1">
      <c r="A23" s="151">
        <v>13</v>
      </c>
      <c r="B23" s="167" t="s">
        <v>363</v>
      </c>
      <c r="C23" s="167"/>
      <c r="D23" s="153">
        <f t="shared" si="5"/>
        <v>0</v>
      </c>
      <c r="E23" s="153"/>
      <c r="F23" s="153"/>
      <c r="G23" s="154">
        <f t="shared" si="6"/>
        <v>29</v>
      </c>
      <c r="H23" s="154"/>
      <c r="I23" s="154">
        <v>29</v>
      </c>
      <c r="J23" s="154">
        <f t="shared" si="7"/>
        <v>0</v>
      </c>
      <c r="K23" s="154"/>
      <c r="L23" s="153"/>
      <c r="M23" s="155">
        <f t="shared" si="8"/>
        <v>29</v>
      </c>
      <c r="N23" s="155">
        <f t="shared" si="9"/>
        <v>0</v>
      </c>
      <c r="O23" s="155">
        <f t="shared" si="9"/>
        <v>29</v>
      </c>
      <c r="P23" s="156">
        <v>0</v>
      </c>
      <c r="Q23" s="156"/>
      <c r="R23" s="157" t="e">
        <f>#REF!*P23</f>
        <v>#REF!</v>
      </c>
      <c r="S23" s="91">
        <f t="shared" si="0"/>
        <v>0</v>
      </c>
      <c r="T23" s="91"/>
      <c r="U23" s="91"/>
      <c r="V23" s="91">
        <f t="shared" si="10"/>
        <v>29</v>
      </c>
      <c r="W23" s="91"/>
      <c r="X23" s="91">
        <f>29</f>
        <v>29</v>
      </c>
      <c r="Y23" s="58">
        <f t="shared" si="1"/>
        <v>100</v>
      </c>
      <c r="Z23" s="58">
        <f t="shared" si="1"/>
        <v>0</v>
      </c>
      <c r="AA23" s="58">
        <f t="shared" si="1"/>
        <v>100</v>
      </c>
      <c r="AB23" s="91"/>
      <c r="AC23" s="58" t="e">
        <f>#REF!*P23</f>
        <v>#REF!</v>
      </c>
      <c r="AD23" s="158">
        <f t="shared" si="11"/>
        <v>0</v>
      </c>
      <c r="AE23" s="58">
        <f t="shared" si="2"/>
        <v>0</v>
      </c>
      <c r="AF23" s="58" t="e">
        <f>#REF!*P23</f>
        <v>#REF!</v>
      </c>
      <c r="AG23" s="58">
        <f t="shared" si="12"/>
        <v>0</v>
      </c>
      <c r="AH23" s="58"/>
      <c r="AI23" s="58"/>
      <c r="AJ23" s="58">
        <f t="shared" si="3"/>
        <v>0</v>
      </c>
      <c r="AK23" s="58">
        <f t="shared" si="4"/>
        <v>0</v>
      </c>
      <c r="AL23" s="58">
        <f t="shared" si="4"/>
        <v>0</v>
      </c>
      <c r="AM23" s="159"/>
    </row>
    <row r="24" spans="1:39" ht="19.5" customHeight="1">
      <c r="A24" s="151">
        <v>14</v>
      </c>
      <c r="B24" s="152" t="s">
        <v>364</v>
      </c>
      <c r="C24" s="152"/>
      <c r="D24" s="153">
        <f t="shared" si="5"/>
        <v>0</v>
      </c>
      <c r="E24" s="153"/>
      <c r="F24" s="153"/>
      <c r="G24" s="154">
        <f t="shared" si="6"/>
        <v>36</v>
      </c>
      <c r="H24" s="154"/>
      <c r="I24" s="154">
        <v>36</v>
      </c>
      <c r="J24" s="154">
        <f t="shared" si="7"/>
        <v>0</v>
      </c>
      <c r="K24" s="154"/>
      <c r="L24" s="153"/>
      <c r="M24" s="155">
        <f t="shared" si="8"/>
        <v>36</v>
      </c>
      <c r="N24" s="155">
        <f t="shared" si="9"/>
        <v>0</v>
      </c>
      <c r="O24" s="155">
        <f t="shared" si="9"/>
        <v>36</v>
      </c>
      <c r="P24" s="156">
        <v>0</v>
      </c>
      <c r="Q24" s="156"/>
      <c r="R24" s="157" t="e">
        <f>#REF!*P24</f>
        <v>#REF!</v>
      </c>
      <c r="S24" s="91">
        <f t="shared" si="0"/>
        <v>0</v>
      </c>
      <c r="T24" s="91"/>
      <c r="U24" s="91"/>
      <c r="V24" s="91">
        <f t="shared" si="10"/>
        <v>36</v>
      </c>
      <c r="W24" s="91"/>
      <c r="X24" s="91">
        <v>36</v>
      </c>
      <c r="Y24" s="58">
        <f t="shared" si="1"/>
        <v>100</v>
      </c>
      <c r="Z24" s="58">
        <f t="shared" si="1"/>
        <v>0</v>
      </c>
      <c r="AA24" s="58">
        <f t="shared" si="1"/>
        <v>100</v>
      </c>
      <c r="AB24" s="91"/>
      <c r="AC24" s="58" t="e">
        <f>#REF!*P24</f>
        <v>#REF!</v>
      </c>
      <c r="AD24" s="158">
        <f t="shared" si="11"/>
        <v>0</v>
      </c>
      <c r="AE24" s="58">
        <f t="shared" si="2"/>
        <v>0</v>
      </c>
      <c r="AF24" s="58" t="e">
        <f>#REF!*P24</f>
        <v>#REF!</v>
      </c>
      <c r="AG24" s="58">
        <f t="shared" si="12"/>
        <v>0</v>
      </c>
      <c r="AH24" s="58"/>
      <c r="AI24" s="58"/>
      <c r="AJ24" s="58">
        <f t="shared" si="3"/>
        <v>0</v>
      </c>
      <c r="AK24" s="58">
        <f t="shared" si="4"/>
        <v>0</v>
      </c>
      <c r="AL24" s="58">
        <f t="shared" si="4"/>
        <v>0</v>
      </c>
      <c r="AM24" s="159"/>
    </row>
    <row r="25" spans="1:39" ht="19.5" customHeight="1">
      <c r="A25" s="151">
        <v>15</v>
      </c>
      <c r="B25" s="152" t="s">
        <v>365</v>
      </c>
      <c r="C25" s="152"/>
      <c r="D25" s="153">
        <f t="shared" si="5"/>
        <v>0</v>
      </c>
      <c r="E25" s="153"/>
      <c r="F25" s="153"/>
      <c r="G25" s="154">
        <f t="shared" si="6"/>
        <v>10</v>
      </c>
      <c r="H25" s="154"/>
      <c r="I25" s="154">
        <v>10</v>
      </c>
      <c r="J25" s="154">
        <f t="shared" si="7"/>
        <v>0</v>
      </c>
      <c r="K25" s="154"/>
      <c r="L25" s="153"/>
      <c r="M25" s="155">
        <f t="shared" si="8"/>
        <v>10</v>
      </c>
      <c r="N25" s="155">
        <f t="shared" si="9"/>
        <v>0</v>
      </c>
      <c r="O25" s="155">
        <f t="shared" si="9"/>
        <v>10</v>
      </c>
      <c r="P25" s="156">
        <v>0</v>
      </c>
      <c r="Q25" s="156"/>
      <c r="R25" s="157" t="e">
        <f>#REF!*P25</f>
        <v>#REF!</v>
      </c>
      <c r="S25" s="91">
        <f t="shared" si="0"/>
        <v>0</v>
      </c>
      <c r="T25" s="91"/>
      <c r="U25" s="91"/>
      <c r="V25" s="91">
        <f t="shared" si="10"/>
        <v>10</v>
      </c>
      <c r="W25" s="91"/>
      <c r="X25" s="91">
        <v>10</v>
      </c>
      <c r="Y25" s="58">
        <f t="shared" si="1"/>
        <v>100</v>
      </c>
      <c r="Z25" s="58">
        <f t="shared" si="1"/>
        <v>0</v>
      </c>
      <c r="AA25" s="58">
        <f t="shared" si="1"/>
        <v>100</v>
      </c>
      <c r="AB25" s="91"/>
      <c r="AC25" s="58" t="e">
        <f>#REF!*P25</f>
        <v>#REF!</v>
      </c>
      <c r="AD25" s="158">
        <f t="shared" si="11"/>
        <v>0</v>
      </c>
      <c r="AE25" s="58">
        <f t="shared" si="2"/>
        <v>0</v>
      </c>
      <c r="AF25" s="58" t="e">
        <f>#REF!*P25</f>
        <v>#REF!</v>
      </c>
      <c r="AG25" s="58">
        <f t="shared" si="12"/>
        <v>0</v>
      </c>
      <c r="AH25" s="58"/>
      <c r="AI25" s="58"/>
      <c r="AJ25" s="58">
        <f t="shared" si="3"/>
        <v>0</v>
      </c>
      <c r="AK25" s="58">
        <f t="shared" si="4"/>
        <v>0</v>
      </c>
      <c r="AL25" s="58">
        <f t="shared" si="4"/>
        <v>0</v>
      </c>
      <c r="AM25" s="159"/>
    </row>
    <row r="26" spans="1:39" ht="19.5" customHeight="1">
      <c r="A26" s="151">
        <v>15</v>
      </c>
      <c r="B26" s="152" t="s">
        <v>366</v>
      </c>
      <c r="C26" s="152"/>
      <c r="D26" s="153">
        <f t="shared" si="5"/>
        <v>0</v>
      </c>
      <c r="E26" s="153"/>
      <c r="F26" s="153"/>
      <c r="G26" s="154">
        <f t="shared" si="6"/>
        <v>0</v>
      </c>
      <c r="H26" s="154"/>
      <c r="I26" s="154"/>
      <c r="J26" s="154">
        <f t="shared" si="7"/>
        <v>100</v>
      </c>
      <c r="K26" s="154"/>
      <c r="L26" s="153">
        <v>100</v>
      </c>
      <c r="M26" s="155">
        <f t="shared" si="8"/>
        <v>100</v>
      </c>
      <c r="N26" s="155">
        <f t="shared" si="9"/>
        <v>0</v>
      </c>
      <c r="O26" s="155">
        <f t="shared" si="9"/>
        <v>100</v>
      </c>
      <c r="P26" s="156">
        <v>0</v>
      </c>
      <c r="Q26" s="156"/>
      <c r="R26" s="157" t="e">
        <f>#REF!*P26</f>
        <v>#REF!</v>
      </c>
      <c r="S26" s="91">
        <f t="shared" si="0"/>
        <v>48</v>
      </c>
      <c r="T26" s="91"/>
      <c r="U26" s="91">
        <v>48</v>
      </c>
      <c r="V26" s="91">
        <f t="shared" si="10"/>
        <v>48</v>
      </c>
      <c r="W26" s="91"/>
      <c r="X26" s="91">
        <v>48</v>
      </c>
      <c r="Y26" s="58">
        <f t="shared" si="1"/>
        <v>48</v>
      </c>
      <c r="Z26" s="58">
        <f t="shared" si="1"/>
        <v>0</v>
      </c>
      <c r="AA26" s="58">
        <f>IF(O26&gt;0,ROUND((X26/O26)*100,0),0)</f>
        <v>48</v>
      </c>
      <c r="AB26" s="91"/>
      <c r="AC26" s="58" t="e">
        <f>#REF!*P26</f>
        <v>#REF!</v>
      </c>
      <c r="AD26" s="158">
        <f t="shared" si="11"/>
        <v>0</v>
      </c>
      <c r="AE26" s="58">
        <f t="shared" si="2"/>
        <v>0</v>
      </c>
      <c r="AF26" s="58" t="e">
        <f>#REF!*P26</f>
        <v>#REF!</v>
      </c>
      <c r="AG26" s="58">
        <f t="shared" si="12"/>
        <v>0</v>
      </c>
      <c r="AH26" s="58"/>
      <c r="AI26" s="58"/>
      <c r="AJ26" s="58">
        <f t="shared" si="3"/>
        <v>52</v>
      </c>
      <c r="AK26" s="58">
        <f t="shared" si="4"/>
        <v>0</v>
      </c>
      <c r="AL26" s="58">
        <f t="shared" si="4"/>
        <v>52</v>
      </c>
      <c r="AM26" s="159"/>
    </row>
    <row r="27" spans="1:39" ht="19.5" customHeight="1">
      <c r="A27" s="151">
        <v>16</v>
      </c>
      <c r="B27" s="152" t="s">
        <v>367</v>
      </c>
      <c r="C27" s="167" t="s">
        <v>350</v>
      </c>
      <c r="D27" s="153">
        <f t="shared" si="5"/>
        <v>0</v>
      </c>
      <c r="E27" s="153"/>
      <c r="F27" s="153"/>
      <c r="G27" s="154">
        <f t="shared" si="6"/>
        <v>0</v>
      </c>
      <c r="H27" s="154"/>
      <c r="I27" s="154"/>
      <c r="J27" s="154">
        <f t="shared" si="7"/>
        <v>500</v>
      </c>
      <c r="K27" s="154"/>
      <c r="L27" s="153">
        <v>500</v>
      </c>
      <c r="M27" s="155">
        <f t="shared" si="8"/>
        <v>500</v>
      </c>
      <c r="N27" s="155">
        <f t="shared" si="9"/>
        <v>0</v>
      </c>
      <c r="O27" s="155">
        <f t="shared" si="9"/>
        <v>500</v>
      </c>
      <c r="P27" s="156">
        <v>0</v>
      </c>
      <c r="Q27" s="156"/>
      <c r="R27" s="157" t="e">
        <f>#REF!*P27</f>
        <v>#REF!</v>
      </c>
      <c r="S27" s="91">
        <f t="shared" si="0"/>
        <v>0</v>
      </c>
      <c r="T27" s="91"/>
      <c r="U27" s="91"/>
      <c r="V27" s="91">
        <f t="shared" si="10"/>
        <v>500</v>
      </c>
      <c r="W27" s="91"/>
      <c r="X27" s="91">
        <f>12+12+36+192+12+12+12+84+120+8</f>
        <v>500</v>
      </c>
      <c r="Y27" s="58">
        <f t="shared" ref="Y27:AA42" si="13">IF(M27&gt;0,ROUND((V27/M27)*100,0),0)</f>
        <v>100</v>
      </c>
      <c r="Z27" s="58">
        <f t="shared" si="13"/>
        <v>0</v>
      </c>
      <c r="AA27" s="58">
        <f t="shared" si="13"/>
        <v>100</v>
      </c>
      <c r="AB27" s="91"/>
      <c r="AC27" s="58" t="e">
        <f>#REF!*P27</f>
        <v>#REF!</v>
      </c>
      <c r="AD27" s="158">
        <f t="shared" si="11"/>
        <v>0</v>
      </c>
      <c r="AE27" s="58">
        <f t="shared" si="2"/>
        <v>0</v>
      </c>
      <c r="AF27" s="58" t="e">
        <f>#REF!*P27</f>
        <v>#REF!</v>
      </c>
      <c r="AG27" s="58">
        <f t="shared" si="12"/>
        <v>0</v>
      </c>
      <c r="AH27" s="58"/>
      <c r="AI27" s="58"/>
      <c r="AJ27" s="58">
        <f t="shared" si="3"/>
        <v>0</v>
      </c>
      <c r="AK27" s="58">
        <f t="shared" ref="AK27:AL42" si="14">N27-W27</f>
        <v>0</v>
      </c>
      <c r="AL27" s="58">
        <f t="shared" si="14"/>
        <v>0</v>
      </c>
      <c r="AM27" s="159"/>
    </row>
    <row r="28" spans="1:39" ht="19.5" customHeight="1">
      <c r="A28" s="151">
        <v>17</v>
      </c>
      <c r="B28" s="152" t="s">
        <v>368</v>
      </c>
      <c r="C28" s="167" t="s">
        <v>350</v>
      </c>
      <c r="D28" s="153">
        <f t="shared" si="5"/>
        <v>0</v>
      </c>
      <c r="E28" s="153"/>
      <c r="F28" s="153"/>
      <c r="G28" s="154">
        <f t="shared" si="6"/>
        <v>0</v>
      </c>
      <c r="H28" s="154"/>
      <c r="I28" s="154"/>
      <c r="J28" s="154">
        <f t="shared" si="7"/>
        <v>2</v>
      </c>
      <c r="K28" s="154"/>
      <c r="L28" s="153">
        <v>2</v>
      </c>
      <c r="M28" s="155">
        <f t="shared" si="8"/>
        <v>2</v>
      </c>
      <c r="N28" s="155">
        <f t="shared" si="9"/>
        <v>0</v>
      </c>
      <c r="O28" s="155">
        <f t="shared" si="9"/>
        <v>2</v>
      </c>
      <c r="P28" s="156">
        <v>0</v>
      </c>
      <c r="Q28" s="156"/>
      <c r="R28" s="157" t="e">
        <f>#REF!*P28</f>
        <v>#REF!</v>
      </c>
      <c r="S28" s="91">
        <f t="shared" si="0"/>
        <v>0</v>
      </c>
      <c r="T28" s="91"/>
      <c r="U28" s="91"/>
      <c r="V28" s="91">
        <f t="shared" si="10"/>
        <v>2</v>
      </c>
      <c r="W28" s="91"/>
      <c r="X28" s="91">
        <v>2</v>
      </c>
      <c r="Y28" s="58">
        <f t="shared" si="13"/>
        <v>100</v>
      </c>
      <c r="Z28" s="58">
        <f t="shared" si="13"/>
        <v>0</v>
      </c>
      <c r="AA28" s="58">
        <f t="shared" si="13"/>
        <v>100</v>
      </c>
      <c r="AB28" s="91"/>
      <c r="AC28" s="58" t="e">
        <f>#REF!*P28</f>
        <v>#REF!</v>
      </c>
      <c r="AD28" s="158">
        <f t="shared" si="11"/>
        <v>0</v>
      </c>
      <c r="AE28" s="58">
        <f t="shared" si="2"/>
        <v>0</v>
      </c>
      <c r="AF28" s="58" t="e">
        <f>#REF!*P28</f>
        <v>#REF!</v>
      </c>
      <c r="AG28" s="58">
        <f t="shared" si="12"/>
        <v>0</v>
      </c>
      <c r="AH28" s="58"/>
      <c r="AI28" s="58"/>
      <c r="AJ28" s="58">
        <f t="shared" si="3"/>
        <v>0</v>
      </c>
      <c r="AK28" s="58">
        <f t="shared" si="14"/>
        <v>0</v>
      </c>
      <c r="AL28" s="58">
        <f t="shared" si="14"/>
        <v>0</v>
      </c>
      <c r="AM28" s="159"/>
    </row>
    <row r="29" spans="1:39" ht="19.5" customHeight="1">
      <c r="A29" s="151">
        <v>18</v>
      </c>
      <c r="B29" s="152" t="s">
        <v>369</v>
      </c>
      <c r="C29" s="152"/>
      <c r="D29" s="153">
        <f t="shared" si="5"/>
        <v>0</v>
      </c>
      <c r="E29" s="153"/>
      <c r="F29" s="153"/>
      <c r="G29" s="154">
        <f t="shared" si="6"/>
        <v>850</v>
      </c>
      <c r="H29" s="154">
        <v>850</v>
      </c>
      <c r="I29" s="154"/>
      <c r="J29" s="154">
        <f t="shared" si="7"/>
        <v>0</v>
      </c>
      <c r="K29" s="154"/>
      <c r="L29" s="153"/>
      <c r="M29" s="155">
        <f t="shared" si="8"/>
        <v>850</v>
      </c>
      <c r="N29" s="155">
        <f t="shared" si="9"/>
        <v>850</v>
      </c>
      <c r="O29" s="155">
        <f t="shared" si="9"/>
        <v>0</v>
      </c>
      <c r="P29" s="156">
        <v>0</v>
      </c>
      <c r="Q29" s="156"/>
      <c r="R29" s="157" t="e">
        <f>#REF!*P29</f>
        <v>#REF!</v>
      </c>
      <c r="S29" s="91">
        <f t="shared" si="0"/>
        <v>0</v>
      </c>
      <c r="T29" s="91"/>
      <c r="U29" s="91"/>
      <c r="V29" s="91">
        <f t="shared" si="10"/>
        <v>850</v>
      </c>
      <c r="W29" s="91">
        <f>288+96+288+30+120+28</f>
        <v>850</v>
      </c>
      <c r="X29" s="91"/>
      <c r="Y29" s="58">
        <f t="shared" si="13"/>
        <v>100</v>
      </c>
      <c r="Z29" s="58">
        <f t="shared" si="13"/>
        <v>100</v>
      </c>
      <c r="AA29" s="58">
        <f t="shared" si="13"/>
        <v>0</v>
      </c>
      <c r="AB29" s="91">
        <f>288+96+318+120+28</f>
        <v>850</v>
      </c>
      <c r="AC29" s="58" t="e">
        <f>#REF!*P29</f>
        <v>#REF!</v>
      </c>
      <c r="AD29" s="158">
        <f t="shared" si="11"/>
        <v>100</v>
      </c>
      <c r="AE29" s="58">
        <f t="shared" si="2"/>
        <v>0</v>
      </c>
      <c r="AF29" s="58" t="e">
        <f>#REF!*P29</f>
        <v>#REF!</v>
      </c>
      <c r="AG29" s="58">
        <f t="shared" si="12"/>
        <v>0</v>
      </c>
      <c r="AH29" s="58"/>
      <c r="AI29" s="58"/>
      <c r="AJ29" s="58">
        <f t="shared" si="3"/>
        <v>0</v>
      </c>
      <c r="AK29" s="58">
        <f t="shared" si="14"/>
        <v>0</v>
      </c>
      <c r="AL29" s="58">
        <f t="shared" si="14"/>
        <v>0</v>
      </c>
      <c r="AM29" s="159"/>
    </row>
    <row r="30" spans="1:39" ht="19.5" customHeight="1">
      <c r="A30" s="151">
        <v>19</v>
      </c>
      <c r="B30" s="152" t="s">
        <v>370</v>
      </c>
      <c r="C30" s="152"/>
      <c r="D30" s="153">
        <f t="shared" si="5"/>
        <v>0</v>
      </c>
      <c r="E30" s="153"/>
      <c r="F30" s="153"/>
      <c r="G30" s="154">
        <f t="shared" si="6"/>
        <v>600</v>
      </c>
      <c r="H30" s="154">
        <v>600</v>
      </c>
      <c r="I30" s="154"/>
      <c r="J30" s="154">
        <f t="shared" si="7"/>
        <v>0</v>
      </c>
      <c r="K30" s="154"/>
      <c r="L30" s="153"/>
      <c r="M30" s="155">
        <f t="shared" si="8"/>
        <v>600</v>
      </c>
      <c r="N30" s="155">
        <f t="shared" si="9"/>
        <v>600</v>
      </c>
      <c r="O30" s="155">
        <f t="shared" si="9"/>
        <v>0</v>
      </c>
      <c r="P30" s="156">
        <v>0</v>
      </c>
      <c r="Q30" s="156"/>
      <c r="R30" s="157" t="e">
        <f>#REF!*P30</f>
        <v>#REF!</v>
      </c>
      <c r="S30" s="91">
        <f t="shared" si="0"/>
        <v>0</v>
      </c>
      <c r="T30" s="91"/>
      <c r="U30" s="91"/>
      <c r="V30" s="91">
        <f t="shared" si="10"/>
        <v>552</v>
      </c>
      <c r="W30" s="91">
        <f>408+96+48</f>
        <v>552</v>
      </c>
      <c r="X30" s="91"/>
      <c r="Y30" s="58">
        <f t="shared" si="13"/>
        <v>92</v>
      </c>
      <c r="Z30" s="58">
        <f t="shared" si="13"/>
        <v>92</v>
      </c>
      <c r="AA30" s="58">
        <f t="shared" si="13"/>
        <v>0</v>
      </c>
      <c r="AB30" s="91">
        <f>408+96+48</f>
        <v>552</v>
      </c>
      <c r="AC30" s="58" t="e">
        <f>#REF!*P30</f>
        <v>#REF!</v>
      </c>
      <c r="AD30" s="158">
        <f t="shared" si="11"/>
        <v>92</v>
      </c>
      <c r="AE30" s="58">
        <f t="shared" si="2"/>
        <v>0</v>
      </c>
      <c r="AF30" s="58" t="e">
        <f>#REF!*P30</f>
        <v>#REF!</v>
      </c>
      <c r="AG30" s="58">
        <f t="shared" si="12"/>
        <v>0</v>
      </c>
      <c r="AH30" s="58"/>
      <c r="AI30" s="58"/>
      <c r="AJ30" s="58">
        <f t="shared" si="3"/>
        <v>48</v>
      </c>
      <c r="AK30" s="58">
        <f t="shared" si="14"/>
        <v>48</v>
      </c>
      <c r="AL30" s="58">
        <f t="shared" si="14"/>
        <v>0</v>
      </c>
      <c r="AM30" s="159"/>
    </row>
    <row r="31" spans="1:39" ht="19.5" customHeight="1">
      <c r="A31" s="151">
        <v>20</v>
      </c>
      <c r="B31" s="152" t="s">
        <v>371</v>
      </c>
      <c r="C31" s="152"/>
      <c r="D31" s="153">
        <f t="shared" si="5"/>
        <v>0</v>
      </c>
      <c r="E31" s="153"/>
      <c r="F31" s="153"/>
      <c r="G31" s="154">
        <f t="shared" si="6"/>
        <v>450</v>
      </c>
      <c r="H31" s="154">
        <v>450</v>
      </c>
      <c r="I31" s="154"/>
      <c r="J31" s="154">
        <f t="shared" si="7"/>
        <v>0</v>
      </c>
      <c r="K31" s="154"/>
      <c r="L31" s="153"/>
      <c r="M31" s="155">
        <f t="shared" si="8"/>
        <v>450</v>
      </c>
      <c r="N31" s="155">
        <f t="shared" si="9"/>
        <v>450</v>
      </c>
      <c r="O31" s="155">
        <f t="shared" si="9"/>
        <v>0</v>
      </c>
      <c r="P31" s="156">
        <v>0</v>
      </c>
      <c r="Q31" s="156"/>
      <c r="R31" s="157" t="e">
        <f>#REF!*P31</f>
        <v>#REF!</v>
      </c>
      <c r="S31" s="91">
        <f t="shared" si="0"/>
        <v>0</v>
      </c>
      <c r="T31" s="91"/>
      <c r="U31" s="91"/>
      <c r="V31" s="91">
        <f t="shared" si="10"/>
        <v>450</v>
      </c>
      <c r="W31" s="91">
        <f>216+168+48+18</f>
        <v>450</v>
      </c>
      <c r="X31" s="91"/>
      <c r="Y31" s="58">
        <f t="shared" si="13"/>
        <v>100</v>
      </c>
      <c r="Z31" s="58">
        <f t="shared" si="13"/>
        <v>100</v>
      </c>
      <c r="AA31" s="58">
        <f t="shared" si="13"/>
        <v>0</v>
      </c>
      <c r="AB31" s="91">
        <f>216+168+48+18</f>
        <v>450</v>
      </c>
      <c r="AC31" s="58" t="e">
        <f>#REF!*P31</f>
        <v>#REF!</v>
      </c>
      <c r="AD31" s="158">
        <f t="shared" si="11"/>
        <v>100</v>
      </c>
      <c r="AE31" s="58">
        <f t="shared" si="2"/>
        <v>0</v>
      </c>
      <c r="AF31" s="58" t="e">
        <f>#REF!*P31</f>
        <v>#REF!</v>
      </c>
      <c r="AG31" s="58">
        <f t="shared" si="12"/>
        <v>0</v>
      </c>
      <c r="AH31" s="58"/>
      <c r="AI31" s="58"/>
      <c r="AJ31" s="58">
        <f t="shared" si="3"/>
        <v>0</v>
      </c>
      <c r="AK31" s="58">
        <f t="shared" si="14"/>
        <v>0</v>
      </c>
      <c r="AL31" s="58">
        <f t="shared" si="14"/>
        <v>0</v>
      </c>
      <c r="AM31" s="159"/>
    </row>
    <row r="32" spans="1:39" ht="19.5" customHeight="1">
      <c r="A32" s="151">
        <v>21</v>
      </c>
      <c r="B32" s="160" t="s">
        <v>372</v>
      </c>
      <c r="C32" s="160"/>
      <c r="D32" s="153">
        <f t="shared" si="5"/>
        <v>0</v>
      </c>
      <c r="E32" s="161"/>
      <c r="F32" s="161"/>
      <c r="G32" s="154">
        <f t="shared" si="6"/>
        <v>500</v>
      </c>
      <c r="H32" s="154">
        <v>500</v>
      </c>
      <c r="I32" s="154"/>
      <c r="J32" s="154">
        <f t="shared" si="7"/>
        <v>0</v>
      </c>
      <c r="K32" s="154"/>
      <c r="L32" s="161"/>
      <c r="M32" s="155">
        <f t="shared" si="8"/>
        <v>500</v>
      </c>
      <c r="N32" s="155">
        <f t="shared" si="9"/>
        <v>500</v>
      </c>
      <c r="O32" s="155">
        <f t="shared" si="9"/>
        <v>0</v>
      </c>
      <c r="P32" s="156">
        <v>0</v>
      </c>
      <c r="Q32" s="156"/>
      <c r="R32" s="157" t="e">
        <f>#REF!*P32</f>
        <v>#REF!</v>
      </c>
      <c r="S32" s="91">
        <f t="shared" si="0"/>
        <v>0</v>
      </c>
      <c r="T32" s="91"/>
      <c r="U32" s="91"/>
      <c r="V32" s="91">
        <f t="shared" si="10"/>
        <v>452</v>
      </c>
      <c r="W32" s="91">
        <f>24+20+288+72+48</f>
        <v>452</v>
      </c>
      <c r="X32" s="91"/>
      <c r="Y32" s="58">
        <f t="shared" si="13"/>
        <v>90</v>
      </c>
      <c r="Z32" s="58">
        <f t="shared" si="13"/>
        <v>90</v>
      </c>
      <c r="AA32" s="58">
        <f t="shared" si="13"/>
        <v>0</v>
      </c>
      <c r="AB32" s="91">
        <f>24+20+288+72+48</f>
        <v>452</v>
      </c>
      <c r="AC32" s="58" t="e">
        <f>#REF!*P32</f>
        <v>#REF!</v>
      </c>
      <c r="AD32" s="158">
        <f t="shared" si="11"/>
        <v>90</v>
      </c>
      <c r="AE32" s="58">
        <f t="shared" si="2"/>
        <v>0</v>
      </c>
      <c r="AF32" s="58" t="e">
        <f>#REF!*P32</f>
        <v>#REF!</v>
      </c>
      <c r="AG32" s="58">
        <f t="shared" si="12"/>
        <v>0</v>
      </c>
      <c r="AH32" s="58"/>
      <c r="AI32" s="58"/>
      <c r="AJ32" s="58">
        <f t="shared" si="3"/>
        <v>48</v>
      </c>
      <c r="AK32" s="58">
        <f t="shared" si="14"/>
        <v>48</v>
      </c>
      <c r="AL32" s="58">
        <f t="shared" si="14"/>
        <v>0</v>
      </c>
      <c r="AM32" s="159"/>
    </row>
    <row r="33" spans="1:39" ht="19.5" customHeight="1">
      <c r="A33" s="151">
        <v>22</v>
      </c>
      <c r="B33" s="160" t="s">
        <v>373</v>
      </c>
      <c r="C33" s="160" t="s">
        <v>374</v>
      </c>
      <c r="D33" s="153">
        <f t="shared" si="5"/>
        <v>0</v>
      </c>
      <c r="E33" s="161"/>
      <c r="F33" s="161"/>
      <c r="G33" s="154">
        <f t="shared" si="6"/>
        <v>0</v>
      </c>
      <c r="H33" s="154"/>
      <c r="I33" s="154"/>
      <c r="J33" s="154">
        <f t="shared" si="7"/>
        <v>100</v>
      </c>
      <c r="K33" s="154">
        <v>100</v>
      </c>
      <c r="L33" s="161"/>
      <c r="M33" s="155">
        <f t="shared" si="8"/>
        <v>100</v>
      </c>
      <c r="N33" s="155">
        <f t="shared" si="9"/>
        <v>100</v>
      </c>
      <c r="O33" s="155">
        <f t="shared" si="9"/>
        <v>0</v>
      </c>
      <c r="P33" s="156">
        <v>0</v>
      </c>
      <c r="Q33" s="156"/>
      <c r="R33" s="157" t="e">
        <f>#REF!*P33</f>
        <v>#REF!</v>
      </c>
      <c r="S33" s="91">
        <f t="shared" si="0"/>
        <v>0</v>
      </c>
      <c r="T33" s="91"/>
      <c r="U33" s="91"/>
      <c r="V33" s="91">
        <f t="shared" si="10"/>
        <v>100</v>
      </c>
      <c r="W33" s="91">
        <f>100</f>
        <v>100</v>
      </c>
      <c r="X33" s="91"/>
      <c r="Y33" s="58">
        <f t="shared" si="13"/>
        <v>100</v>
      </c>
      <c r="Z33" s="58">
        <f t="shared" si="13"/>
        <v>100</v>
      </c>
      <c r="AA33" s="58">
        <f t="shared" si="13"/>
        <v>0</v>
      </c>
      <c r="AB33" s="91">
        <f>100</f>
        <v>100</v>
      </c>
      <c r="AC33" s="58" t="e">
        <f>#REF!*P33</f>
        <v>#REF!</v>
      </c>
      <c r="AD33" s="158">
        <f t="shared" si="11"/>
        <v>100</v>
      </c>
      <c r="AE33" s="58">
        <f t="shared" si="2"/>
        <v>0</v>
      </c>
      <c r="AF33" s="58" t="e">
        <f>#REF!*P33</f>
        <v>#REF!</v>
      </c>
      <c r="AG33" s="58">
        <f t="shared" si="12"/>
        <v>0</v>
      </c>
      <c r="AH33" s="58"/>
      <c r="AI33" s="58"/>
      <c r="AJ33" s="58">
        <f t="shared" si="3"/>
        <v>0</v>
      </c>
      <c r="AK33" s="58">
        <f t="shared" si="14"/>
        <v>0</v>
      </c>
      <c r="AL33" s="58">
        <f t="shared" si="14"/>
        <v>0</v>
      </c>
      <c r="AM33" s="159"/>
    </row>
    <row r="34" spans="1:39" ht="19.5" customHeight="1">
      <c r="A34" s="151">
        <v>22</v>
      </c>
      <c r="B34" s="160" t="s">
        <v>375</v>
      </c>
      <c r="C34" s="160"/>
      <c r="D34" s="153">
        <f t="shared" si="5"/>
        <v>53</v>
      </c>
      <c r="E34" s="161">
        <v>53</v>
      </c>
      <c r="F34" s="161"/>
      <c r="G34" s="154">
        <f t="shared" si="6"/>
        <v>1</v>
      </c>
      <c r="H34" s="154">
        <v>1</v>
      </c>
      <c r="I34" s="154"/>
      <c r="J34" s="154">
        <f t="shared" si="7"/>
        <v>0</v>
      </c>
      <c r="K34" s="154"/>
      <c r="L34" s="161"/>
      <c r="M34" s="155">
        <f t="shared" si="8"/>
        <v>54</v>
      </c>
      <c r="N34" s="155">
        <f t="shared" si="9"/>
        <v>54</v>
      </c>
      <c r="O34" s="155">
        <f t="shared" si="9"/>
        <v>0</v>
      </c>
      <c r="P34" s="156">
        <v>0</v>
      </c>
      <c r="Q34" s="156"/>
      <c r="R34" s="157" t="e">
        <f>#REF!*P34</f>
        <v>#REF!</v>
      </c>
      <c r="S34" s="91">
        <f t="shared" si="0"/>
        <v>0</v>
      </c>
      <c r="T34" s="91"/>
      <c r="U34" s="91"/>
      <c r="V34" s="91">
        <f t="shared" si="10"/>
        <v>54</v>
      </c>
      <c r="W34" s="91">
        <f>30+24</f>
        <v>54</v>
      </c>
      <c r="X34" s="91"/>
      <c r="Y34" s="58">
        <f t="shared" si="13"/>
        <v>100</v>
      </c>
      <c r="Z34" s="58">
        <f t="shared" si="13"/>
        <v>100</v>
      </c>
      <c r="AA34" s="58">
        <f t="shared" si="13"/>
        <v>0</v>
      </c>
      <c r="AB34" s="91">
        <f>30+24</f>
        <v>54</v>
      </c>
      <c r="AC34" s="58" t="e">
        <f>#REF!*P34</f>
        <v>#REF!</v>
      </c>
      <c r="AD34" s="158">
        <f t="shared" si="11"/>
        <v>100</v>
      </c>
      <c r="AE34" s="58">
        <f t="shared" si="2"/>
        <v>0</v>
      </c>
      <c r="AF34" s="58" t="e">
        <f>#REF!*P34</f>
        <v>#REF!</v>
      </c>
      <c r="AG34" s="58">
        <f t="shared" si="12"/>
        <v>0</v>
      </c>
      <c r="AH34" s="58"/>
      <c r="AI34" s="58"/>
      <c r="AJ34" s="58">
        <f t="shared" si="3"/>
        <v>0</v>
      </c>
      <c r="AK34" s="58">
        <f t="shared" si="14"/>
        <v>0</v>
      </c>
      <c r="AL34" s="58">
        <f t="shared" si="14"/>
        <v>0</v>
      </c>
      <c r="AM34" s="159"/>
    </row>
    <row r="35" spans="1:39" ht="19.5" customHeight="1">
      <c r="A35" s="151">
        <v>23</v>
      </c>
      <c r="B35" s="169" t="s">
        <v>376</v>
      </c>
      <c r="C35" s="169" t="s">
        <v>350</v>
      </c>
      <c r="D35" s="153">
        <f t="shared" si="5"/>
        <v>96</v>
      </c>
      <c r="E35" s="170">
        <f>111-15</f>
        <v>96</v>
      </c>
      <c r="F35" s="170"/>
      <c r="G35" s="154">
        <f t="shared" si="6"/>
        <v>96</v>
      </c>
      <c r="H35" s="171">
        <v>96</v>
      </c>
      <c r="I35" s="171"/>
      <c r="J35" s="154">
        <f t="shared" si="7"/>
        <v>1000</v>
      </c>
      <c r="K35" s="171">
        <v>1000</v>
      </c>
      <c r="L35" s="170"/>
      <c r="M35" s="155">
        <f t="shared" si="8"/>
        <v>1192</v>
      </c>
      <c r="N35" s="155">
        <f t="shared" si="9"/>
        <v>1192</v>
      </c>
      <c r="O35" s="155">
        <f t="shared" si="9"/>
        <v>0</v>
      </c>
      <c r="P35" s="156">
        <v>0</v>
      </c>
      <c r="Q35" s="156"/>
      <c r="R35" s="172" t="e">
        <f>#REF!*P35</f>
        <v>#REF!</v>
      </c>
      <c r="S35" s="91">
        <f t="shared" si="0"/>
        <v>208</v>
      </c>
      <c r="T35" s="91">
        <v>208</v>
      </c>
      <c r="U35" s="91"/>
      <c r="V35" s="91">
        <f>W35+X35</f>
        <v>1192</v>
      </c>
      <c r="W35" s="91">
        <f>60+36+24+72+96+12+12+204+108+360+208</f>
        <v>1192</v>
      </c>
      <c r="X35" s="91"/>
      <c r="Y35" s="58">
        <f t="shared" si="13"/>
        <v>100</v>
      </c>
      <c r="Z35" s="58">
        <f t="shared" si="13"/>
        <v>100</v>
      </c>
      <c r="AA35" s="58">
        <f t="shared" si="13"/>
        <v>0</v>
      </c>
      <c r="AB35" s="91">
        <f>60+60+168+12+12+204+108+360</f>
        <v>984</v>
      </c>
      <c r="AC35" s="58" t="e">
        <f>#REF!*P35</f>
        <v>#REF!</v>
      </c>
      <c r="AD35" s="158">
        <f t="shared" si="11"/>
        <v>83</v>
      </c>
      <c r="AE35" s="58">
        <f t="shared" si="2"/>
        <v>208</v>
      </c>
      <c r="AF35" s="58" t="e">
        <f>#REF!*P35</f>
        <v>#REF!</v>
      </c>
      <c r="AG35" s="58">
        <f t="shared" si="12"/>
        <v>0</v>
      </c>
      <c r="AH35" s="58"/>
      <c r="AI35" s="58"/>
      <c r="AJ35" s="58">
        <f t="shared" si="3"/>
        <v>0</v>
      </c>
      <c r="AK35" s="58">
        <f t="shared" si="14"/>
        <v>0</v>
      </c>
      <c r="AL35" s="58">
        <f t="shared" si="14"/>
        <v>0</v>
      </c>
      <c r="AM35" s="159"/>
    </row>
    <row r="36" spans="1:39" ht="19.5" customHeight="1">
      <c r="A36" s="151">
        <v>24</v>
      </c>
      <c r="B36" s="169" t="s">
        <v>377</v>
      </c>
      <c r="C36" s="169" t="s">
        <v>378</v>
      </c>
      <c r="D36" s="153">
        <f t="shared" si="5"/>
        <v>292</v>
      </c>
      <c r="E36" s="170">
        <f>277+15</f>
        <v>292</v>
      </c>
      <c r="F36" s="170"/>
      <c r="G36" s="154">
        <f t="shared" si="6"/>
        <v>0</v>
      </c>
      <c r="H36" s="171"/>
      <c r="I36" s="171"/>
      <c r="J36" s="154">
        <f t="shared" si="7"/>
        <v>0</v>
      </c>
      <c r="K36" s="171"/>
      <c r="L36" s="170"/>
      <c r="M36" s="155">
        <f t="shared" si="8"/>
        <v>292</v>
      </c>
      <c r="N36" s="155">
        <f t="shared" si="9"/>
        <v>292</v>
      </c>
      <c r="O36" s="155">
        <f t="shared" si="9"/>
        <v>0</v>
      </c>
      <c r="P36" s="156">
        <v>0</v>
      </c>
      <c r="Q36" s="156"/>
      <c r="R36" s="172" t="e">
        <f>#REF!*P36</f>
        <v>#REF!</v>
      </c>
      <c r="S36" s="91">
        <f t="shared" si="0"/>
        <v>0</v>
      </c>
      <c r="T36" s="91"/>
      <c r="U36" s="91"/>
      <c r="V36" s="91">
        <f t="shared" si="10"/>
        <v>292</v>
      </c>
      <c r="W36" s="91">
        <f>108+100+36+24+24</f>
        <v>292</v>
      </c>
      <c r="X36" s="91"/>
      <c r="Y36" s="58">
        <f t="shared" si="13"/>
        <v>100</v>
      </c>
      <c r="Z36" s="58">
        <f t="shared" si="13"/>
        <v>100</v>
      </c>
      <c r="AA36" s="58">
        <f t="shared" si="13"/>
        <v>0</v>
      </c>
      <c r="AB36" s="91">
        <f>108+100+36+24+24</f>
        <v>292</v>
      </c>
      <c r="AC36" s="58" t="e">
        <f>#REF!*P36</f>
        <v>#REF!</v>
      </c>
      <c r="AD36" s="158">
        <f t="shared" si="11"/>
        <v>100</v>
      </c>
      <c r="AE36" s="58">
        <f t="shared" si="2"/>
        <v>0</v>
      </c>
      <c r="AF36" s="58" t="e">
        <f>#REF!*P36</f>
        <v>#REF!</v>
      </c>
      <c r="AG36" s="58">
        <f t="shared" si="12"/>
        <v>0</v>
      </c>
      <c r="AH36" s="58"/>
      <c r="AI36" s="58"/>
      <c r="AJ36" s="58">
        <f t="shared" si="3"/>
        <v>0</v>
      </c>
      <c r="AK36" s="58">
        <f t="shared" si="14"/>
        <v>0</v>
      </c>
      <c r="AL36" s="58">
        <f t="shared" si="14"/>
        <v>0</v>
      </c>
      <c r="AM36" s="159"/>
    </row>
    <row r="37" spans="1:39" ht="36" customHeight="1">
      <c r="A37" s="151">
        <v>26</v>
      </c>
      <c r="B37" s="152" t="s">
        <v>379</v>
      </c>
      <c r="C37" s="160" t="s">
        <v>380</v>
      </c>
      <c r="D37" s="153">
        <f t="shared" si="5"/>
        <v>0</v>
      </c>
      <c r="E37" s="161"/>
      <c r="F37" s="161"/>
      <c r="G37" s="154">
        <f t="shared" si="6"/>
        <v>0</v>
      </c>
      <c r="H37" s="154"/>
      <c r="I37" s="154"/>
      <c r="J37" s="154">
        <f t="shared" si="7"/>
        <v>500</v>
      </c>
      <c r="K37" s="154">
        <v>500</v>
      </c>
      <c r="L37" s="161"/>
      <c r="M37" s="155">
        <f t="shared" si="8"/>
        <v>500</v>
      </c>
      <c r="N37" s="155">
        <f t="shared" si="9"/>
        <v>500</v>
      </c>
      <c r="O37" s="155">
        <f t="shared" si="9"/>
        <v>0</v>
      </c>
      <c r="P37" s="156">
        <v>0</v>
      </c>
      <c r="Q37" s="156"/>
      <c r="R37" s="157" t="e">
        <f>#REF!*P37</f>
        <v>#REF!</v>
      </c>
      <c r="S37" s="91">
        <f t="shared" si="0"/>
        <v>0</v>
      </c>
      <c r="T37" s="91"/>
      <c r="U37" s="91"/>
      <c r="V37" s="91">
        <f t="shared" si="10"/>
        <v>500</v>
      </c>
      <c r="W37" s="91">
        <f>24+24+180+156+116</f>
        <v>500</v>
      </c>
      <c r="X37" s="91"/>
      <c r="Y37" s="58">
        <f t="shared" si="13"/>
        <v>100</v>
      </c>
      <c r="Z37" s="58">
        <f t="shared" si="13"/>
        <v>100</v>
      </c>
      <c r="AA37" s="58">
        <f t="shared" si="13"/>
        <v>0</v>
      </c>
      <c r="AB37" s="91">
        <f>24+24+180+156+116</f>
        <v>500</v>
      </c>
      <c r="AC37" s="58" t="e">
        <f>#REF!*P37</f>
        <v>#REF!</v>
      </c>
      <c r="AD37" s="158">
        <f t="shared" si="11"/>
        <v>100</v>
      </c>
      <c r="AE37" s="58">
        <f t="shared" si="2"/>
        <v>0</v>
      </c>
      <c r="AF37" s="58" t="e">
        <f>#REF!*P37</f>
        <v>#REF!</v>
      </c>
      <c r="AG37" s="58">
        <f t="shared" si="12"/>
        <v>0</v>
      </c>
      <c r="AH37" s="58"/>
      <c r="AI37" s="58"/>
      <c r="AJ37" s="58">
        <f t="shared" si="3"/>
        <v>0</v>
      </c>
      <c r="AK37" s="58">
        <f t="shared" si="14"/>
        <v>0</v>
      </c>
      <c r="AL37" s="58">
        <f t="shared" si="14"/>
        <v>0</v>
      </c>
      <c r="AM37" s="159"/>
    </row>
    <row r="38" spans="1:39" ht="36" customHeight="1">
      <c r="A38" s="151">
        <v>27</v>
      </c>
      <c r="B38" s="152" t="s">
        <v>379</v>
      </c>
      <c r="C38" s="160" t="s">
        <v>381</v>
      </c>
      <c r="D38" s="153">
        <f t="shared" si="5"/>
        <v>108</v>
      </c>
      <c r="E38" s="161">
        <v>108</v>
      </c>
      <c r="F38" s="161"/>
      <c r="G38" s="154">
        <f t="shared" si="6"/>
        <v>3615</v>
      </c>
      <c r="H38" s="154">
        <v>3615</v>
      </c>
      <c r="I38" s="154"/>
      <c r="J38" s="154">
        <f t="shared" si="7"/>
        <v>0</v>
      </c>
      <c r="K38" s="154"/>
      <c r="L38" s="161"/>
      <c r="M38" s="155">
        <f t="shared" si="8"/>
        <v>3723</v>
      </c>
      <c r="N38" s="155">
        <f t="shared" si="9"/>
        <v>3723</v>
      </c>
      <c r="O38" s="155">
        <f t="shared" si="9"/>
        <v>0</v>
      </c>
      <c r="P38" s="156">
        <v>0</v>
      </c>
      <c r="Q38" s="156"/>
      <c r="R38" s="157" t="e">
        <f>#REF!*P38</f>
        <v>#REF!</v>
      </c>
      <c r="S38" s="91">
        <f t="shared" si="0"/>
        <v>0</v>
      </c>
      <c r="T38" s="91"/>
      <c r="U38" s="91"/>
      <c r="V38" s="91">
        <f t="shared" si="10"/>
        <v>3723</v>
      </c>
      <c r="W38" s="91">
        <f>132+540+276+300+360+144+336+1164+180+291</f>
        <v>3723</v>
      </c>
      <c r="X38" s="91"/>
      <c r="Y38" s="58">
        <f t="shared" si="13"/>
        <v>100</v>
      </c>
      <c r="Z38" s="58">
        <f t="shared" si="13"/>
        <v>100</v>
      </c>
      <c r="AA38" s="58">
        <f t="shared" si="13"/>
        <v>0</v>
      </c>
      <c r="AB38" s="91">
        <f>132+540+276+300+360+2115</f>
        <v>3723</v>
      </c>
      <c r="AC38" s="58" t="e">
        <f>#REF!*P38</f>
        <v>#REF!</v>
      </c>
      <c r="AD38" s="158">
        <f t="shared" si="11"/>
        <v>100</v>
      </c>
      <c r="AE38" s="79">
        <f t="shared" si="2"/>
        <v>0</v>
      </c>
      <c r="AF38" s="58" t="e">
        <f>#REF!*P38</f>
        <v>#REF!</v>
      </c>
      <c r="AG38" s="58">
        <f t="shared" si="12"/>
        <v>0</v>
      </c>
      <c r="AH38" s="58"/>
      <c r="AI38" s="58"/>
      <c r="AJ38" s="58">
        <f t="shared" si="3"/>
        <v>0</v>
      </c>
      <c r="AK38" s="58">
        <f t="shared" si="14"/>
        <v>0</v>
      </c>
      <c r="AL38" s="58">
        <f t="shared" si="14"/>
        <v>0</v>
      </c>
      <c r="AM38" s="159"/>
    </row>
    <row r="39" spans="1:39" ht="19.5" customHeight="1">
      <c r="A39" s="151">
        <v>32</v>
      </c>
      <c r="B39" s="152" t="s">
        <v>382</v>
      </c>
      <c r="C39" s="152" t="s">
        <v>383</v>
      </c>
      <c r="D39" s="153">
        <f t="shared" si="5"/>
        <v>0</v>
      </c>
      <c r="E39" s="153"/>
      <c r="F39" s="153"/>
      <c r="G39" s="154">
        <f>H39+I39</f>
        <v>0</v>
      </c>
      <c r="H39" s="154"/>
      <c r="I39" s="154">
        <v>0</v>
      </c>
      <c r="J39" s="154">
        <f t="shared" si="7"/>
        <v>1</v>
      </c>
      <c r="K39" s="154"/>
      <c r="L39" s="153">
        <v>1</v>
      </c>
      <c r="M39" s="155">
        <f t="shared" si="8"/>
        <v>1</v>
      </c>
      <c r="N39" s="155">
        <f t="shared" si="9"/>
        <v>0</v>
      </c>
      <c r="O39" s="155">
        <f t="shared" si="9"/>
        <v>1</v>
      </c>
      <c r="P39" s="156">
        <v>0</v>
      </c>
      <c r="Q39" s="156"/>
      <c r="R39" s="157">
        <f t="shared" ref="R39" si="15">M39*P39</f>
        <v>0</v>
      </c>
      <c r="S39" s="91">
        <f t="shared" si="0"/>
        <v>0</v>
      </c>
      <c r="T39" s="91"/>
      <c r="U39" s="91"/>
      <c r="V39" s="91">
        <f t="shared" si="10"/>
        <v>1</v>
      </c>
      <c r="W39" s="91"/>
      <c r="X39" s="91">
        <v>1</v>
      </c>
      <c r="Y39" s="58">
        <f t="shared" si="13"/>
        <v>100</v>
      </c>
      <c r="Z39" s="58">
        <f t="shared" si="13"/>
        <v>0</v>
      </c>
      <c r="AA39" s="58">
        <f t="shared" si="13"/>
        <v>100</v>
      </c>
      <c r="AB39" s="91"/>
      <c r="AC39" s="58" t="e">
        <f>#REF!*P39</f>
        <v>#REF!</v>
      </c>
      <c r="AD39" s="158">
        <f t="shared" si="11"/>
        <v>0</v>
      </c>
      <c r="AE39" s="58">
        <f t="shared" si="2"/>
        <v>0</v>
      </c>
      <c r="AF39" s="58" t="e">
        <f>#REF!*P39</f>
        <v>#REF!</v>
      </c>
      <c r="AG39" s="58">
        <f t="shared" si="12"/>
        <v>0</v>
      </c>
      <c r="AH39" s="58"/>
      <c r="AI39" s="58"/>
      <c r="AJ39" s="58">
        <f t="shared" si="3"/>
        <v>0</v>
      </c>
      <c r="AK39" s="58">
        <f t="shared" si="14"/>
        <v>0</v>
      </c>
      <c r="AL39" s="58">
        <f t="shared" si="14"/>
        <v>0</v>
      </c>
      <c r="AM39" s="159"/>
    </row>
    <row r="40" spans="1:39" ht="19.5" customHeight="1">
      <c r="A40" s="151">
        <v>28</v>
      </c>
      <c r="B40" s="160" t="s">
        <v>384</v>
      </c>
      <c r="C40" s="160"/>
      <c r="D40" s="153">
        <f t="shared" si="5"/>
        <v>0</v>
      </c>
      <c r="E40" s="161"/>
      <c r="F40" s="161"/>
      <c r="G40" s="154">
        <f t="shared" si="6"/>
        <v>0</v>
      </c>
      <c r="H40" s="154"/>
      <c r="I40" s="154">
        <v>0</v>
      </c>
      <c r="J40" s="154">
        <f t="shared" si="7"/>
        <v>220</v>
      </c>
      <c r="K40" s="154">
        <v>220</v>
      </c>
      <c r="L40" s="161"/>
      <c r="M40" s="155">
        <f t="shared" si="8"/>
        <v>220</v>
      </c>
      <c r="N40" s="155">
        <f t="shared" si="9"/>
        <v>220</v>
      </c>
      <c r="O40" s="155">
        <f t="shared" si="9"/>
        <v>0</v>
      </c>
      <c r="P40" s="156">
        <v>0</v>
      </c>
      <c r="Q40" s="156"/>
      <c r="R40" s="157">
        <v>0</v>
      </c>
      <c r="S40" s="91">
        <f t="shared" si="0"/>
        <v>72</v>
      </c>
      <c r="T40" s="91">
        <v>72</v>
      </c>
      <c r="U40" s="91"/>
      <c r="V40" s="91">
        <f t="shared" si="10"/>
        <v>220</v>
      </c>
      <c r="W40" s="91">
        <f>148+72</f>
        <v>220</v>
      </c>
      <c r="X40" s="91"/>
      <c r="Y40" s="58">
        <f t="shared" si="13"/>
        <v>100</v>
      </c>
      <c r="Z40" s="58">
        <f t="shared" si="13"/>
        <v>100</v>
      </c>
      <c r="AA40" s="58">
        <f t="shared" si="13"/>
        <v>0</v>
      </c>
      <c r="AB40" s="91">
        <v>220</v>
      </c>
      <c r="AC40" s="58" t="e">
        <f>#REF!*P40</f>
        <v>#REF!</v>
      </c>
      <c r="AD40" s="158">
        <f t="shared" si="11"/>
        <v>100</v>
      </c>
      <c r="AE40" s="58">
        <f t="shared" si="2"/>
        <v>0</v>
      </c>
      <c r="AF40" s="58" t="e">
        <f>#REF!*P40</f>
        <v>#REF!</v>
      </c>
      <c r="AG40" s="58">
        <f t="shared" si="12"/>
        <v>0</v>
      </c>
      <c r="AH40" s="58"/>
      <c r="AI40" s="58"/>
      <c r="AJ40" s="58">
        <f t="shared" si="3"/>
        <v>0</v>
      </c>
      <c r="AK40" s="58">
        <f t="shared" si="14"/>
        <v>0</v>
      </c>
      <c r="AL40" s="58">
        <f t="shared" si="14"/>
        <v>0</v>
      </c>
      <c r="AM40" s="159"/>
    </row>
    <row r="41" spans="1:39" ht="19.5" customHeight="1">
      <c r="A41" s="151">
        <v>30</v>
      </c>
      <c r="B41" s="152" t="s">
        <v>385</v>
      </c>
      <c r="C41" s="152" t="s">
        <v>386</v>
      </c>
      <c r="D41" s="153">
        <f t="shared" si="5"/>
        <v>266</v>
      </c>
      <c r="E41" s="153"/>
      <c r="F41" s="153">
        <v>266</v>
      </c>
      <c r="G41" s="154">
        <f>H41+I41</f>
        <v>0</v>
      </c>
      <c r="H41" s="154"/>
      <c r="I41" s="154">
        <v>0</v>
      </c>
      <c r="J41" s="154">
        <f t="shared" si="7"/>
        <v>0</v>
      </c>
      <c r="K41" s="154"/>
      <c r="L41" s="153"/>
      <c r="M41" s="155">
        <f t="shared" si="8"/>
        <v>266</v>
      </c>
      <c r="N41" s="155">
        <f t="shared" si="9"/>
        <v>0</v>
      </c>
      <c r="O41" s="155">
        <f t="shared" si="9"/>
        <v>266</v>
      </c>
      <c r="P41" s="156">
        <v>0</v>
      </c>
      <c r="Q41" s="156"/>
      <c r="R41" s="157">
        <f t="shared" ref="R41" si="16">M41*P41</f>
        <v>0</v>
      </c>
      <c r="S41" s="91">
        <f t="shared" si="0"/>
        <v>0</v>
      </c>
      <c r="T41" s="91"/>
      <c r="U41" s="91"/>
      <c r="V41" s="91">
        <f t="shared" si="10"/>
        <v>266</v>
      </c>
      <c r="W41" s="91"/>
      <c r="X41" s="91">
        <f>144+108+14</f>
        <v>266</v>
      </c>
      <c r="Y41" s="58">
        <f t="shared" si="13"/>
        <v>100</v>
      </c>
      <c r="Z41" s="58">
        <f t="shared" si="13"/>
        <v>0</v>
      </c>
      <c r="AA41" s="58">
        <f t="shared" si="13"/>
        <v>100</v>
      </c>
      <c r="AB41" s="91"/>
      <c r="AC41" s="58" t="e">
        <f>#REF!*P41</f>
        <v>#REF!</v>
      </c>
      <c r="AD41" s="158">
        <f t="shared" si="11"/>
        <v>0</v>
      </c>
      <c r="AE41" s="58">
        <f t="shared" si="2"/>
        <v>0</v>
      </c>
      <c r="AF41" s="58" t="e">
        <f>#REF!*P41</f>
        <v>#REF!</v>
      </c>
      <c r="AG41" s="58">
        <f t="shared" si="12"/>
        <v>0</v>
      </c>
      <c r="AH41" s="58"/>
      <c r="AI41" s="58"/>
      <c r="AJ41" s="58">
        <f t="shared" si="3"/>
        <v>0</v>
      </c>
      <c r="AK41" s="58">
        <f t="shared" si="14"/>
        <v>0</v>
      </c>
      <c r="AL41" s="58">
        <f t="shared" si="14"/>
        <v>0</v>
      </c>
      <c r="AM41" s="159"/>
    </row>
    <row r="42" spans="1:39" ht="30" customHeight="1">
      <c r="A42" s="151">
        <v>31</v>
      </c>
      <c r="B42" s="160" t="s">
        <v>387</v>
      </c>
      <c r="C42" s="160" t="s">
        <v>388</v>
      </c>
      <c r="D42" s="153">
        <f>F42+E42</f>
        <v>0</v>
      </c>
      <c r="E42" s="161"/>
      <c r="F42" s="161"/>
      <c r="G42" s="154">
        <f t="shared" ref="G42" si="17">H42+I42</f>
        <v>6392</v>
      </c>
      <c r="H42" s="154">
        <v>2000</v>
      </c>
      <c r="I42" s="154">
        <v>4392</v>
      </c>
      <c r="J42" s="154">
        <f t="shared" si="7"/>
        <v>0</v>
      </c>
      <c r="K42" s="154"/>
      <c r="L42" s="161"/>
      <c r="M42" s="155">
        <f>N42+O42</f>
        <v>6392</v>
      </c>
      <c r="N42" s="155">
        <f t="shared" ref="N42" si="18">E42+H42+K42</f>
        <v>2000</v>
      </c>
      <c r="O42" s="155">
        <f>F42+I42+L42</f>
        <v>4392</v>
      </c>
      <c r="P42" s="156">
        <v>0</v>
      </c>
      <c r="Q42" s="156"/>
      <c r="R42" s="157" t="e">
        <f>#REF!*P42</f>
        <v>#REF!</v>
      </c>
      <c r="S42" s="91">
        <f t="shared" si="0"/>
        <v>216</v>
      </c>
      <c r="T42" s="91"/>
      <c r="U42" s="91">
        <v>216</v>
      </c>
      <c r="V42" s="91">
        <f t="shared" si="10"/>
        <v>5436</v>
      </c>
      <c r="W42" s="91">
        <f>792+36+216+36+36+72+36</f>
        <v>1224</v>
      </c>
      <c r="X42" s="91">
        <f>288+180+324+324+288+144+144+144+252+288+216+504+144+216+144+396+216</f>
        <v>4212</v>
      </c>
      <c r="Y42" s="58">
        <f t="shared" si="13"/>
        <v>85</v>
      </c>
      <c r="Z42" s="58">
        <f t="shared" si="13"/>
        <v>61</v>
      </c>
      <c r="AA42" s="58">
        <f t="shared" si="13"/>
        <v>96</v>
      </c>
      <c r="AB42" s="91">
        <f>792+36+216+36+36+72+36</f>
        <v>1224</v>
      </c>
      <c r="AC42" s="58" t="e">
        <f>#REF!*P42</f>
        <v>#REF!</v>
      </c>
      <c r="AD42" s="158">
        <f t="shared" si="11"/>
        <v>19</v>
      </c>
      <c r="AE42" s="58">
        <f t="shared" si="2"/>
        <v>0</v>
      </c>
      <c r="AF42" s="58" t="e">
        <f>#REF!*P42</f>
        <v>#REF!</v>
      </c>
      <c r="AG42" s="58">
        <f t="shared" si="12"/>
        <v>0</v>
      </c>
      <c r="AH42" s="58"/>
      <c r="AI42" s="58"/>
      <c r="AJ42" s="58">
        <f t="shared" si="3"/>
        <v>956</v>
      </c>
      <c r="AK42" s="58">
        <f t="shared" si="14"/>
        <v>776</v>
      </c>
      <c r="AL42" s="58">
        <f t="shared" si="14"/>
        <v>180</v>
      </c>
      <c r="AM42" s="159"/>
    </row>
    <row r="43" spans="1:39" ht="17.25" customHeight="1">
      <c r="A43" s="49"/>
      <c r="B43" s="173" t="s">
        <v>389</v>
      </c>
      <c r="C43" s="173"/>
      <c r="D43" s="174">
        <f t="shared" ref="D43:O43" si="19">SUM(D11:D42)</f>
        <v>2088</v>
      </c>
      <c r="E43" s="174">
        <f t="shared" si="19"/>
        <v>1020</v>
      </c>
      <c r="F43" s="174">
        <f t="shared" si="19"/>
        <v>1068</v>
      </c>
      <c r="G43" s="174">
        <f t="shared" si="19"/>
        <v>73503</v>
      </c>
      <c r="H43" s="174">
        <f t="shared" si="19"/>
        <v>65562</v>
      </c>
      <c r="I43" s="174">
        <f t="shared" si="19"/>
        <v>7941</v>
      </c>
      <c r="J43" s="174">
        <f t="shared" si="19"/>
        <v>5020</v>
      </c>
      <c r="K43" s="174">
        <f t="shared" si="19"/>
        <v>4417</v>
      </c>
      <c r="L43" s="174">
        <f t="shared" si="19"/>
        <v>603</v>
      </c>
      <c r="M43" s="175">
        <f t="shared" si="19"/>
        <v>80611</v>
      </c>
      <c r="N43" s="175">
        <f t="shared" si="19"/>
        <v>70999</v>
      </c>
      <c r="O43" s="175">
        <f t="shared" si="19"/>
        <v>9612</v>
      </c>
      <c r="P43" s="156"/>
      <c r="Q43" s="176"/>
      <c r="R43" s="177" t="e">
        <f>SUM(R14:R42)</f>
        <v>#REF!</v>
      </c>
      <c r="S43" s="178">
        <f t="shared" ref="S43:X43" si="20">SUM(S11:S42)</f>
        <v>1392</v>
      </c>
      <c r="T43" s="178">
        <f t="shared" si="20"/>
        <v>1128</v>
      </c>
      <c r="U43" s="178">
        <f t="shared" si="20"/>
        <v>264</v>
      </c>
      <c r="V43" s="178">
        <f t="shared" si="20"/>
        <v>79367</v>
      </c>
      <c r="W43" s="178">
        <f t="shared" si="20"/>
        <v>69987</v>
      </c>
      <c r="X43" s="178">
        <f t="shared" si="20"/>
        <v>9380</v>
      </c>
      <c r="Y43" s="58">
        <f>IF(M43&gt;0,ROUND((V43/M43)*100,0),0)</f>
        <v>98</v>
      </c>
      <c r="Z43" s="58">
        <f t="shared" ref="Z43:AA43" si="21">IF(N43&gt;0,ROUND((W43/N43)*100,0),0)</f>
        <v>99</v>
      </c>
      <c r="AA43" s="58">
        <f t="shared" si="21"/>
        <v>98</v>
      </c>
      <c r="AB43" s="178">
        <f>SUM(AB11:AB42)</f>
        <v>68931</v>
      </c>
      <c r="AC43" s="178" t="e">
        <f>SUM(#REF!)</f>
        <v>#REF!</v>
      </c>
      <c r="AD43" s="158">
        <f>IF(N43&gt;0,ROUND((AB43/N43)*100,0),0)</f>
        <v>97</v>
      </c>
      <c r="AE43" s="178">
        <f t="shared" ref="AE43:AL43" si="22">SUM(AE11:AE42)</f>
        <v>1056</v>
      </c>
      <c r="AF43" s="178" t="e">
        <f t="shared" si="22"/>
        <v>#REF!</v>
      </c>
      <c r="AG43" s="178">
        <f t="shared" si="22"/>
        <v>0</v>
      </c>
      <c r="AH43" s="178">
        <f t="shared" si="22"/>
        <v>0</v>
      </c>
      <c r="AI43" s="178">
        <f t="shared" si="22"/>
        <v>0</v>
      </c>
      <c r="AJ43" s="178">
        <f t="shared" si="22"/>
        <v>1244</v>
      </c>
      <c r="AK43" s="178">
        <f t="shared" si="22"/>
        <v>1012</v>
      </c>
      <c r="AL43" s="178">
        <f t="shared" si="22"/>
        <v>232</v>
      </c>
      <c r="AM43" s="159"/>
    </row>
    <row r="44" spans="1:39" ht="17.25" customHeight="1">
      <c r="A44" s="51"/>
      <c r="B44" s="51"/>
      <c r="C44" s="51"/>
      <c r="D44" s="153"/>
      <c r="E44" s="153"/>
      <c r="F44" s="153"/>
      <c r="G44" s="153"/>
      <c r="H44" s="153"/>
      <c r="I44" s="153"/>
      <c r="J44" s="153"/>
      <c r="K44" s="153"/>
      <c r="L44" s="153"/>
      <c r="M44" s="155"/>
      <c r="N44" s="155"/>
      <c r="O44" s="155"/>
      <c r="P44" s="179"/>
      <c r="Q44" s="179"/>
      <c r="R44" s="58"/>
      <c r="S44" s="58"/>
      <c r="T44" s="58"/>
      <c r="U44" s="58"/>
      <c r="V44" s="58"/>
      <c r="W44" s="58"/>
      <c r="X44" s="58"/>
      <c r="Y44" s="155"/>
      <c r="Z44" s="155"/>
      <c r="AA44" s="155"/>
      <c r="AB44" s="179"/>
      <c r="AC44" s="58"/>
      <c r="AD44" s="58"/>
      <c r="AE44" s="58"/>
      <c r="AF44" s="180"/>
      <c r="AG44" s="180"/>
      <c r="AH44" s="180"/>
      <c r="AI44" s="180"/>
      <c r="AJ44" s="181">
        <f xml:space="preserve"> IF($W$4&gt;0,AJ43/$W$4,0)</f>
        <v>1244</v>
      </c>
      <c r="AK44" s="181">
        <f xml:space="preserve"> IF($W$4&gt;0,AK43/$W$4,0)</f>
        <v>1012</v>
      </c>
      <c r="AL44" s="181">
        <f xml:space="preserve"> IF($W$4&gt;0,AL43/$W$4,0)</f>
        <v>232</v>
      </c>
      <c r="AM44" s="159"/>
    </row>
    <row r="45" spans="1:39" ht="17.25" customHeight="1">
      <c r="A45" s="146" t="s">
        <v>390</v>
      </c>
      <c r="B45" s="147"/>
      <c r="C45" s="147"/>
      <c r="D45" s="148"/>
      <c r="E45" s="148"/>
      <c r="F45" s="148"/>
      <c r="G45" s="148"/>
      <c r="H45" s="148"/>
      <c r="I45" s="148"/>
      <c r="J45" s="148"/>
      <c r="K45" s="148"/>
      <c r="L45" s="148"/>
      <c r="M45" s="155"/>
      <c r="N45" s="155"/>
      <c r="O45" s="155"/>
      <c r="P45" s="179"/>
      <c r="Q45" s="179"/>
      <c r="R45" s="58"/>
      <c r="S45" s="91"/>
      <c r="T45" s="91"/>
      <c r="U45" s="91"/>
      <c r="V45" s="58"/>
      <c r="W45" s="58"/>
      <c r="X45" s="58"/>
      <c r="Y45" s="155"/>
      <c r="Z45" s="155"/>
      <c r="AA45" s="155"/>
      <c r="AB45" s="179"/>
      <c r="AC45" s="58"/>
      <c r="AD45" s="58"/>
      <c r="AE45" s="58"/>
      <c r="AF45" s="58"/>
      <c r="AG45" s="58"/>
      <c r="AH45" s="58"/>
      <c r="AI45" s="58"/>
      <c r="AJ45" s="58"/>
      <c r="AK45" s="58"/>
      <c r="AL45" s="58"/>
      <c r="AM45" s="159"/>
    </row>
    <row r="46" spans="1:39" ht="20.25" customHeight="1">
      <c r="A46" s="151">
        <v>1</v>
      </c>
      <c r="B46" s="152" t="s">
        <v>391</v>
      </c>
      <c r="C46" s="152"/>
      <c r="D46" s="153">
        <f t="shared" ref="D46:D117" si="23">F46+E46</f>
        <v>20</v>
      </c>
      <c r="E46" s="153">
        <v>20</v>
      </c>
      <c r="F46" s="153"/>
      <c r="G46" s="154">
        <f t="shared" ref="G46:G120" si="24">H46+I46</f>
        <v>50</v>
      </c>
      <c r="H46" s="154">
        <v>50</v>
      </c>
      <c r="I46" s="154"/>
      <c r="J46" s="182">
        <f t="shared" ref="J46:J117" si="25">K46+L46</f>
        <v>0</v>
      </c>
      <c r="K46" s="153"/>
      <c r="L46" s="153"/>
      <c r="M46" s="155">
        <f>N46+O46</f>
        <v>70</v>
      </c>
      <c r="N46" s="155">
        <f>E46+H46+K46</f>
        <v>70</v>
      </c>
      <c r="O46" s="155">
        <f>F46+I46+L46</f>
        <v>0</v>
      </c>
      <c r="P46" s="156">
        <v>0</v>
      </c>
      <c r="Q46" s="183"/>
      <c r="R46" s="157">
        <f>M46*P46</f>
        <v>0</v>
      </c>
      <c r="S46" s="91">
        <f t="shared" ref="S46:S117" si="26">T46+U46</f>
        <v>0</v>
      </c>
      <c r="T46" s="91"/>
      <c r="U46" s="91"/>
      <c r="V46" s="91">
        <f t="shared" ref="V46:V120" si="27">W46+X46</f>
        <v>50</v>
      </c>
      <c r="W46" s="91">
        <f>20+20+10</f>
        <v>50</v>
      </c>
      <c r="X46" s="91"/>
      <c r="Y46" s="58">
        <f t="shared" ref="Y46:AA117" si="28">IF(M46&gt;0,ROUND((V46/M46)*100,0),0)</f>
        <v>71</v>
      </c>
      <c r="Z46" s="58">
        <f t="shared" si="28"/>
        <v>71</v>
      </c>
      <c r="AA46" s="58">
        <f t="shared" si="28"/>
        <v>0</v>
      </c>
      <c r="AB46" s="91">
        <f>40+10</f>
        <v>50</v>
      </c>
      <c r="AC46" s="58" t="e">
        <f>#REF!*P46</f>
        <v>#REF!</v>
      </c>
      <c r="AD46" s="158">
        <f t="shared" ref="AD46:AD120" si="29">IF(M46&gt;0,ROUND((AB46/M46)*100,0),0)</f>
        <v>71</v>
      </c>
      <c r="AE46" s="58">
        <f t="shared" ref="AE46:AE117" si="30">W46-AB46</f>
        <v>0</v>
      </c>
      <c r="AF46" s="58" t="e">
        <f>#REF!*P46</f>
        <v>#REF!</v>
      </c>
      <c r="AG46" s="58">
        <f t="shared" ref="AG46:AG124" si="31">AH46+AI46</f>
        <v>0</v>
      </c>
      <c r="AH46" s="58"/>
      <c r="AI46" s="58"/>
      <c r="AJ46" s="58">
        <f t="shared" ref="AJ46:AJ117" si="32">AK46+AL46</f>
        <v>20</v>
      </c>
      <c r="AK46" s="58">
        <f t="shared" ref="AK46:AL117" si="33">N46-W46</f>
        <v>20</v>
      </c>
      <c r="AL46" s="58">
        <f>O46-X46</f>
        <v>0</v>
      </c>
      <c r="AM46" s="159"/>
    </row>
    <row r="47" spans="1:39" ht="20.25" customHeight="1">
      <c r="A47" s="151">
        <v>2</v>
      </c>
      <c r="B47" s="169" t="s">
        <v>392</v>
      </c>
      <c r="C47" s="152"/>
      <c r="D47" s="153">
        <f t="shared" si="23"/>
        <v>0</v>
      </c>
      <c r="E47" s="153"/>
      <c r="F47" s="153"/>
      <c r="G47" s="154">
        <f t="shared" si="24"/>
        <v>1500</v>
      </c>
      <c r="H47" s="154">
        <v>1500</v>
      </c>
      <c r="I47" s="154"/>
      <c r="J47" s="182">
        <f t="shared" si="25"/>
        <v>0</v>
      </c>
      <c r="K47" s="153"/>
      <c r="L47" s="153"/>
      <c r="M47" s="155">
        <f t="shared" ref="M47:M118" si="34">N47+O47</f>
        <v>1500</v>
      </c>
      <c r="N47" s="155">
        <f t="shared" ref="N47:O118" si="35">E47+H47+K47</f>
        <v>1500</v>
      </c>
      <c r="O47" s="155">
        <f t="shared" si="35"/>
        <v>0</v>
      </c>
      <c r="P47" s="156">
        <v>0</v>
      </c>
      <c r="Q47" s="183"/>
      <c r="R47" s="157">
        <f>M47*P47</f>
        <v>0</v>
      </c>
      <c r="S47" s="91">
        <f t="shared" si="26"/>
        <v>0</v>
      </c>
      <c r="T47" s="91"/>
      <c r="U47" s="91"/>
      <c r="V47" s="91">
        <f t="shared" si="27"/>
        <v>1500</v>
      </c>
      <c r="W47" s="91">
        <f>100+10+10+210+100+240+150+100+60+400+120</f>
        <v>1500</v>
      </c>
      <c r="X47" s="91"/>
      <c r="Y47" s="58">
        <f t="shared" si="28"/>
        <v>100</v>
      </c>
      <c r="Z47" s="58">
        <f t="shared" si="28"/>
        <v>100</v>
      </c>
      <c r="AA47" s="58">
        <f t="shared" si="28"/>
        <v>0</v>
      </c>
      <c r="AB47" s="91">
        <f>100+20+210+100+240+150+100+60+400+120</f>
        <v>1500</v>
      </c>
      <c r="AC47" s="58" t="e">
        <f>#REF!*P47</f>
        <v>#REF!</v>
      </c>
      <c r="AD47" s="158">
        <f t="shared" si="29"/>
        <v>100</v>
      </c>
      <c r="AE47" s="58">
        <f t="shared" si="30"/>
        <v>0</v>
      </c>
      <c r="AF47" s="58" t="e">
        <f>#REF!*P47</f>
        <v>#REF!</v>
      </c>
      <c r="AG47" s="58">
        <f t="shared" si="31"/>
        <v>0</v>
      </c>
      <c r="AH47" s="58"/>
      <c r="AI47" s="58"/>
      <c r="AJ47" s="58">
        <f t="shared" si="32"/>
        <v>0</v>
      </c>
      <c r="AK47" s="58">
        <f t="shared" si="33"/>
        <v>0</v>
      </c>
      <c r="AL47" s="58">
        <f t="shared" si="33"/>
        <v>0</v>
      </c>
      <c r="AM47" s="159"/>
    </row>
    <row r="48" spans="1:39" ht="20.25" customHeight="1">
      <c r="A48" s="151">
        <v>3</v>
      </c>
      <c r="B48" s="152" t="s">
        <v>393</v>
      </c>
      <c r="C48" s="152"/>
      <c r="D48" s="153">
        <f t="shared" si="23"/>
        <v>180</v>
      </c>
      <c r="E48" s="153">
        <v>180</v>
      </c>
      <c r="F48" s="153"/>
      <c r="G48" s="154">
        <f t="shared" si="24"/>
        <v>2000</v>
      </c>
      <c r="H48" s="154">
        <v>2000</v>
      </c>
      <c r="I48" s="154"/>
      <c r="J48" s="182">
        <f t="shared" si="25"/>
        <v>0</v>
      </c>
      <c r="K48" s="153"/>
      <c r="L48" s="153"/>
      <c r="M48" s="155">
        <f t="shared" si="34"/>
        <v>2180</v>
      </c>
      <c r="N48" s="155">
        <f t="shared" si="35"/>
        <v>2180</v>
      </c>
      <c r="O48" s="155">
        <f t="shared" si="35"/>
        <v>0</v>
      </c>
      <c r="P48" s="156">
        <v>0</v>
      </c>
      <c r="Q48" s="156"/>
      <c r="R48" s="157" t="e">
        <f>#REF!*P48</f>
        <v>#REF!</v>
      </c>
      <c r="S48" s="91">
        <f t="shared" si="26"/>
        <v>0</v>
      </c>
      <c r="T48" s="91"/>
      <c r="U48" s="91"/>
      <c r="V48" s="91">
        <f t="shared" si="27"/>
        <v>2180</v>
      </c>
      <c r="W48" s="91">
        <f>30+100+50+40+280+470+90+640+200+190+90</f>
        <v>2180</v>
      </c>
      <c r="X48" s="91"/>
      <c r="Y48" s="58">
        <f t="shared" si="28"/>
        <v>100</v>
      </c>
      <c r="Z48" s="58">
        <f t="shared" si="28"/>
        <v>100</v>
      </c>
      <c r="AA48" s="58">
        <f t="shared" si="28"/>
        <v>0</v>
      </c>
      <c r="AB48" s="91">
        <f>30+100+90+280+470+90+640+200+190+90</f>
        <v>2180</v>
      </c>
      <c r="AC48" s="58" t="e">
        <f>#REF!*P48</f>
        <v>#REF!</v>
      </c>
      <c r="AD48" s="158">
        <f t="shared" si="29"/>
        <v>100</v>
      </c>
      <c r="AE48" s="58">
        <f t="shared" si="30"/>
        <v>0</v>
      </c>
      <c r="AF48" s="58" t="e">
        <f>#REF!*P48</f>
        <v>#REF!</v>
      </c>
      <c r="AG48" s="58">
        <f t="shared" si="31"/>
        <v>0</v>
      </c>
      <c r="AH48" s="58"/>
      <c r="AI48" s="58"/>
      <c r="AJ48" s="58">
        <f t="shared" si="32"/>
        <v>0</v>
      </c>
      <c r="AK48" s="58">
        <f t="shared" si="33"/>
        <v>0</v>
      </c>
      <c r="AL48" s="58">
        <f t="shared" si="33"/>
        <v>0</v>
      </c>
      <c r="AM48" s="159"/>
    </row>
    <row r="49" spans="1:39" ht="20.25" customHeight="1">
      <c r="A49" s="151">
        <v>4</v>
      </c>
      <c r="B49" s="169" t="s">
        <v>394</v>
      </c>
      <c r="C49" s="152"/>
      <c r="D49" s="153">
        <f t="shared" si="23"/>
        <v>300</v>
      </c>
      <c r="E49" s="153">
        <v>300</v>
      </c>
      <c r="F49" s="153"/>
      <c r="G49" s="154">
        <f t="shared" si="24"/>
        <v>1500</v>
      </c>
      <c r="H49" s="154">
        <v>1500</v>
      </c>
      <c r="I49" s="154"/>
      <c r="J49" s="182">
        <f t="shared" si="25"/>
        <v>0</v>
      </c>
      <c r="K49" s="153"/>
      <c r="L49" s="153"/>
      <c r="M49" s="155">
        <f t="shared" si="34"/>
        <v>1800</v>
      </c>
      <c r="N49" s="155">
        <f t="shared" si="35"/>
        <v>1800</v>
      </c>
      <c r="O49" s="155">
        <f t="shared" si="35"/>
        <v>0</v>
      </c>
      <c r="P49" s="156">
        <v>0</v>
      </c>
      <c r="Q49" s="156"/>
      <c r="R49" s="157" t="e">
        <f>#REF!*P49</f>
        <v>#REF!</v>
      </c>
      <c r="S49" s="91">
        <f t="shared" si="26"/>
        <v>0</v>
      </c>
      <c r="T49" s="91"/>
      <c r="U49" s="91"/>
      <c r="V49" s="91">
        <f t="shared" si="27"/>
        <v>1800</v>
      </c>
      <c r="W49" s="91">
        <f>70+10+220+220+80+50+500+650</f>
        <v>1800</v>
      </c>
      <c r="X49" s="91"/>
      <c r="Y49" s="58">
        <f t="shared" si="28"/>
        <v>100</v>
      </c>
      <c r="Z49" s="58">
        <f t="shared" si="28"/>
        <v>100</v>
      </c>
      <c r="AA49" s="58">
        <f t="shared" si="28"/>
        <v>0</v>
      </c>
      <c r="AB49" s="91">
        <f>80+440+80+50+500+50+600</f>
        <v>1800</v>
      </c>
      <c r="AC49" s="58" t="e">
        <f>#REF!*P49</f>
        <v>#REF!</v>
      </c>
      <c r="AD49" s="158">
        <f t="shared" si="29"/>
        <v>100</v>
      </c>
      <c r="AE49" s="58">
        <f t="shared" si="30"/>
        <v>0</v>
      </c>
      <c r="AF49" s="58" t="e">
        <f>#REF!*P49</f>
        <v>#REF!</v>
      </c>
      <c r="AG49" s="58">
        <f t="shared" si="31"/>
        <v>0</v>
      </c>
      <c r="AH49" s="58"/>
      <c r="AI49" s="58"/>
      <c r="AJ49" s="58">
        <f t="shared" si="32"/>
        <v>0</v>
      </c>
      <c r="AK49" s="58">
        <f t="shared" si="33"/>
        <v>0</v>
      </c>
      <c r="AL49" s="58">
        <f t="shared" si="33"/>
        <v>0</v>
      </c>
      <c r="AM49" s="159"/>
    </row>
    <row r="50" spans="1:39" ht="20.25" customHeight="1">
      <c r="A50" s="151">
        <v>5</v>
      </c>
      <c r="B50" s="152" t="s">
        <v>395</v>
      </c>
      <c r="C50" s="152"/>
      <c r="D50" s="153">
        <f t="shared" si="23"/>
        <v>0</v>
      </c>
      <c r="E50" s="153"/>
      <c r="F50" s="153"/>
      <c r="G50" s="154">
        <f t="shared" si="24"/>
        <v>60</v>
      </c>
      <c r="H50" s="154">
        <v>60</v>
      </c>
      <c r="I50" s="154"/>
      <c r="J50" s="182">
        <f t="shared" si="25"/>
        <v>0</v>
      </c>
      <c r="K50" s="153"/>
      <c r="L50" s="153"/>
      <c r="M50" s="155">
        <f t="shared" si="34"/>
        <v>60</v>
      </c>
      <c r="N50" s="155">
        <f t="shared" si="35"/>
        <v>60</v>
      </c>
      <c r="O50" s="155">
        <f t="shared" si="35"/>
        <v>0</v>
      </c>
      <c r="P50" s="156">
        <v>0</v>
      </c>
      <c r="Q50" s="156"/>
      <c r="R50" s="157" t="e">
        <f>#REF!*P50</f>
        <v>#REF!</v>
      </c>
      <c r="S50" s="91">
        <f t="shared" si="26"/>
        <v>0</v>
      </c>
      <c r="T50" s="91"/>
      <c r="U50" s="91"/>
      <c r="V50" s="91">
        <f t="shared" si="27"/>
        <v>60</v>
      </c>
      <c r="W50" s="91">
        <f>60</f>
        <v>60</v>
      </c>
      <c r="X50" s="91"/>
      <c r="Y50" s="58">
        <f t="shared" si="28"/>
        <v>100</v>
      </c>
      <c r="Z50" s="58">
        <f t="shared" si="28"/>
        <v>100</v>
      </c>
      <c r="AA50" s="58">
        <f t="shared" si="28"/>
        <v>0</v>
      </c>
      <c r="AB50" s="91">
        <f>60</f>
        <v>60</v>
      </c>
      <c r="AC50" s="58" t="e">
        <f>#REF!*P50</f>
        <v>#REF!</v>
      </c>
      <c r="AD50" s="158">
        <f t="shared" si="29"/>
        <v>100</v>
      </c>
      <c r="AE50" s="58">
        <f t="shared" si="30"/>
        <v>0</v>
      </c>
      <c r="AF50" s="58" t="e">
        <f>#REF!*P50</f>
        <v>#REF!</v>
      </c>
      <c r="AG50" s="58">
        <f t="shared" si="31"/>
        <v>0</v>
      </c>
      <c r="AH50" s="58"/>
      <c r="AI50" s="58"/>
      <c r="AJ50" s="58">
        <f t="shared" si="32"/>
        <v>0</v>
      </c>
      <c r="AK50" s="58">
        <f t="shared" si="33"/>
        <v>0</v>
      </c>
      <c r="AL50" s="58">
        <f t="shared" si="33"/>
        <v>0</v>
      </c>
      <c r="AM50" s="159"/>
    </row>
    <row r="51" spans="1:39" ht="20.25" customHeight="1">
      <c r="A51" s="151">
        <v>6</v>
      </c>
      <c r="B51" s="152" t="s">
        <v>396</v>
      </c>
      <c r="C51" s="152"/>
      <c r="D51" s="153">
        <f t="shared" si="23"/>
        <v>0</v>
      </c>
      <c r="E51" s="153"/>
      <c r="F51" s="153"/>
      <c r="G51" s="154">
        <f t="shared" si="24"/>
        <v>110</v>
      </c>
      <c r="H51" s="154">
        <v>110</v>
      </c>
      <c r="I51" s="154"/>
      <c r="J51" s="182">
        <f t="shared" si="25"/>
        <v>0</v>
      </c>
      <c r="K51" s="153"/>
      <c r="L51" s="153"/>
      <c r="M51" s="155">
        <f t="shared" si="34"/>
        <v>110</v>
      </c>
      <c r="N51" s="155">
        <f t="shared" si="35"/>
        <v>110</v>
      </c>
      <c r="O51" s="155">
        <f t="shared" si="35"/>
        <v>0</v>
      </c>
      <c r="P51" s="156">
        <v>0</v>
      </c>
      <c r="Q51" s="156"/>
      <c r="R51" s="157" t="e">
        <f>#REF!*P51</f>
        <v>#REF!</v>
      </c>
      <c r="S51" s="91">
        <f t="shared" si="26"/>
        <v>0</v>
      </c>
      <c r="T51" s="91"/>
      <c r="U51" s="91"/>
      <c r="V51" s="91">
        <f t="shared" si="27"/>
        <v>110</v>
      </c>
      <c r="W51" s="91">
        <f>70+30+10</f>
        <v>110</v>
      </c>
      <c r="X51" s="91"/>
      <c r="Y51" s="58">
        <f t="shared" si="28"/>
        <v>100</v>
      </c>
      <c r="Z51" s="58">
        <f t="shared" si="28"/>
        <v>100</v>
      </c>
      <c r="AA51" s="58">
        <f t="shared" si="28"/>
        <v>0</v>
      </c>
      <c r="AB51" s="91">
        <f>70+30+10</f>
        <v>110</v>
      </c>
      <c r="AC51" s="58" t="e">
        <f>#REF!*P51</f>
        <v>#REF!</v>
      </c>
      <c r="AD51" s="158">
        <f t="shared" si="29"/>
        <v>100</v>
      </c>
      <c r="AE51" s="58">
        <f t="shared" si="30"/>
        <v>0</v>
      </c>
      <c r="AF51" s="58" t="e">
        <f>#REF!*P51</f>
        <v>#REF!</v>
      </c>
      <c r="AG51" s="58">
        <f t="shared" si="31"/>
        <v>0</v>
      </c>
      <c r="AH51" s="58"/>
      <c r="AI51" s="58"/>
      <c r="AJ51" s="58">
        <f t="shared" si="32"/>
        <v>0</v>
      </c>
      <c r="AK51" s="58">
        <f t="shared" si="33"/>
        <v>0</v>
      </c>
      <c r="AL51" s="58">
        <f t="shared" si="33"/>
        <v>0</v>
      </c>
      <c r="AM51" s="159"/>
    </row>
    <row r="52" spans="1:39" ht="20.25" customHeight="1">
      <c r="A52" s="151">
        <v>7</v>
      </c>
      <c r="B52" s="152" t="s">
        <v>397</v>
      </c>
      <c r="C52" s="152"/>
      <c r="D52" s="153">
        <f t="shared" si="23"/>
        <v>0</v>
      </c>
      <c r="E52" s="153"/>
      <c r="F52" s="153"/>
      <c r="G52" s="154">
        <f t="shared" si="24"/>
        <v>200</v>
      </c>
      <c r="H52" s="154">
        <v>200</v>
      </c>
      <c r="I52" s="154"/>
      <c r="J52" s="182">
        <f t="shared" si="25"/>
        <v>0</v>
      </c>
      <c r="K52" s="153"/>
      <c r="L52" s="153"/>
      <c r="M52" s="155">
        <f t="shared" si="34"/>
        <v>200</v>
      </c>
      <c r="N52" s="155">
        <f t="shared" si="35"/>
        <v>200</v>
      </c>
      <c r="O52" s="155">
        <f t="shared" si="35"/>
        <v>0</v>
      </c>
      <c r="P52" s="156">
        <v>0</v>
      </c>
      <c r="Q52" s="156"/>
      <c r="R52" s="157" t="e">
        <f>#REF!*P52</f>
        <v>#REF!</v>
      </c>
      <c r="S52" s="91">
        <f t="shared" si="26"/>
        <v>30</v>
      </c>
      <c r="T52" s="91">
        <v>30</v>
      </c>
      <c r="U52" s="91"/>
      <c r="V52" s="91">
        <f t="shared" si="27"/>
        <v>200</v>
      </c>
      <c r="W52" s="91">
        <f>10+70+90+30</f>
        <v>200</v>
      </c>
      <c r="X52" s="91"/>
      <c r="Y52" s="58">
        <f t="shared" si="28"/>
        <v>100</v>
      </c>
      <c r="Z52" s="58">
        <f t="shared" si="28"/>
        <v>100</v>
      </c>
      <c r="AA52" s="58">
        <f t="shared" si="28"/>
        <v>0</v>
      </c>
      <c r="AB52" s="91">
        <f>10+70+90</f>
        <v>170</v>
      </c>
      <c r="AC52" s="58" t="e">
        <f>#REF!*P52</f>
        <v>#REF!</v>
      </c>
      <c r="AD52" s="158">
        <f t="shared" si="29"/>
        <v>85</v>
      </c>
      <c r="AE52" s="58">
        <f t="shared" si="30"/>
        <v>30</v>
      </c>
      <c r="AF52" s="58" t="e">
        <f>#REF!*P52</f>
        <v>#REF!</v>
      </c>
      <c r="AG52" s="58">
        <f t="shared" si="31"/>
        <v>0</v>
      </c>
      <c r="AH52" s="58"/>
      <c r="AI52" s="58"/>
      <c r="AJ52" s="58">
        <f t="shared" si="32"/>
        <v>0</v>
      </c>
      <c r="AK52" s="58">
        <f t="shared" si="33"/>
        <v>0</v>
      </c>
      <c r="AL52" s="58">
        <f t="shared" si="33"/>
        <v>0</v>
      </c>
      <c r="AM52" s="159"/>
    </row>
    <row r="53" spans="1:39" ht="20.25" customHeight="1">
      <c r="A53" s="151">
        <v>8</v>
      </c>
      <c r="B53" s="152" t="s">
        <v>398</v>
      </c>
      <c r="C53" s="152"/>
      <c r="D53" s="153">
        <f t="shared" si="23"/>
        <v>0</v>
      </c>
      <c r="E53" s="153"/>
      <c r="F53" s="153"/>
      <c r="G53" s="154">
        <f t="shared" si="24"/>
        <v>350</v>
      </c>
      <c r="H53" s="154">
        <v>350</v>
      </c>
      <c r="I53" s="154"/>
      <c r="J53" s="182">
        <f t="shared" si="25"/>
        <v>0</v>
      </c>
      <c r="K53" s="153"/>
      <c r="L53" s="153"/>
      <c r="M53" s="155">
        <f t="shared" si="34"/>
        <v>350</v>
      </c>
      <c r="N53" s="155">
        <f t="shared" si="35"/>
        <v>350</v>
      </c>
      <c r="O53" s="155">
        <f t="shared" si="35"/>
        <v>0</v>
      </c>
      <c r="P53" s="156">
        <v>0</v>
      </c>
      <c r="Q53" s="156"/>
      <c r="R53" s="157" t="e">
        <f>#REF!*P53</f>
        <v>#REF!</v>
      </c>
      <c r="S53" s="91">
        <f t="shared" si="26"/>
        <v>0</v>
      </c>
      <c r="T53" s="91"/>
      <c r="U53" s="91"/>
      <c r="V53" s="91">
        <f t="shared" si="27"/>
        <v>350</v>
      </c>
      <c r="W53" s="91">
        <f>50+110+50+130+10</f>
        <v>350</v>
      </c>
      <c r="X53" s="91"/>
      <c r="Y53" s="58">
        <f t="shared" si="28"/>
        <v>100</v>
      </c>
      <c r="Z53" s="58">
        <f t="shared" si="28"/>
        <v>100</v>
      </c>
      <c r="AA53" s="58">
        <f t="shared" si="28"/>
        <v>0</v>
      </c>
      <c r="AB53" s="91">
        <f>50+110+50+130+10</f>
        <v>350</v>
      </c>
      <c r="AC53" s="58" t="e">
        <f>#REF!*P53</f>
        <v>#REF!</v>
      </c>
      <c r="AD53" s="158">
        <f t="shared" si="29"/>
        <v>100</v>
      </c>
      <c r="AE53" s="58">
        <f t="shared" si="30"/>
        <v>0</v>
      </c>
      <c r="AF53" s="58" t="e">
        <f>#REF!*P53</f>
        <v>#REF!</v>
      </c>
      <c r="AG53" s="58">
        <f t="shared" si="31"/>
        <v>0</v>
      </c>
      <c r="AH53" s="58"/>
      <c r="AI53" s="58"/>
      <c r="AJ53" s="58">
        <f t="shared" si="32"/>
        <v>0</v>
      </c>
      <c r="AK53" s="58">
        <f t="shared" si="33"/>
        <v>0</v>
      </c>
      <c r="AL53" s="58">
        <f t="shared" si="33"/>
        <v>0</v>
      </c>
      <c r="AM53" s="159"/>
    </row>
    <row r="54" spans="1:39" ht="20.25" customHeight="1">
      <c r="A54" s="151">
        <v>9</v>
      </c>
      <c r="B54" s="152" t="s">
        <v>399</v>
      </c>
      <c r="C54" s="152"/>
      <c r="D54" s="153">
        <f t="shared" si="23"/>
        <v>0</v>
      </c>
      <c r="E54" s="153"/>
      <c r="F54" s="153"/>
      <c r="G54" s="154">
        <f t="shared" si="24"/>
        <v>24</v>
      </c>
      <c r="H54" s="154">
        <v>24</v>
      </c>
      <c r="I54" s="154"/>
      <c r="J54" s="182">
        <f t="shared" si="25"/>
        <v>0</v>
      </c>
      <c r="K54" s="153"/>
      <c r="L54" s="153"/>
      <c r="M54" s="155">
        <f t="shared" si="34"/>
        <v>24</v>
      </c>
      <c r="N54" s="155">
        <f t="shared" si="35"/>
        <v>24</v>
      </c>
      <c r="O54" s="155">
        <f t="shared" si="35"/>
        <v>0</v>
      </c>
      <c r="P54" s="156">
        <v>0</v>
      </c>
      <c r="Q54" s="156"/>
      <c r="R54" s="157" t="e">
        <f>#REF!*P54</f>
        <v>#REF!</v>
      </c>
      <c r="S54" s="91">
        <f t="shared" si="26"/>
        <v>0</v>
      </c>
      <c r="T54" s="91"/>
      <c r="U54" s="91"/>
      <c r="V54" s="91">
        <f t="shared" si="27"/>
        <v>24</v>
      </c>
      <c r="W54" s="91">
        <f>24</f>
        <v>24</v>
      </c>
      <c r="X54" s="91"/>
      <c r="Y54" s="58">
        <f t="shared" si="28"/>
        <v>100</v>
      </c>
      <c r="Z54" s="58">
        <f t="shared" si="28"/>
        <v>100</v>
      </c>
      <c r="AA54" s="58">
        <f t="shared" si="28"/>
        <v>0</v>
      </c>
      <c r="AB54" s="91">
        <f>24</f>
        <v>24</v>
      </c>
      <c r="AC54" s="58" t="e">
        <f>#REF!*P54</f>
        <v>#REF!</v>
      </c>
      <c r="AD54" s="158">
        <f t="shared" si="29"/>
        <v>100</v>
      </c>
      <c r="AE54" s="58">
        <f t="shared" si="30"/>
        <v>0</v>
      </c>
      <c r="AF54" s="58" t="e">
        <f>#REF!*P54</f>
        <v>#REF!</v>
      </c>
      <c r="AG54" s="58">
        <f t="shared" si="31"/>
        <v>0</v>
      </c>
      <c r="AH54" s="58"/>
      <c r="AI54" s="58"/>
      <c r="AJ54" s="58">
        <f t="shared" si="32"/>
        <v>0</v>
      </c>
      <c r="AK54" s="58">
        <f t="shared" si="33"/>
        <v>0</v>
      </c>
      <c r="AL54" s="58">
        <f t="shared" si="33"/>
        <v>0</v>
      </c>
      <c r="AM54" s="159"/>
    </row>
    <row r="55" spans="1:39" ht="20.25" customHeight="1">
      <c r="A55" s="151">
        <v>10</v>
      </c>
      <c r="B55" s="152" t="s">
        <v>400</v>
      </c>
      <c r="C55" s="152"/>
      <c r="D55" s="153">
        <f t="shared" si="23"/>
        <v>0</v>
      </c>
      <c r="E55" s="153"/>
      <c r="F55" s="153"/>
      <c r="G55" s="154">
        <f t="shared" si="24"/>
        <v>300</v>
      </c>
      <c r="H55" s="154">
        <v>300</v>
      </c>
      <c r="I55" s="154"/>
      <c r="J55" s="182">
        <f t="shared" si="25"/>
        <v>0</v>
      </c>
      <c r="K55" s="153"/>
      <c r="L55" s="153"/>
      <c r="M55" s="155">
        <f t="shared" si="34"/>
        <v>300</v>
      </c>
      <c r="N55" s="155">
        <f t="shared" si="35"/>
        <v>300</v>
      </c>
      <c r="O55" s="155">
        <f t="shared" si="35"/>
        <v>0</v>
      </c>
      <c r="P55" s="156">
        <v>0</v>
      </c>
      <c r="Q55" s="156"/>
      <c r="R55" s="157" t="e">
        <f>#REF!*P55</f>
        <v>#REF!</v>
      </c>
      <c r="S55" s="91">
        <f t="shared" si="26"/>
        <v>0</v>
      </c>
      <c r="T55" s="91"/>
      <c r="U55" s="91"/>
      <c r="V55" s="91">
        <f t="shared" si="27"/>
        <v>300</v>
      </c>
      <c r="W55" s="91">
        <f>110+50+80+40+20</f>
        <v>300</v>
      </c>
      <c r="X55" s="91"/>
      <c r="Y55" s="58">
        <f t="shared" si="28"/>
        <v>100</v>
      </c>
      <c r="Z55" s="58">
        <f t="shared" si="28"/>
        <v>100</v>
      </c>
      <c r="AA55" s="58">
        <f t="shared" si="28"/>
        <v>0</v>
      </c>
      <c r="AB55" s="91">
        <f>110+50+80+40+20</f>
        <v>300</v>
      </c>
      <c r="AC55" s="58" t="e">
        <f>#REF!*P55</f>
        <v>#REF!</v>
      </c>
      <c r="AD55" s="158">
        <f t="shared" si="29"/>
        <v>100</v>
      </c>
      <c r="AE55" s="58">
        <f t="shared" si="30"/>
        <v>0</v>
      </c>
      <c r="AF55" s="58" t="e">
        <f>#REF!*P55</f>
        <v>#REF!</v>
      </c>
      <c r="AG55" s="58">
        <f t="shared" si="31"/>
        <v>0</v>
      </c>
      <c r="AH55" s="58"/>
      <c r="AI55" s="58"/>
      <c r="AJ55" s="58">
        <f t="shared" si="32"/>
        <v>0</v>
      </c>
      <c r="AK55" s="58">
        <f t="shared" si="33"/>
        <v>0</v>
      </c>
      <c r="AL55" s="58">
        <f t="shared" si="33"/>
        <v>0</v>
      </c>
      <c r="AM55" s="159"/>
    </row>
    <row r="56" spans="1:39" ht="20.25" customHeight="1">
      <c r="A56" s="151">
        <v>11</v>
      </c>
      <c r="B56" s="152" t="s">
        <v>401</v>
      </c>
      <c r="C56" s="152"/>
      <c r="D56" s="153">
        <f t="shared" si="23"/>
        <v>0</v>
      </c>
      <c r="E56" s="153"/>
      <c r="F56" s="153"/>
      <c r="G56" s="154">
        <f t="shared" si="24"/>
        <v>500</v>
      </c>
      <c r="H56" s="154">
        <v>500</v>
      </c>
      <c r="I56" s="154"/>
      <c r="J56" s="182">
        <f t="shared" si="25"/>
        <v>0</v>
      </c>
      <c r="K56" s="153"/>
      <c r="L56" s="153"/>
      <c r="M56" s="155">
        <f t="shared" si="34"/>
        <v>500</v>
      </c>
      <c r="N56" s="155">
        <f t="shared" si="35"/>
        <v>500</v>
      </c>
      <c r="O56" s="155">
        <f t="shared" si="35"/>
        <v>0</v>
      </c>
      <c r="P56" s="156">
        <v>0</v>
      </c>
      <c r="Q56" s="156"/>
      <c r="R56" s="157" t="e">
        <f>#REF!*P56</f>
        <v>#REF!</v>
      </c>
      <c r="S56" s="91">
        <f t="shared" si="26"/>
        <v>0</v>
      </c>
      <c r="T56" s="91"/>
      <c r="U56" s="91"/>
      <c r="V56" s="91">
        <f t="shared" si="27"/>
        <v>500</v>
      </c>
      <c r="W56" s="91">
        <f>10+80+10+51+50+100+30+169</f>
        <v>500</v>
      </c>
      <c r="X56" s="91"/>
      <c r="Y56" s="58">
        <f t="shared" si="28"/>
        <v>100</v>
      </c>
      <c r="Z56" s="58">
        <f t="shared" si="28"/>
        <v>100</v>
      </c>
      <c r="AA56" s="58">
        <f t="shared" si="28"/>
        <v>0</v>
      </c>
      <c r="AB56" s="91">
        <f>10+80+10+101+100+30+169</f>
        <v>500</v>
      </c>
      <c r="AC56" s="58" t="e">
        <f>#REF!*P56</f>
        <v>#REF!</v>
      </c>
      <c r="AD56" s="158">
        <f t="shared" si="29"/>
        <v>100</v>
      </c>
      <c r="AE56" s="58">
        <f t="shared" si="30"/>
        <v>0</v>
      </c>
      <c r="AF56" s="58" t="e">
        <f>#REF!*P56</f>
        <v>#REF!</v>
      </c>
      <c r="AG56" s="58">
        <f t="shared" si="31"/>
        <v>0</v>
      </c>
      <c r="AH56" s="58"/>
      <c r="AI56" s="58"/>
      <c r="AJ56" s="58">
        <f t="shared" si="32"/>
        <v>0</v>
      </c>
      <c r="AK56" s="58">
        <f t="shared" si="33"/>
        <v>0</v>
      </c>
      <c r="AL56" s="58">
        <f t="shared" si="33"/>
        <v>0</v>
      </c>
      <c r="AM56" s="159"/>
    </row>
    <row r="57" spans="1:39" ht="20.25" customHeight="1">
      <c r="A57" s="151">
        <v>12</v>
      </c>
      <c r="B57" s="152" t="s">
        <v>402</v>
      </c>
      <c r="C57" s="152"/>
      <c r="D57" s="153">
        <f t="shared" si="23"/>
        <v>0</v>
      </c>
      <c r="E57" s="153"/>
      <c r="F57" s="153"/>
      <c r="G57" s="154">
        <f t="shared" si="24"/>
        <v>15</v>
      </c>
      <c r="H57" s="154">
        <v>15</v>
      </c>
      <c r="I57" s="154"/>
      <c r="J57" s="182">
        <f t="shared" si="25"/>
        <v>0</v>
      </c>
      <c r="K57" s="153"/>
      <c r="L57" s="153"/>
      <c r="M57" s="155">
        <f t="shared" si="34"/>
        <v>15</v>
      </c>
      <c r="N57" s="155">
        <f t="shared" si="35"/>
        <v>15</v>
      </c>
      <c r="O57" s="155">
        <f t="shared" si="35"/>
        <v>0</v>
      </c>
      <c r="P57" s="156">
        <v>0</v>
      </c>
      <c r="Q57" s="156"/>
      <c r="R57" s="157" t="e">
        <f>#REF!*P57</f>
        <v>#REF!</v>
      </c>
      <c r="S57" s="91">
        <f t="shared" si="26"/>
        <v>0</v>
      </c>
      <c r="T57" s="91"/>
      <c r="U57" s="91"/>
      <c r="V57" s="91">
        <f t="shared" si="27"/>
        <v>15</v>
      </c>
      <c r="W57" s="91">
        <f>10+5</f>
        <v>15</v>
      </c>
      <c r="X57" s="91"/>
      <c r="Y57" s="58">
        <f t="shared" si="28"/>
        <v>100</v>
      </c>
      <c r="Z57" s="58">
        <f t="shared" si="28"/>
        <v>100</v>
      </c>
      <c r="AA57" s="58">
        <f t="shared" si="28"/>
        <v>0</v>
      </c>
      <c r="AB57" s="91">
        <f>10+5</f>
        <v>15</v>
      </c>
      <c r="AC57" s="58" t="e">
        <f>#REF!*P57</f>
        <v>#REF!</v>
      </c>
      <c r="AD57" s="158">
        <f t="shared" si="29"/>
        <v>100</v>
      </c>
      <c r="AE57" s="58">
        <f t="shared" si="30"/>
        <v>0</v>
      </c>
      <c r="AF57" s="58" t="e">
        <f>#REF!*P57</f>
        <v>#REF!</v>
      </c>
      <c r="AG57" s="58">
        <f t="shared" si="31"/>
        <v>0</v>
      </c>
      <c r="AH57" s="58"/>
      <c r="AI57" s="58"/>
      <c r="AJ57" s="58">
        <f t="shared" si="32"/>
        <v>0</v>
      </c>
      <c r="AK57" s="58">
        <f t="shared" si="33"/>
        <v>0</v>
      </c>
      <c r="AL57" s="58">
        <f t="shared" si="33"/>
        <v>0</v>
      </c>
      <c r="AM57" s="159"/>
    </row>
    <row r="58" spans="1:39" ht="20.25" customHeight="1">
      <c r="A58" s="151">
        <v>13</v>
      </c>
      <c r="B58" s="152" t="s">
        <v>403</v>
      </c>
      <c r="C58" s="152"/>
      <c r="D58" s="153">
        <f t="shared" si="23"/>
        <v>0</v>
      </c>
      <c r="E58" s="153"/>
      <c r="F58" s="153"/>
      <c r="G58" s="154">
        <f t="shared" si="24"/>
        <v>130</v>
      </c>
      <c r="H58" s="154">
        <v>130</v>
      </c>
      <c r="I58" s="154"/>
      <c r="J58" s="182">
        <f t="shared" si="25"/>
        <v>0</v>
      </c>
      <c r="K58" s="153"/>
      <c r="L58" s="153"/>
      <c r="M58" s="155">
        <f t="shared" si="34"/>
        <v>130</v>
      </c>
      <c r="N58" s="155">
        <f t="shared" si="35"/>
        <v>130</v>
      </c>
      <c r="O58" s="155">
        <f t="shared" si="35"/>
        <v>0</v>
      </c>
      <c r="P58" s="156">
        <v>0</v>
      </c>
      <c r="Q58" s="156"/>
      <c r="R58" s="157" t="e">
        <f>#REF!*P58</f>
        <v>#REF!</v>
      </c>
      <c r="S58" s="91">
        <f t="shared" si="26"/>
        <v>0</v>
      </c>
      <c r="T58" s="91"/>
      <c r="U58" s="91"/>
      <c r="V58" s="91">
        <f t="shared" si="27"/>
        <v>130</v>
      </c>
      <c r="W58" s="91">
        <f>90+40</f>
        <v>130</v>
      </c>
      <c r="X58" s="91"/>
      <c r="Y58" s="58">
        <f t="shared" si="28"/>
        <v>100</v>
      </c>
      <c r="Z58" s="58">
        <f t="shared" si="28"/>
        <v>100</v>
      </c>
      <c r="AA58" s="58">
        <f t="shared" si="28"/>
        <v>0</v>
      </c>
      <c r="AB58" s="91">
        <f>90+40</f>
        <v>130</v>
      </c>
      <c r="AC58" s="58" t="e">
        <f>#REF!*P58</f>
        <v>#REF!</v>
      </c>
      <c r="AD58" s="158">
        <f t="shared" si="29"/>
        <v>100</v>
      </c>
      <c r="AE58" s="58">
        <f t="shared" si="30"/>
        <v>0</v>
      </c>
      <c r="AF58" s="58" t="e">
        <f>#REF!*P58</f>
        <v>#REF!</v>
      </c>
      <c r="AG58" s="58">
        <f t="shared" si="31"/>
        <v>0</v>
      </c>
      <c r="AH58" s="58"/>
      <c r="AI58" s="58"/>
      <c r="AJ58" s="58">
        <f t="shared" si="32"/>
        <v>0</v>
      </c>
      <c r="AK58" s="58">
        <f t="shared" si="33"/>
        <v>0</v>
      </c>
      <c r="AL58" s="58">
        <f t="shared" si="33"/>
        <v>0</v>
      </c>
      <c r="AM58" s="159"/>
    </row>
    <row r="59" spans="1:39" ht="20.25" customHeight="1">
      <c r="A59" s="151">
        <v>14</v>
      </c>
      <c r="B59" s="152" t="s">
        <v>404</v>
      </c>
      <c r="C59" s="152"/>
      <c r="D59" s="153">
        <f t="shared" si="23"/>
        <v>0</v>
      </c>
      <c r="E59" s="153"/>
      <c r="F59" s="153"/>
      <c r="G59" s="154">
        <f t="shared" si="24"/>
        <v>200</v>
      </c>
      <c r="H59" s="154">
        <v>200</v>
      </c>
      <c r="I59" s="154"/>
      <c r="J59" s="182">
        <f t="shared" si="25"/>
        <v>0</v>
      </c>
      <c r="K59" s="153"/>
      <c r="L59" s="153"/>
      <c r="M59" s="155">
        <f t="shared" si="34"/>
        <v>200</v>
      </c>
      <c r="N59" s="155">
        <f t="shared" si="35"/>
        <v>200</v>
      </c>
      <c r="O59" s="155">
        <f t="shared" si="35"/>
        <v>0</v>
      </c>
      <c r="P59" s="156">
        <v>0</v>
      </c>
      <c r="Q59" s="156"/>
      <c r="R59" s="157" t="e">
        <f>#REF!*P59</f>
        <v>#REF!</v>
      </c>
      <c r="S59" s="91">
        <f t="shared" si="26"/>
        <v>0</v>
      </c>
      <c r="T59" s="91"/>
      <c r="U59" s="91"/>
      <c r="V59" s="91">
        <f t="shared" si="27"/>
        <v>200</v>
      </c>
      <c r="W59" s="91">
        <f>120+1+40+39</f>
        <v>200</v>
      </c>
      <c r="X59" s="91"/>
      <c r="Y59" s="58">
        <f t="shared" si="28"/>
        <v>100</v>
      </c>
      <c r="Z59" s="58">
        <f t="shared" si="28"/>
        <v>100</v>
      </c>
      <c r="AA59" s="58">
        <f t="shared" si="28"/>
        <v>0</v>
      </c>
      <c r="AB59" s="91">
        <f>121+40+39</f>
        <v>200</v>
      </c>
      <c r="AC59" s="58" t="e">
        <f>#REF!*P59</f>
        <v>#REF!</v>
      </c>
      <c r="AD59" s="158">
        <f t="shared" si="29"/>
        <v>100</v>
      </c>
      <c r="AE59" s="58">
        <f t="shared" si="30"/>
        <v>0</v>
      </c>
      <c r="AF59" s="58" t="e">
        <f>#REF!*P59</f>
        <v>#REF!</v>
      </c>
      <c r="AG59" s="58">
        <f t="shared" si="31"/>
        <v>0</v>
      </c>
      <c r="AH59" s="58"/>
      <c r="AI59" s="58"/>
      <c r="AJ59" s="58">
        <f t="shared" si="32"/>
        <v>0</v>
      </c>
      <c r="AK59" s="58">
        <f t="shared" si="33"/>
        <v>0</v>
      </c>
      <c r="AL59" s="58">
        <f t="shared" si="33"/>
        <v>0</v>
      </c>
      <c r="AM59" s="159"/>
    </row>
    <row r="60" spans="1:39" ht="20.25" customHeight="1">
      <c r="A60" s="151">
        <v>15</v>
      </c>
      <c r="B60" s="152" t="s">
        <v>405</v>
      </c>
      <c r="C60" s="152"/>
      <c r="D60" s="153">
        <f t="shared" si="23"/>
        <v>0</v>
      </c>
      <c r="E60" s="153"/>
      <c r="F60" s="153"/>
      <c r="G60" s="154">
        <f t="shared" si="24"/>
        <v>300</v>
      </c>
      <c r="H60" s="154">
        <v>300</v>
      </c>
      <c r="I60" s="154"/>
      <c r="J60" s="182">
        <f t="shared" si="25"/>
        <v>0</v>
      </c>
      <c r="K60" s="153"/>
      <c r="L60" s="153"/>
      <c r="M60" s="155">
        <f t="shared" si="34"/>
        <v>300</v>
      </c>
      <c r="N60" s="155">
        <f t="shared" si="35"/>
        <v>300</v>
      </c>
      <c r="O60" s="155">
        <f t="shared" si="35"/>
        <v>0</v>
      </c>
      <c r="P60" s="156">
        <v>0</v>
      </c>
      <c r="Q60" s="156"/>
      <c r="R60" s="157" t="e">
        <f>#REF!*P60</f>
        <v>#REF!</v>
      </c>
      <c r="S60" s="91">
        <f t="shared" si="26"/>
        <v>0</v>
      </c>
      <c r="T60" s="91"/>
      <c r="U60" s="91"/>
      <c r="V60" s="91">
        <f t="shared" si="27"/>
        <v>300</v>
      </c>
      <c r="W60" s="91">
        <f>90+70+100+21+2+7+10</f>
        <v>300</v>
      </c>
      <c r="X60" s="91"/>
      <c r="Y60" s="58">
        <f t="shared" si="28"/>
        <v>100</v>
      </c>
      <c r="Z60" s="58">
        <f t="shared" si="28"/>
        <v>100</v>
      </c>
      <c r="AA60" s="58">
        <f t="shared" si="28"/>
        <v>0</v>
      </c>
      <c r="AB60" s="91">
        <f>90+70+100+23+7+10</f>
        <v>300</v>
      </c>
      <c r="AC60" s="58" t="e">
        <f>#REF!*P60</f>
        <v>#REF!</v>
      </c>
      <c r="AD60" s="158">
        <f t="shared" si="29"/>
        <v>100</v>
      </c>
      <c r="AE60" s="58">
        <f t="shared" si="30"/>
        <v>0</v>
      </c>
      <c r="AF60" s="58" t="e">
        <f>#REF!*P60</f>
        <v>#REF!</v>
      </c>
      <c r="AG60" s="58">
        <f t="shared" si="31"/>
        <v>0</v>
      </c>
      <c r="AH60" s="58"/>
      <c r="AI60" s="58"/>
      <c r="AJ60" s="58">
        <f t="shared" si="32"/>
        <v>0</v>
      </c>
      <c r="AK60" s="58">
        <f t="shared" si="33"/>
        <v>0</v>
      </c>
      <c r="AL60" s="58">
        <f t="shared" si="33"/>
        <v>0</v>
      </c>
      <c r="AM60" s="159"/>
    </row>
    <row r="61" spans="1:39" ht="20.25" customHeight="1">
      <c r="A61" s="151">
        <v>16</v>
      </c>
      <c r="B61" s="152" t="s">
        <v>406</v>
      </c>
      <c r="C61" s="152"/>
      <c r="D61" s="153">
        <f t="shared" si="23"/>
        <v>0</v>
      </c>
      <c r="E61" s="153"/>
      <c r="F61" s="153"/>
      <c r="G61" s="154">
        <f t="shared" si="24"/>
        <v>150</v>
      </c>
      <c r="H61" s="154">
        <v>150</v>
      </c>
      <c r="I61" s="154"/>
      <c r="J61" s="182">
        <f t="shared" si="25"/>
        <v>0</v>
      </c>
      <c r="K61" s="153"/>
      <c r="L61" s="153"/>
      <c r="M61" s="155">
        <f t="shared" si="34"/>
        <v>150</v>
      </c>
      <c r="N61" s="155">
        <f t="shared" si="35"/>
        <v>150</v>
      </c>
      <c r="O61" s="155">
        <f t="shared" si="35"/>
        <v>0</v>
      </c>
      <c r="P61" s="156">
        <v>0</v>
      </c>
      <c r="Q61" s="156"/>
      <c r="R61" s="157" t="e">
        <f>#REF!*P61</f>
        <v>#REF!</v>
      </c>
      <c r="S61" s="91">
        <f t="shared" si="26"/>
        <v>0</v>
      </c>
      <c r="T61" s="91"/>
      <c r="U61" s="91"/>
      <c r="V61" s="91">
        <f t="shared" si="27"/>
        <v>110</v>
      </c>
      <c r="W61" s="91">
        <f>50+3+57</f>
        <v>110</v>
      </c>
      <c r="X61" s="91"/>
      <c r="Y61" s="58">
        <f t="shared" si="28"/>
        <v>73</v>
      </c>
      <c r="Z61" s="58">
        <f t="shared" si="28"/>
        <v>73</v>
      </c>
      <c r="AA61" s="58">
        <f t="shared" si="28"/>
        <v>0</v>
      </c>
      <c r="AB61" s="91">
        <f>50+3+57</f>
        <v>110</v>
      </c>
      <c r="AC61" s="58" t="e">
        <f>#REF!*P61</f>
        <v>#REF!</v>
      </c>
      <c r="AD61" s="158">
        <f t="shared" si="29"/>
        <v>73</v>
      </c>
      <c r="AE61" s="58">
        <f t="shared" si="30"/>
        <v>0</v>
      </c>
      <c r="AF61" s="58" t="e">
        <f>#REF!*P61</f>
        <v>#REF!</v>
      </c>
      <c r="AG61" s="58">
        <f t="shared" si="31"/>
        <v>0</v>
      </c>
      <c r="AH61" s="58"/>
      <c r="AI61" s="58"/>
      <c r="AJ61" s="58">
        <f t="shared" si="32"/>
        <v>40</v>
      </c>
      <c r="AK61" s="58">
        <f t="shared" si="33"/>
        <v>40</v>
      </c>
      <c r="AL61" s="58">
        <f t="shared" si="33"/>
        <v>0</v>
      </c>
      <c r="AM61" s="159"/>
    </row>
    <row r="62" spans="1:39" ht="20.25" customHeight="1">
      <c r="A62" s="151">
        <v>17</v>
      </c>
      <c r="B62" s="152" t="s">
        <v>407</v>
      </c>
      <c r="C62" s="152"/>
      <c r="D62" s="153">
        <f t="shared" si="23"/>
        <v>0</v>
      </c>
      <c r="E62" s="153"/>
      <c r="F62" s="153"/>
      <c r="G62" s="154">
        <f t="shared" si="24"/>
        <v>100</v>
      </c>
      <c r="H62" s="154">
        <v>100</v>
      </c>
      <c r="I62" s="154"/>
      <c r="J62" s="182">
        <f t="shared" si="25"/>
        <v>0</v>
      </c>
      <c r="K62" s="153"/>
      <c r="L62" s="153"/>
      <c r="M62" s="155">
        <f t="shared" si="34"/>
        <v>100</v>
      </c>
      <c r="N62" s="155">
        <f t="shared" si="35"/>
        <v>100</v>
      </c>
      <c r="O62" s="155">
        <f t="shared" si="35"/>
        <v>0</v>
      </c>
      <c r="P62" s="156">
        <v>0</v>
      </c>
      <c r="Q62" s="156"/>
      <c r="R62" s="157" t="e">
        <f>#REF!*P62</f>
        <v>#REF!</v>
      </c>
      <c r="S62" s="91">
        <f t="shared" si="26"/>
        <v>0</v>
      </c>
      <c r="T62" s="91"/>
      <c r="U62" s="91"/>
      <c r="V62" s="91">
        <f t="shared" si="27"/>
        <v>90</v>
      </c>
      <c r="W62" s="91">
        <f>10+50+30</f>
        <v>90</v>
      </c>
      <c r="X62" s="91"/>
      <c r="Y62" s="58">
        <f t="shared" si="28"/>
        <v>90</v>
      </c>
      <c r="Z62" s="58">
        <f t="shared" si="28"/>
        <v>90</v>
      </c>
      <c r="AA62" s="58">
        <f t="shared" si="28"/>
        <v>0</v>
      </c>
      <c r="AB62" s="91">
        <f>10+50+30</f>
        <v>90</v>
      </c>
      <c r="AC62" s="58" t="e">
        <f>#REF!*P62</f>
        <v>#REF!</v>
      </c>
      <c r="AD62" s="158">
        <f t="shared" si="29"/>
        <v>90</v>
      </c>
      <c r="AE62" s="58">
        <f t="shared" si="30"/>
        <v>0</v>
      </c>
      <c r="AF62" s="58" t="e">
        <f>#REF!*P62</f>
        <v>#REF!</v>
      </c>
      <c r="AG62" s="58">
        <f t="shared" si="31"/>
        <v>0</v>
      </c>
      <c r="AH62" s="58"/>
      <c r="AI62" s="58"/>
      <c r="AJ62" s="58">
        <f t="shared" si="32"/>
        <v>10</v>
      </c>
      <c r="AK62" s="58">
        <f t="shared" si="33"/>
        <v>10</v>
      </c>
      <c r="AL62" s="58">
        <f t="shared" si="33"/>
        <v>0</v>
      </c>
      <c r="AM62" s="159"/>
    </row>
    <row r="63" spans="1:39" ht="20.25" customHeight="1">
      <c r="A63" s="151">
        <v>18</v>
      </c>
      <c r="B63" s="152" t="s">
        <v>408</v>
      </c>
      <c r="C63" s="152"/>
      <c r="D63" s="153">
        <f t="shared" si="23"/>
        <v>29</v>
      </c>
      <c r="E63" s="153">
        <v>29</v>
      </c>
      <c r="F63" s="153"/>
      <c r="G63" s="154">
        <f t="shared" si="24"/>
        <v>250</v>
      </c>
      <c r="H63" s="154">
        <v>250</v>
      </c>
      <c r="I63" s="154"/>
      <c r="J63" s="182">
        <f t="shared" si="25"/>
        <v>0</v>
      </c>
      <c r="K63" s="153"/>
      <c r="L63" s="153"/>
      <c r="M63" s="155">
        <f t="shared" si="34"/>
        <v>279</v>
      </c>
      <c r="N63" s="155">
        <f t="shared" si="35"/>
        <v>279</v>
      </c>
      <c r="O63" s="155">
        <f t="shared" si="35"/>
        <v>0</v>
      </c>
      <c r="P63" s="156">
        <v>0</v>
      </c>
      <c r="Q63" s="156"/>
      <c r="R63" s="157" t="e">
        <f>#REF!*P63</f>
        <v>#REF!</v>
      </c>
      <c r="S63" s="91">
        <f t="shared" si="26"/>
        <v>0</v>
      </c>
      <c r="T63" s="91"/>
      <c r="U63" s="91"/>
      <c r="V63" s="91">
        <f t="shared" si="27"/>
        <v>250</v>
      </c>
      <c r="W63" s="91">
        <f>10+19+151+50+20</f>
        <v>250</v>
      </c>
      <c r="X63" s="91"/>
      <c r="Y63" s="58">
        <f t="shared" si="28"/>
        <v>90</v>
      </c>
      <c r="Z63" s="58">
        <f t="shared" si="28"/>
        <v>90</v>
      </c>
      <c r="AA63" s="58">
        <f t="shared" si="28"/>
        <v>0</v>
      </c>
      <c r="AB63" s="91">
        <f>10+170+50+20</f>
        <v>250</v>
      </c>
      <c r="AC63" s="58" t="e">
        <f>#REF!*P63</f>
        <v>#REF!</v>
      </c>
      <c r="AD63" s="158">
        <f t="shared" si="29"/>
        <v>90</v>
      </c>
      <c r="AE63" s="58">
        <f t="shared" si="30"/>
        <v>0</v>
      </c>
      <c r="AF63" s="58" t="e">
        <f>#REF!*P63</f>
        <v>#REF!</v>
      </c>
      <c r="AG63" s="58">
        <f t="shared" si="31"/>
        <v>0</v>
      </c>
      <c r="AH63" s="58"/>
      <c r="AI63" s="58"/>
      <c r="AJ63" s="58">
        <f t="shared" si="32"/>
        <v>29</v>
      </c>
      <c r="AK63" s="58">
        <f t="shared" si="33"/>
        <v>29</v>
      </c>
      <c r="AL63" s="58">
        <f t="shared" si="33"/>
        <v>0</v>
      </c>
      <c r="AM63" s="159"/>
    </row>
    <row r="64" spans="1:39" ht="20.25" customHeight="1">
      <c r="A64" s="151">
        <v>19</v>
      </c>
      <c r="B64" s="152" t="s">
        <v>409</v>
      </c>
      <c r="C64" s="152"/>
      <c r="D64" s="153">
        <f t="shared" si="23"/>
        <v>170</v>
      </c>
      <c r="E64" s="153">
        <v>170</v>
      </c>
      <c r="F64" s="153"/>
      <c r="G64" s="154">
        <f t="shared" si="24"/>
        <v>700</v>
      </c>
      <c r="H64" s="154">
        <v>700</v>
      </c>
      <c r="I64" s="154"/>
      <c r="J64" s="182">
        <f t="shared" si="25"/>
        <v>0</v>
      </c>
      <c r="K64" s="153"/>
      <c r="L64" s="153"/>
      <c r="M64" s="155">
        <f t="shared" si="34"/>
        <v>870</v>
      </c>
      <c r="N64" s="155">
        <f t="shared" si="35"/>
        <v>870</v>
      </c>
      <c r="O64" s="155">
        <f t="shared" si="35"/>
        <v>0</v>
      </c>
      <c r="P64" s="156">
        <v>0</v>
      </c>
      <c r="Q64" s="156"/>
      <c r="R64" s="157" t="e">
        <f>#REF!*P64</f>
        <v>#REF!</v>
      </c>
      <c r="S64" s="91">
        <f t="shared" si="26"/>
        <v>0</v>
      </c>
      <c r="T64" s="91"/>
      <c r="U64" s="91"/>
      <c r="V64" s="91">
        <f t="shared" si="27"/>
        <v>870</v>
      </c>
      <c r="W64" s="91">
        <f>40+50+10+20+70+110+30+250+250+30+10</f>
        <v>870</v>
      </c>
      <c r="X64" s="91"/>
      <c r="Y64" s="58">
        <f t="shared" si="28"/>
        <v>100</v>
      </c>
      <c r="Z64" s="58">
        <f t="shared" si="28"/>
        <v>100</v>
      </c>
      <c r="AA64" s="58">
        <f t="shared" si="28"/>
        <v>0</v>
      </c>
      <c r="AB64" s="91">
        <f>40+50+10+90+140+250+250+30+10</f>
        <v>870</v>
      </c>
      <c r="AC64" s="58" t="e">
        <f>#REF!*P64</f>
        <v>#REF!</v>
      </c>
      <c r="AD64" s="158">
        <f t="shared" si="29"/>
        <v>100</v>
      </c>
      <c r="AE64" s="58">
        <f t="shared" si="30"/>
        <v>0</v>
      </c>
      <c r="AF64" s="58" t="e">
        <f>#REF!*P64</f>
        <v>#REF!</v>
      </c>
      <c r="AG64" s="58">
        <f t="shared" si="31"/>
        <v>0</v>
      </c>
      <c r="AH64" s="58"/>
      <c r="AI64" s="58"/>
      <c r="AJ64" s="58">
        <f t="shared" si="32"/>
        <v>0</v>
      </c>
      <c r="AK64" s="58">
        <f t="shared" si="33"/>
        <v>0</v>
      </c>
      <c r="AL64" s="58">
        <f t="shared" si="33"/>
        <v>0</v>
      </c>
      <c r="AM64" s="159"/>
    </row>
    <row r="65" spans="1:39" ht="20.25" customHeight="1">
      <c r="A65" s="151">
        <v>20</v>
      </c>
      <c r="B65" s="160" t="s">
        <v>410</v>
      </c>
      <c r="C65" s="160"/>
      <c r="D65" s="153">
        <f t="shared" si="23"/>
        <v>140</v>
      </c>
      <c r="E65" s="161">
        <v>140</v>
      </c>
      <c r="F65" s="161"/>
      <c r="G65" s="154">
        <f t="shared" si="24"/>
        <v>650</v>
      </c>
      <c r="H65" s="154">
        <v>650</v>
      </c>
      <c r="I65" s="154"/>
      <c r="J65" s="182">
        <f t="shared" si="25"/>
        <v>0</v>
      </c>
      <c r="K65" s="161"/>
      <c r="L65" s="161"/>
      <c r="M65" s="155">
        <f t="shared" si="34"/>
        <v>790</v>
      </c>
      <c r="N65" s="155">
        <f t="shared" si="35"/>
        <v>790</v>
      </c>
      <c r="O65" s="155">
        <f t="shared" si="35"/>
        <v>0</v>
      </c>
      <c r="P65" s="156">
        <v>0</v>
      </c>
      <c r="Q65" s="156"/>
      <c r="R65" s="157" t="e">
        <f>#REF!*P65</f>
        <v>#REF!</v>
      </c>
      <c r="S65" s="91">
        <f t="shared" si="26"/>
        <v>0</v>
      </c>
      <c r="T65" s="91"/>
      <c r="U65" s="91"/>
      <c r="V65" s="91">
        <f t="shared" si="27"/>
        <v>790</v>
      </c>
      <c r="W65" s="91">
        <f>100+40+130+10+10+90+140+100+170</f>
        <v>790</v>
      </c>
      <c r="X65" s="91"/>
      <c r="Y65" s="58">
        <f t="shared" si="28"/>
        <v>100</v>
      </c>
      <c r="Z65" s="58">
        <f t="shared" si="28"/>
        <v>100</v>
      </c>
      <c r="AA65" s="58">
        <f t="shared" si="28"/>
        <v>0</v>
      </c>
      <c r="AB65" s="91">
        <f>100+170+10+10+90+140+100+170</f>
        <v>790</v>
      </c>
      <c r="AC65" s="58" t="e">
        <f>#REF!*P65</f>
        <v>#REF!</v>
      </c>
      <c r="AD65" s="158">
        <f t="shared" si="29"/>
        <v>100</v>
      </c>
      <c r="AE65" s="58">
        <f t="shared" si="30"/>
        <v>0</v>
      </c>
      <c r="AF65" s="58" t="e">
        <f>#REF!*P65</f>
        <v>#REF!</v>
      </c>
      <c r="AG65" s="58">
        <f t="shared" si="31"/>
        <v>0</v>
      </c>
      <c r="AH65" s="58"/>
      <c r="AI65" s="58"/>
      <c r="AJ65" s="58">
        <f t="shared" si="32"/>
        <v>0</v>
      </c>
      <c r="AK65" s="58">
        <f t="shared" si="33"/>
        <v>0</v>
      </c>
      <c r="AL65" s="58">
        <f t="shared" si="33"/>
        <v>0</v>
      </c>
      <c r="AM65" s="159"/>
    </row>
    <row r="66" spans="1:39" ht="20.25" customHeight="1">
      <c r="A66" s="151">
        <v>21</v>
      </c>
      <c r="B66" s="160" t="s">
        <v>411</v>
      </c>
      <c r="C66" s="160" t="s">
        <v>350</v>
      </c>
      <c r="D66" s="153">
        <f t="shared" si="23"/>
        <v>0</v>
      </c>
      <c r="E66" s="161"/>
      <c r="F66" s="161"/>
      <c r="G66" s="154">
        <f t="shared" si="24"/>
        <v>2000</v>
      </c>
      <c r="H66" s="154">
        <v>2000</v>
      </c>
      <c r="I66" s="154"/>
      <c r="J66" s="182">
        <f t="shared" si="25"/>
        <v>320</v>
      </c>
      <c r="K66" s="161">
        <v>320</v>
      </c>
      <c r="L66" s="161"/>
      <c r="M66" s="155">
        <f t="shared" si="34"/>
        <v>2320</v>
      </c>
      <c r="N66" s="155">
        <f t="shared" si="35"/>
        <v>2320</v>
      </c>
      <c r="O66" s="155">
        <f t="shared" si="35"/>
        <v>0</v>
      </c>
      <c r="P66" s="156">
        <v>0</v>
      </c>
      <c r="Q66" s="156"/>
      <c r="R66" s="157" t="e">
        <f>#REF!*P66</f>
        <v>#REF!</v>
      </c>
      <c r="S66" s="91">
        <f t="shared" si="26"/>
        <v>0</v>
      </c>
      <c r="T66" s="91"/>
      <c r="U66" s="91"/>
      <c r="V66" s="91">
        <f t="shared" si="27"/>
        <v>2320</v>
      </c>
      <c r="W66" s="91">
        <f>10+40+20+120+80+330+31+500+210+400+20+220+90+249</f>
        <v>2320</v>
      </c>
      <c r="X66" s="91"/>
      <c r="Y66" s="58">
        <f t="shared" si="28"/>
        <v>100</v>
      </c>
      <c r="Z66" s="58">
        <f t="shared" si="28"/>
        <v>100</v>
      </c>
      <c r="AA66" s="58">
        <f t="shared" si="28"/>
        <v>0</v>
      </c>
      <c r="AB66" s="91">
        <f>10+40+20+120+80+361+500+210+400+20+220+90+249</f>
        <v>2320</v>
      </c>
      <c r="AC66" s="58" t="e">
        <f>#REF!*P66</f>
        <v>#REF!</v>
      </c>
      <c r="AD66" s="158">
        <f t="shared" si="29"/>
        <v>100</v>
      </c>
      <c r="AE66" s="58">
        <f t="shared" si="30"/>
        <v>0</v>
      </c>
      <c r="AF66" s="58" t="e">
        <f>#REF!*P66</f>
        <v>#REF!</v>
      </c>
      <c r="AG66" s="58">
        <f t="shared" si="31"/>
        <v>0</v>
      </c>
      <c r="AH66" s="58"/>
      <c r="AI66" s="58"/>
      <c r="AJ66" s="58">
        <f t="shared" si="32"/>
        <v>0</v>
      </c>
      <c r="AK66" s="58">
        <f t="shared" si="33"/>
        <v>0</v>
      </c>
      <c r="AL66" s="58">
        <f t="shared" si="33"/>
        <v>0</v>
      </c>
      <c r="AM66" s="159"/>
    </row>
    <row r="67" spans="1:39" ht="20.25" customHeight="1">
      <c r="A67" s="151">
        <v>22</v>
      </c>
      <c r="B67" s="160" t="s">
        <v>412</v>
      </c>
      <c r="C67" s="160"/>
      <c r="D67" s="153">
        <f t="shared" si="23"/>
        <v>0</v>
      </c>
      <c r="E67" s="161"/>
      <c r="F67" s="161"/>
      <c r="G67" s="154">
        <f t="shared" si="24"/>
        <v>200</v>
      </c>
      <c r="H67" s="154">
        <v>200</v>
      </c>
      <c r="I67" s="154"/>
      <c r="J67" s="182">
        <f t="shared" si="25"/>
        <v>0</v>
      </c>
      <c r="K67" s="161"/>
      <c r="L67" s="161"/>
      <c r="M67" s="155">
        <f t="shared" si="34"/>
        <v>200</v>
      </c>
      <c r="N67" s="155">
        <f t="shared" si="35"/>
        <v>200</v>
      </c>
      <c r="O67" s="155">
        <f t="shared" si="35"/>
        <v>0</v>
      </c>
      <c r="P67" s="156">
        <v>0</v>
      </c>
      <c r="Q67" s="156"/>
      <c r="R67" s="157" t="e">
        <f>#REF!*P67</f>
        <v>#REF!</v>
      </c>
      <c r="S67" s="91">
        <f t="shared" si="26"/>
        <v>0</v>
      </c>
      <c r="T67" s="91"/>
      <c r="U67" s="91"/>
      <c r="V67" s="91">
        <f t="shared" si="27"/>
        <v>200</v>
      </c>
      <c r="W67" s="91">
        <f>10+190</f>
        <v>200</v>
      </c>
      <c r="X67" s="91"/>
      <c r="Y67" s="58">
        <f t="shared" si="28"/>
        <v>100</v>
      </c>
      <c r="Z67" s="58">
        <f t="shared" si="28"/>
        <v>100</v>
      </c>
      <c r="AA67" s="58">
        <f t="shared" si="28"/>
        <v>0</v>
      </c>
      <c r="AB67" s="91">
        <f>10+190</f>
        <v>200</v>
      </c>
      <c r="AC67" s="58" t="e">
        <f>#REF!*P67</f>
        <v>#REF!</v>
      </c>
      <c r="AD67" s="158">
        <f t="shared" si="29"/>
        <v>100</v>
      </c>
      <c r="AE67" s="58">
        <f t="shared" si="30"/>
        <v>0</v>
      </c>
      <c r="AF67" s="58" t="e">
        <f>#REF!*P67</f>
        <v>#REF!</v>
      </c>
      <c r="AG67" s="58">
        <f t="shared" si="31"/>
        <v>0</v>
      </c>
      <c r="AH67" s="58"/>
      <c r="AI67" s="58"/>
      <c r="AJ67" s="58">
        <f t="shared" si="32"/>
        <v>0</v>
      </c>
      <c r="AK67" s="58">
        <f t="shared" si="33"/>
        <v>0</v>
      </c>
      <c r="AL67" s="58">
        <f t="shared" si="33"/>
        <v>0</v>
      </c>
      <c r="AM67" s="159"/>
    </row>
    <row r="68" spans="1:39" ht="20.25" customHeight="1">
      <c r="A68" s="151">
        <v>23</v>
      </c>
      <c r="B68" s="160" t="s">
        <v>413</v>
      </c>
      <c r="C68" s="160"/>
      <c r="D68" s="153">
        <f t="shared" si="23"/>
        <v>2656</v>
      </c>
      <c r="E68" s="161">
        <v>2656</v>
      </c>
      <c r="F68" s="161"/>
      <c r="G68" s="154">
        <f t="shared" si="24"/>
        <v>4000</v>
      </c>
      <c r="H68" s="154">
        <v>4000</v>
      </c>
      <c r="I68" s="154"/>
      <c r="J68" s="182">
        <f t="shared" si="25"/>
        <v>0</v>
      </c>
      <c r="K68" s="161"/>
      <c r="L68" s="161"/>
      <c r="M68" s="155">
        <f t="shared" si="34"/>
        <v>6656</v>
      </c>
      <c r="N68" s="155">
        <f t="shared" si="35"/>
        <v>6656</v>
      </c>
      <c r="O68" s="155">
        <f t="shared" si="35"/>
        <v>0</v>
      </c>
      <c r="P68" s="156">
        <v>0</v>
      </c>
      <c r="Q68" s="156"/>
      <c r="R68" s="157" t="e">
        <f>#REF!*P68</f>
        <v>#REF!</v>
      </c>
      <c r="S68" s="91">
        <f t="shared" si="26"/>
        <v>0</v>
      </c>
      <c r="T68" s="91"/>
      <c r="U68" s="91"/>
      <c r="V68" s="91">
        <f t="shared" si="27"/>
        <v>6656</v>
      </c>
      <c r="W68" s="91">
        <f>464+224+752+832+160+368+156+68+304+80+416+32+608+1792+400</f>
        <v>6656</v>
      </c>
      <c r="X68" s="91"/>
      <c r="Y68" s="58">
        <f t="shared" si="28"/>
        <v>100</v>
      </c>
      <c r="Z68" s="58">
        <f t="shared" si="28"/>
        <v>100</v>
      </c>
      <c r="AA68" s="58">
        <f t="shared" si="28"/>
        <v>0</v>
      </c>
      <c r="AB68" s="91">
        <f>464+224+752+832+160+368+224+304+80+416+32+608+1792+400</f>
        <v>6656</v>
      </c>
      <c r="AC68" s="58" t="e">
        <f>#REF!*P68</f>
        <v>#REF!</v>
      </c>
      <c r="AD68" s="158">
        <f t="shared" si="29"/>
        <v>100</v>
      </c>
      <c r="AE68" s="58">
        <f t="shared" si="30"/>
        <v>0</v>
      </c>
      <c r="AF68" s="58" t="e">
        <f>#REF!*P68</f>
        <v>#REF!</v>
      </c>
      <c r="AG68" s="58">
        <f t="shared" si="31"/>
        <v>0</v>
      </c>
      <c r="AH68" s="58"/>
      <c r="AI68" s="58"/>
      <c r="AJ68" s="58">
        <f t="shared" si="32"/>
        <v>0</v>
      </c>
      <c r="AK68" s="58">
        <f t="shared" si="33"/>
        <v>0</v>
      </c>
      <c r="AL68" s="58">
        <f t="shared" si="33"/>
        <v>0</v>
      </c>
      <c r="AM68" s="159"/>
    </row>
    <row r="69" spans="1:39" ht="20.25" customHeight="1">
      <c r="A69" s="151">
        <v>24</v>
      </c>
      <c r="B69" s="152" t="s">
        <v>414</v>
      </c>
      <c r="C69" s="152"/>
      <c r="D69" s="153">
        <f t="shared" si="23"/>
        <v>1446</v>
      </c>
      <c r="E69" s="153">
        <v>1446</v>
      </c>
      <c r="F69" s="153"/>
      <c r="G69" s="154">
        <f t="shared" si="24"/>
        <v>3000</v>
      </c>
      <c r="H69" s="154">
        <v>3000</v>
      </c>
      <c r="I69" s="154"/>
      <c r="J69" s="182">
        <f t="shared" si="25"/>
        <v>0</v>
      </c>
      <c r="K69" s="153"/>
      <c r="L69" s="153"/>
      <c r="M69" s="155">
        <f t="shared" si="34"/>
        <v>4446</v>
      </c>
      <c r="N69" s="155">
        <f t="shared" si="35"/>
        <v>4446</v>
      </c>
      <c r="O69" s="155">
        <f t="shared" si="35"/>
        <v>0</v>
      </c>
      <c r="P69" s="156">
        <v>0</v>
      </c>
      <c r="Q69" s="156"/>
      <c r="R69" s="157" t="e">
        <f>#REF!*P69</f>
        <v>#REF!</v>
      </c>
      <c r="S69" s="91">
        <f t="shared" si="26"/>
        <v>0</v>
      </c>
      <c r="T69" s="91"/>
      <c r="U69" s="91"/>
      <c r="V69" s="91">
        <f t="shared" si="27"/>
        <v>4446</v>
      </c>
      <c r="W69" s="91">
        <f>240+288+592+144+182+58+20+224+896+400+224+384+48+10+160+240+336</f>
        <v>4446</v>
      </c>
      <c r="X69" s="91"/>
      <c r="Y69" s="58">
        <f t="shared" si="28"/>
        <v>100</v>
      </c>
      <c r="Z69" s="58">
        <f t="shared" si="28"/>
        <v>100</v>
      </c>
      <c r="AA69" s="58">
        <f t="shared" si="28"/>
        <v>0</v>
      </c>
      <c r="AB69" s="91">
        <f>240+288+592+144+240+244+896+400+224+384+48+170+240+336</f>
        <v>4446</v>
      </c>
      <c r="AC69" s="58" t="e">
        <f>#REF!*P69</f>
        <v>#REF!</v>
      </c>
      <c r="AD69" s="158">
        <f t="shared" si="29"/>
        <v>100</v>
      </c>
      <c r="AE69" s="58">
        <f t="shared" si="30"/>
        <v>0</v>
      </c>
      <c r="AF69" s="58" t="e">
        <f>#REF!*P69</f>
        <v>#REF!</v>
      </c>
      <c r="AG69" s="58">
        <f t="shared" si="31"/>
        <v>0</v>
      </c>
      <c r="AH69" s="58"/>
      <c r="AI69" s="58"/>
      <c r="AJ69" s="58">
        <f t="shared" si="32"/>
        <v>0</v>
      </c>
      <c r="AK69" s="58">
        <f t="shared" si="33"/>
        <v>0</v>
      </c>
      <c r="AL69" s="58">
        <f t="shared" si="33"/>
        <v>0</v>
      </c>
      <c r="AM69" s="159"/>
    </row>
    <row r="70" spans="1:39" ht="20.25" customHeight="1">
      <c r="A70" s="151">
        <v>25</v>
      </c>
      <c r="B70" s="152" t="s">
        <v>415</v>
      </c>
      <c r="C70" s="152"/>
      <c r="D70" s="153">
        <f t="shared" si="23"/>
        <v>0</v>
      </c>
      <c r="E70" s="153"/>
      <c r="F70" s="153"/>
      <c r="G70" s="154">
        <f t="shared" si="24"/>
        <v>122</v>
      </c>
      <c r="H70" s="154">
        <v>122</v>
      </c>
      <c r="I70" s="154"/>
      <c r="J70" s="182">
        <f t="shared" si="25"/>
        <v>0</v>
      </c>
      <c r="K70" s="153"/>
      <c r="L70" s="153"/>
      <c r="M70" s="155">
        <f t="shared" si="34"/>
        <v>122</v>
      </c>
      <c r="N70" s="155">
        <f t="shared" si="35"/>
        <v>122</v>
      </c>
      <c r="O70" s="155">
        <f t="shared" si="35"/>
        <v>0</v>
      </c>
      <c r="P70" s="156">
        <v>0</v>
      </c>
      <c r="Q70" s="156"/>
      <c r="R70" s="157" t="e">
        <f>#REF!*P70</f>
        <v>#REF!</v>
      </c>
      <c r="S70" s="91">
        <f t="shared" si="26"/>
        <v>0</v>
      </c>
      <c r="T70" s="91"/>
      <c r="U70" s="91"/>
      <c r="V70" s="91">
        <f t="shared" si="27"/>
        <v>122</v>
      </c>
      <c r="W70" s="91">
        <f>8+5+56+53</f>
        <v>122</v>
      </c>
      <c r="X70" s="91"/>
      <c r="Y70" s="58">
        <f t="shared" si="28"/>
        <v>100</v>
      </c>
      <c r="Z70" s="58">
        <f t="shared" si="28"/>
        <v>100</v>
      </c>
      <c r="AA70" s="58">
        <f t="shared" si="28"/>
        <v>0</v>
      </c>
      <c r="AB70" s="91">
        <f>13+56+53</f>
        <v>122</v>
      </c>
      <c r="AC70" s="58" t="e">
        <f>#REF!*P70</f>
        <v>#REF!</v>
      </c>
      <c r="AD70" s="158">
        <f t="shared" si="29"/>
        <v>100</v>
      </c>
      <c r="AE70" s="58">
        <f t="shared" si="30"/>
        <v>0</v>
      </c>
      <c r="AF70" s="58" t="e">
        <f>#REF!*P70</f>
        <v>#REF!</v>
      </c>
      <c r="AG70" s="58">
        <f t="shared" si="31"/>
        <v>0</v>
      </c>
      <c r="AH70" s="58"/>
      <c r="AI70" s="58"/>
      <c r="AJ70" s="58">
        <f t="shared" si="32"/>
        <v>0</v>
      </c>
      <c r="AK70" s="58">
        <f t="shared" si="33"/>
        <v>0</v>
      </c>
      <c r="AL70" s="58">
        <f t="shared" si="33"/>
        <v>0</v>
      </c>
      <c r="AM70" s="159"/>
    </row>
    <row r="71" spans="1:39" ht="20.25" customHeight="1">
      <c r="A71" s="151">
        <v>26</v>
      </c>
      <c r="B71" s="152" t="s">
        <v>416</v>
      </c>
      <c r="C71" s="152"/>
      <c r="D71" s="153">
        <f t="shared" si="23"/>
        <v>0</v>
      </c>
      <c r="E71" s="153"/>
      <c r="F71" s="153"/>
      <c r="G71" s="154">
        <f t="shared" si="24"/>
        <v>128</v>
      </c>
      <c r="H71" s="154">
        <v>128</v>
      </c>
      <c r="I71" s="154"/>
      <c r="J71" s="182">
        <f t="shared" si="25"/>
        <v>0</v>
      </c>
      <c r="K71" s="153"/>
      <c r="L71" s="153"/>
      <c r="M71" s="155">
        <f t="shared" si="34"/>
        <v>128</v>
      </c>
      <c r="N71" s="155">
        <f t="shared" si="35"/>
        <v>128</v>
      </c>
      <c r="O71" s="155">
        <f t="shared" si="35"/>
        <v>0</v>
      </c>
      <c r="P71" s="156">
        <v>0</v>
      </c>
      <c r="Q71" s="156"/>
      <c r="R71" s="157" t="e">
        <f>#REF!*P71</f>
        <v>#REF!</v>
      </c>
      <c r="S71" s="91">
        <f t="shared" si="26"/>
        <v>0</v>
      </c>
      <c r="T71" s="91"/>
      <c r="U71" s="91"/>
      <c r="V71" s="91">
        <f t="shared" si="27"/>
        <v>128</v>
      </c>
      <c r="W71" s="91">
        <f>16+56+56</f>
        <v>128</v>
      </c>
      <c r="X71" s="91"/>
      <c r="Y71" s="58">
        <f t="shared" si="28"/>
        <v>100</v>
      </c>
      <c r="Z71" s="58">
        <f t="shared" si="28"/>
        <v>100</v>
      </c>
      <c r="AA71" s="58">
        <f t="shared" si="28"/>
        <v>0</v>
      </c>
      <c r="AB71" s="91">
        <f>16+56+56</f>
        <v>128</v>
      </c>
      <c r="AC71" s="58" t="e">
        <f>#REF!*P71</f>
        <v>#REF!</v>
      </c>
      <c r="AD71" s="158">
        <f t="shared" si="29"/>
        <v>100</v>
      </c>
      <c r="AE71" s="58">
        <f t="shared" si="30"/>
        <v>0</v>
      </c>
      <c r="AF71" s="58" t="e">
        <f>#REF!*P71</f>
        <v>#REF!</v>
      </c>
      <c r="AG71" s="58">
        <f t="shared" si="31"/>
        <v>0</v>
      </c>
      <c r="AH71" s="58"/>
      <c r="AI71" s="58"/>
      <c r="AJ71" s="58">
        <f t="shared" si="32"/>
        <v>0</v>
      </c>
      <c r="AK71" s="58">
        <f t="shared" si="33"/>
        <v>0</v>
      </c>
      <c r="AL71" s="58">
        <f t="shared" si="33"/>
        <v>0</v>
      </c>
      <c r="AM71" s="159"/>
    </row>
    <row r="72" spans="1:39" ht="20.25" customHeight="1">
      <c r="A72" s="151">
        <v>27</v>
      </c>
      <c r="B72" s="152" t="s">
        <v>417</v>
      </c>
      <c r="C72" s="152" t="s">
        <v>350</v>
      </c>
      <c r="D72" s="153">
        <f t="shared" si="23"/>
        <v>68</v>
      </c>
      <c r="E72" s="153">
        <v>68</v>
      </c>
      <c r="F72" s="153"/>
      <c r="G72" s="154">
        <f t="shared" si="24"/>
        <v>0</v>
      </c>
      <c r="H72" s="154"/>
      <c r="I72" s="154"/>
      <c r="J72" s="182">
        <f t="shared" si="25"/>
        <v>70</v>
      </c>
      <c r="K72" s="153">
        <v>70</v>
      </c>
      <c r="L72" s="153"/>
      <c r="M72" s="155">
        <f t="shared" si="34"/>
        <v>138</v>
      </c>
      <c r="N72" s="155">
        <f t="shared" si="35"/>
        <v>138</v>
      </c>
      <c r="O72" s="155">
        <f t="shared" si="35"/>
        <v>0</v>
      </c>
      <c r="P72" s="156">
        <v>0</v>
      </c>
      <c r="Q72" s="156"/>
      <c r="R72" s="157" t="e">
        <f>#REF!*P72</f>
        <v>#REF!</v>
      </c>
      <c r="S72" s="91">
        <f t="shared" si="26"/>
        <v>0</v>
      </c>
      <c r="T72" s="91"/>
      <c r="U72" s="91"/>
      <c r="V72" s="91">
        <f t="shared" si="27"/>
        <v>138</v>
      </c>
      <c r="W72" s="91">
        <f>24+44+8+48+14</f>
        <v>138</v>
      </c>
      <c r="X72" s="91"/>
      <c r="Y72" s="58">
        <f t="shared" si="28"/>
        <v>100</v>
      </c>
      <c r="Z72" s="58">
        <f t="shared" si="28"/>
        <v>100</v>
      </c>
      <c r="AA72" s="58">
        <f t="shared" si="28"/>
        <v>0</v>
      </c>
      <c r="AB72" s="91">
        <f>24+44+8+48+14</f>
        <v>138</v>
      </c>
      <c r="AC72" s="58" t="e">
        <f>#REF!*P72</f>
        <v>#REF!</v>
      </c>
      <c r="AD72" s="158">
        <f t="shared" si="29"/>
        <v>100</v>
      </c>
      <c r="AE72" s="58">
        <f t="shared" si="30"/>
        <v>0</v>
      </c>
      <c r="AF72" s="58" t="e">
        <f>#REF!*P72</f>
        <v>#REF!</v>
      </c>
      <c r="AG72" s="58">
        <f t="shared" si="31"/>
        <v>0</v>
      </c>
      <c r="AH72" s="58"/>
      <c r="AI72" s="58"/>
      <c r="AJ72" s="58">
        <f t="shared" si="32"/>
        <v>0</v>
      </c>
      <c r="AK72" s="58">
        <f t="shared" si="33"/>
        <v>0</v>
      </c>
      <c r="AL72" s="58">
        <f t="shared" si="33"/>
        <v>0</v>
      </c>
      <c r="AM72" s="159"/>
    </row>
    <row r="73" spans="1:39" ht="20.25" customHeight="1">
      <c r="A73" s="151">
        <v>28</v>
      </c>
      <c r="B73" s="152" t="s">
        <v>418</v>
      </c>
      <c r="C73" s="152" t="s">
        <v>350</v>
      </c>
      <c r="D73" s="153">
        <f t="shared" si="23"/>
        <v>30</v>
      </c>
      <c r="E73" s="153">
        <v>30</v>
      </c>
      <c r="F73" s="153"/>
      <c r="G73" s="154">
        <f t="shared" si="24"/>
        <v>0</v>
      </c>
      <c r="H73" s="154"/>
      <c r="I73" s="154"/>
      <c r="J73" s="182">
        <f t="shared" si="25"/>
        <v>331</v>
      </c>
      <c r="K73" s="153">
        <v>331</v>
      </c>
      <c r="L73" s="153"/>
      <c r="M73" s="155">
        <f t="shared" si="34"/>
        <v>361</v>
      </c>
      <c r="N73" s="155">
        <f t="shared" si="35"/>
        <v>361</v>
      </c>
      <c r="O73" s="155">
        <f t="shared" si="35"/>
        <v>0</v>
      </c>
      <c r="P73" s="156">
        <v>0</v>
      </c>
      <c r="Q73" s="156"/>
      <c r="R73" s="157" t="e">
        <f>#REF!*P73</f>
        <v>#REF!</v>
      </c>
      <c r="S73" s="91">
        <f t="shared" si="26"/>
        <v>0</v>
      </c>
      <c r="T73" s="91"/>
      <c r="U73" s="91"/>
      <c r="V73" s="91">
        <f t="shared" si="27"/>
        <v>361</v>
      </c>
      <c r="W73" s="91">
        <f>24+6+8+152+120+51</f>
        <v>361</v>
      </c>
      <c r="X73" s="91"/>
      <c r="Y73" s="58">
        <f t="shared" si="28"/>
        <v>100</v>
      </c>
      <c r="Z73" s="58">
        <f t="shared" si="28"/>
        <v>100</v>
      </c>
      <c r="AA73" s="58">
        <f t="shared" si="28"/>
        <v>0</v>
      </c>
      <c r="AB73" s="91">
        <f>24+14+152+120+51</f>
        <v>361</v>
      </c>
      <c r="AC73" s="58" t="e">
        <f>#REF!*P73</f>
        <v>#REF!</v>
      </c>
      <c r="AD73" s="158">
        <f t="shared" si="29"/>
        <v>100</v>
      </c>
      <c r="AE73" s="79">
        <f t="shared" si="30"/>
        <v>0</v>
      </c>
      <c r="AF73" s="58" t="e">
        <f>#REF!*P73</f>
        <v>#REF!</v>
      </c>
      <c r="AG73" s="58">
        <f t="shared" si="31"/>
        <v>0</v>
      </c>
      <c r="AH73" s="58"/>
      <c r="AI73" s="58"/>
      <c r="AJ73" s="58">
        <f t="shared" si="32"/>
        <v>0</v>
      </c>
      <c r="AK73" s="58">
        <f t="shared" si="33"/>
        <v>0</v>
      </c>
      <c r="AL73" s="58">
        <f t="shared" si="33"/>
        <v>0</v>
      </c>
      <c r="AM73" s="159"/>
    </row>
    <row r="74" spans="1:39" ht="20.25" customHeight="1">
      <c r="A74" s="151">
        <v>29</v>
      </c>
      <c r="B74" s="169" t="s">
        <v>419</v>
      </c>
      <c r="C74" s="166"/>
      <c r="D74" s="153">
        <f t="shared" si="23"/>
        <v>0</v>
      </c>
      <c r="E74" s="153">
        <f>770-770</f>
        <v>0</v>
      </c>
      <c r="F74" s="153"/>
      <c r="G74" s="154">
        <f t="shared" si="24"/>
        <v>6</v>
      </c>
      <c r="H74" s="154">
        <v>6</v>
      </c>
      <c r="I74" s="154"/>
      <c r="J74" s="182">
        <f t="shared" si="25"/>
        <v>0</v>
      </c>
      <c r="K74" s="153"/>
      <c r="L74" s="153"/>
      <c r="M74" s="155">
        <f t="shared" si="34"/>
        <v>6</v>
      </c>
      <c r="N74" s="155">
        <f t="shared" si="35"/>
        <v>6</v>
      </c>
      <c r="O74" s="155">
        <f t="shared" si="35"/>
        <v>0</v>
      </c>
      <c r="P74" s="156">
        <v>0</v>
      </c>
      <c r="Q74" s="156"/>
      <c r="R74" s="157" t="e">
        <f>#REF!*P74</f>
        <v>#REF!</v>
      </c>
      <c r="S74" s="91">
        <f t="shared" si="26"/>
        <v>0</v>
      </c>
      <c r="T74" s="91"/>
      <c r="U74" s="91"/>
      <c r="V74" s="91">
        <f t="shared" si="27"/>
        <v>6</v>
      </c>
      <c r="W74" s="91">
        <v>6</v>
      </c>
      <c r="X74" s="91"/>
      <c r="Y74" s="58">
        <f t="shared" si="28"/>
        <v>100</v>
      </c>
      <c r="Z74" s="58">
        <f t="shared" si="28"/>
        <v>100</v>
      </c>
      <c r="AA74" s="58">
        <f t="shared" si="28"/>
        <v>0</v>
      </c>
      <c r="AB74" s="91">
        <f>6</f>
        <v>6</v>
      </c>
      <c r="AC74" s="58" t="e">
        <f>#REF!*P74</f>
        <v>#REF!</v>
      </c>
      <c r="AD74" s="158">
        <f t="shared" si="29"/>
        <v>100</v>
      </c>
      <c r="AE74" s="58">
        <f t="shared" si="30"/>
        <v>0</v>
      </c>
      <c r="AF74" s="58" t="e">
        <f>#REF!*P74</f>
        <v>#REF!</v>
      </c>
      <c r="AG74" s="58">
        <f t="shared" si="31"/>
        <v>0</v>
      </c>
      <c r="AH74" s="58"/>
      <c r="AI74" s="58"/>
      <c r="AJ74" s="58">
        <f t="shared" si="32"/>
        <v>0</v>
      </c>
      <c r="AK74" s="58">
        <f t="shared" si="33"/>
        <v>0</v>
      </c>
      <c r="AL74" s="58">
        <f t="shared" si="33"/>
        <v>0</v>
      </c>
      <c r="AM74" s="159"/>
    </row>
    <row r="75" spans="1:39" ht="20.25" customHeight="1">
      <c r="A75" s="151">
        <v>30</v>
      </c>
      <c r="B75" s="169" t="s">
        <v>420</v>
      </c>
      <c r="C75" s="166"/>
      <c r="D75" s="153">
        <f t="shared" si="23"/>
        <v>0</v>
      </c>
      <c r="E75" s="153"/>
      <c r="F75" s="153"/>
      <c r="G75" s="154">
        <f t="shared" si="24"/>
        <v>1556</v>
      </c>
      <c r="H75" s="154">
        <f>2926-1370</f>
        <v>1556</v>
      </c>
      <c r="I75" s="154"/>
      <c r="J75" s="182">
        <f t="shared" si="25"/>
        <v>0</v>
      </c>
      <c r="K75" s="153"/>
      <c r="L75" s="153"/>
      <c r="M75" s="155">
        <f t="shared" si="34"/>
        <v>1556</v>
      </c>
      <c r="N75" s="155">
        <f t="shared" si="35"/>
        <v>1556</v>
      </c>
      <c r="O75" s="155">
        <f t="shared" si="35"/>
        <v>0</v>
      </c>
      <c r="P75" s="156">
        <v>0</v>
      </c>
      <c r="Q75" s="156"/>
      <c r="R75" s="157" t="e">
        <f>#REF!*P75</f>
        <v>#REF!</v>
      </c>
      <c r="S75" s="91">
        <f t="shared" si="26"/>
        <v>0</v>
      </c>
      <c r="T75" s="91"/>
      <c r="U75" s="91"/>
      <c r="V75" s="91">
        <f t="shared" si="27"/>
        <v>1544</v>
      </c>
      <c r="W75" s="91">
        <f>152+288+72+96+8+80+280+56+184+88+40+136+64</f>
        <v>1544</v>
      </c>
      <c r="X75" s="91"/>
      <c r="Y75" s="58">
        <f t="shared" si="28"/>
        <v>99</v>
      </c>
      <c r="Z75" s="58">
        <f t="shared" si="28"/>
        <v>99</v>
      </c>
      <c r="AA75" s="58">
        <f t="shared" si="28"/>
        <v>0</v>
      </c>
      <c r="AB75" s="91">
        <f>152+288+72+96+8+80+280+56+184+88+40+136+64</f>
        <v>1544</v>
      </c>
      <c r="AC75" s="58" t="e">
        <f>#REF!*P75</f>
        <v>#REF!</v>
      </c>
      <c r="AD75" s="158">
        <f t="shared" si="29"/>
        <v>99</v>
      </c>
      <c r="AE75" s="58">
        <f t="shared" si="30"/>
        <v>0</v>
      </c>
      <c r="AF75" s="58" t="e">
        <f>#REF!*P75</f>
        <v>#REF!</v>
      </c>
      <c r="AG75" s="58">
        <f t="shared" si="31"/>
        <v>0</v>
      </c>
      <c r="AH75" s="58"/>
      <c r="AI75" s="58"/>
      <c r="AJ75" s="58">
        <f t="shared" si="32"/>
        <v>12</v>
      </c>
      <c r="AK75" s="58">
        <f t="shared" si="33"/>
        <v>12</v>
      </c>
      <c r="AL75" s="58">
        <f t="shared" si="33"/>
        <v>0</v>
      </c>
      <c r="AM75" s="159"/>
    </row>
    <row r="76" spans="1:39" ht="20.25" customHeight="1">
      <c r="A76" s="151">
        <v>31</v>
      </c>
      <c r="B76" s="152" t="s">
        <v>421</v>
      </c>
      <c r="C76" s="152"/>
      <c r="D76" s="153">
        <f t="shared" si="23"/>
        <v>0</v>
      </c>
      <c r="E76" s="153"/>
      <c r="F76" s="153"/>
      <c r="G76" s="154">
        <f t="shared" si="24"/>
        <v>4</v>
      </c>
      <c r="H76" s="154">
        <v>4</v>
      </c>
      <c r="I76" s="154"/>
      <c r="J76" s="182">
        <f t="shared" si="25"/>
        <v>0</v>
      </c>
      <c r="K76" s="153"/>
      <c r="L76" s="153"/>
      <c r="M76" s="155">
        <f t="shared" si="34"/>
        <v>4</v>
      </c>
      <c r="N76" s="155">
        <f t="shared" si="35"/>
        <v>4</v>
      </c>
      <c r="O76" s="155">
        <f t="shared" si="35"/>
        <v>0</v>
      </c>
      <c r="P76" s="156">
        <v>0</v>
      </c>
      <c r="Q76" s="156"/>
      <c r="R76" s="157" t="e">
        <f>#REF!*P76</f>
        <v>#REF!</v>
      </c>
      <c r="S76" s="91">
        <f t="shared" si="26"/>
        <v>0</v>
      </c>
      <c r="T76" s="91"/>
      <c r="U76" s="91"/>
      <c r="V76" s="91">
        <f t="shared" si="27"/>
        <v>4</v>
      </c>
      <c r="W76" s="91">
        <v>4</v>
      </c>
      <c r="X76" s="91"/>
      <c r="Y76" s="58">
        <f t="shared" si="28"/>
        <v>100</v>
      </c>
      <c r="Z76" s="58">
        <f t="shared" si="28"/>
        <v>100</v>
      </c>
      <c r="AA76" s="58">
        <f t="shared" si="28"/>
        <v>0</v>
      </c>
      <c r="AB76" s="57">
        <f>4</f>
        <v>4</v>
      </c>
      <c r="AC76" s="58" t="e">
        <f>#REF!*P76</f>
        <v>#REF!</v>
      </c>
      <c r="AD76" s="158">
        <f t="shared" si="29"/>
        <v>100</v>
      </c>
      <c r="AE76" s="58">
        <f t="shared" si="30"/>
        <v>0</v>
      </c>
      <c r="AF76" s="58" t="e">
        <f>#REF!*P76</f>
        <v>#REF!</v>
      </c>
      <c r="AG76" s="58">
        <f t="shared" si="31"/>
        <v>0</v>
      </c>
      <c r="AH76" s="58"/>
      <c r="AI76" s="58"/>
      <c r="AJ76" s="58">
        <f t="shared" si="32"/>
        <v>0</v>
      </c>
      <c r="AK76" s="58">
        <f t="shared" si="33"/>
        <v>0</v>
      </c>
      <c r="AL76" s="58">
        <f t="shared" si="33"/>
        <v>0</v>
      </c>
      <c r="AM76" s="159"/>
    </row>
    <row r="77" spans="1:39" ht="20.25" customHeight="1">
      <c r="A77" s="151">
        <v>32</v>
      </c>
      <c r="B77" s="152" t="s">
        <v>422</v>
      </c>
      <c r="C77" s="152" t="s">
        <v>350</v>
      </c>
      <c r="D77" s="153">
        <f t="shared" si="23"/>
        <v>92</v>
      </c>
      <c r="E77" s="153">
        <v>92</v>
      </c>
      <c r="F77" s="153"/>
      <c r="G77" s="154">
        <f t="shared" si="24"/>
        <v>0</v>
      </c>
      <c r="H77" s="154"/>
      <c r="I77" s="154"/>
      <c r="J77" s="182">
        <f t="shared" si="25"/>
        <v>63</v>
      </c>
      <c r="K77" s="153"/>
      <c r="L77" s="153">
        <v>63</v>
      </c>
      <c r="M77" s="155">
        <f t="shared" si="34"/>
        <v>155</v>
      </c>
      <c r="N77" s="155">
        <f t="shared" si="35"/>
        <v>92</v>
      </c>
      <c r="O77" s="155">
        <f t="shared" si="35"/>
        <v>63</v>
      </c>
      <c r="P77" s="156">
        <v>0</v>
      </c>
      <c r="Q77" s="156"/>
      <c r="R77" s="157" t="e">
        <f>#REF!*P77</f>
        <v>#REF!</v>
      </c>
      <c r="S77" s="91">
        <f t="shared" si="26"/>
        <v>0</v>
      </c>
      <c r="T77" s="91"/>
      <c r="U77" s="91"/>
      <c r="V77" s="91">
        <f t="shared" si="27"/>
        <v>155</v>
      </c>
      <c r="W77" s="91">
        <f>92</f>
        <v>92</v>
      </c>
      <c r="X77" s="91">
        <f>40+23</f>
        <v>63</v>
      </c>
      <c r="Y77" s="58">
        <f t="shared" si="28"/>
        <v>100</v>
      </c>
      <c r="Z77" s="58">
        <f t="shared" si="28"/>
        <v>100</v>
      </c>
      <c r="AA77" s="58">
        <f t="shared" si="28"/>
        <v>100</v>
      </c>
      <c r="AB77" s="57">
        <f>92</f>
        <v>92</v>
      </c>
      <c r="AC77" s="58" t="e">
        <f>#REF!*P77</f>
        <v>#REF!</v>
      </c>
      <c r="AD77" s="158">
        <f t="shared" si="29"/>
        <v>59</v>
      </c>
      <c r="AE77" s="58">
        <f t="shared" si="30"/>
        <v>0</v>
      </c>
      <c r="AF77" s="58" t="e">
        <f>#REF!*P77</f>
        <v>#REF!</v>
      </c>
      <c r="AG77" s="58">
        <f t="shared" si="31"/>
        <v>0</v>
      </c>
      <c r="AH77" s="58"/>
      <c r="AI77" s="58"/>
      <c r="AJ77" s="58">
        <f t="shared" si="32"/>
        <v>0</v>
      </c>
      <c r="AK77" s="58">
        <f t="shared" si="33"/>
        <v>0</v>
      </c>
      <c r="AL77" s="58">
        <f t="shared" si="33"/>
        <v>0</v>
      </c>
      <c r="AM77" s="159"/>
    </row>
    <row r="78" spans="1:39" ht="20.25" customHeight="1">
      <c r="A78" s="151">
        <v>33</v>
      </c>
      <c r="B78" s="152" t="s">
        <v>423</v>
      </c>
      <c r="C78" s="152" t="s">
        <v>350</v>
      </c>
      <c r="D78" s="153">
        <f t="shared" si="23"/>
        <v>0</v>
      </c>
      <c r="E78" s="153"/>
      <c r="F78" s="153"/>
      <c r="G78" s="154">
        <f t="shared" si="24"/>
        <v>50</v>
      </c>
      <c r="H78" s="154">
        <v>50</v>
      </c>
      <c r="I78" s="154"/>
      <c r="J78" s="182">
        <f t="shared" si="25"/>
        <v>46</v>
      </c>
      <c r="K78" s="153">
        <v>46</v>
      </c>
      <c r="L78" s="153"/>
      <c r="M78" s="155">
        <f t="shared" si="34"/>
        <v>96</v>
      </c>
      <c r="N78" s="155">
        <f t="shared" si="35"/>
        <v>96</v>
      </c>
      <c r="O78" s="155">
        <f t="shared" si="35"/>
        <v>0</v>
      </c>
      <c r="P78" s="156">
        <v>0</v>
      </c>
      <c r="Q78" s="156"/>
      <c r="R78" s="157" t="e">
        <f>#REF!*P78</f>
        <v>#REF!</v>
      </c>
      <c r="S78" s="91">
        <f t="shared" si="26"/>
        <v>0</v>
      </c>
      <c r="T78" s="91"/>
      <c r="U78" s="91"/>
      <c r="V78" s="91">
        <f t="shared" si="27"/>
        <v>96</v>
      </c>
      <c r="W78" s="91">
        <f>40+16+8+8+24</f>
        <v>96</v>
      </c>
      <c r="X78" s="91"/>
      <c r="Y78" s="58">
        <f t="shared" si="28"/>
        <v>100</v>
      </c>
      <c r="Z78" s="58">
        <f t="shared" si="28"/>
        <v>100</v>
      </c>
      <c r="AA78" s="58">
        <f t="shared" si="28"/>
        <v>0</v>
      </c>
      <c r="AB78" s="57">
        <f>40+16+8+8+24</f>
        <v>96</v>
      </c>
      <c r="AC78" s="58" t="e">
        <f>#REF!*P78</f>
        <v>#REF!</v>
      </c>
      <c r="AD78" s="158">
        <f t="shared" si="29"/>
        <v>100</v>
      </c>
      <c r="AE78" s="58">
        <f t="shared" si="30"/>
        <v>0</v>
      </c>
      <c r="AF78" s="58" t="e">
        <f>#REF!*P78</f>
        <v>#REF!</v>
      </c>
      <c r="AG78" s="58">
        <f t="shared" si="31"/>
        <v>0</v>
      </c>
      <c r="AH78" s="58"/>
      <c r="AI78" s="58"/>
      <c r="AJ78" s="58">
        <f t="shared" si="32"/>
        <v>0</v>
      </c>
      <c r="AK78" s="58">
        <f t="shared" si="33"/>
        <v>0</v>
      </c>
      <c r="AL78" s="58">
        <f t="shared" si="33"/>
        <v>0</v>
      </c>
      <c r="AM78" s="159"/>
    </row>
    <row r="79" spans="1:39" ht="20.25" customHeight="1">
      <c r="A79" s="151">
        <v>34</v>
      </c>
      <c r="B79" s="160" t="s">
        <v>424</v>
      </c>
      <c r="C79" s="160" t="s">
        <v>350</v>
      </c>
      <c r="D79" s="153">
        <f t="shared" si="23"/>
        <v>0</v>
      </c>
      <c r="E79" s="161"/>
      <c r="F79" s="161"/>
      <c r="G79" s="154">
        <f t="shared" si="24"/>
        <v>40</v>
      </c>
      <c r="H79" s="154">
        <v>40</v>
      </c>
      <c r="I79" s="154"/>
      <c r="J79" s="182">
        <f t="shared" si="25"/>
        <v>74</v>
      </c>
      <c r="K79" s="161">
        <v>74</v>
      </c>
      <c r="L79" s="161"/>
      <c r="M79" s="155">
        <f t="shared" si="34"/>
        <v>114</v>
      </c>
      <c r="N79" s="155">
        <f t="shared" si="35"/>
        <v>114</v>
      </c>
      <c r="O79" s="155">
        <f t="shared" si="35"/>
        <v>0</v>
      </c>
      <c r="P79" s="156">
        <v>0</v>
      </c>
      <c r="Q79" s="156"/>
      <c r="R79" s="157" t="e">
        <f>#REF!*P79</f>
        <v>#REF!</v>
      </c>
      <c r="S79" s="91">
        <f t="shared" si="26"/>
        <v>0</v>
      </c>
      <c r="T79" s="91"/>
      <c r="U79" s="91"/>
      <c r="V79" s="91">
        <f t="shared" si="27"/>
        <v>114</v>
      </c>
      <c r="W79" s="91">
        <f>8+8+64+24+10</f>
        <v>114</v>
      </c>
      <c r="X79" s="91"/>
      <c r="Y79" s="58">
        <f t="shared" si="28"/>
        <v>100</v>
      </c>
      <c r="Z79" s="58">
        <f t="shared" si="28"/>
        <v>100</v>
      </c>
      <c r="AA79" s="58">
        <f t="shared" si="28"/>
        <v>0</v>
      </c>
      <c r="AB79" s="57">
        <f>8+8+64+24+10</f>
        <v>114</v>
      </c>
      <c r="AC79" s="58" t="e">
        <f>#REF!*P79</f>
        <v>#REF!</v>
      </c>
      <c r="AD79" s="158">
        <f t="shared" si="29"/>
        <v>100</v>
      </c>
      <c r="AE79" s="58">
        <f t="shared" si="30"/>
        <v>0</v>
      </c>
      <c r="AF79" s="58" t="e">
        <f>#REF!*P79</f>
        <v>#REF!</v>
      </c>
      <c r="AG79" s="58">
        <f t="shared" si="31"/>
        <v>0</v>
      </c>
      <c r="AH79" s="58"/>
      <c r="AI79" s="58"/>
      <c r="AJ79" s="58">
        <f t="shared" si="32"/>
        <v>0</v>
      </c>
      <c r="AK79" s="58">
        <f t="shared" si="33"/>
        <v>0</v>
      </c>
      <c r="AL79" s="58">
        <f t="shared" si="33"/>
        <v>0</v>
      </c>
      <c r="AM79" s="159"/>
    </row>
    <row r="80" spans="1:39" ht="20.25" customHeight="1">
      <c r="A80" s="151">
        <v>35</v>
      </c>
      <c r="B80" s="160" t="s">
        <v>425</v>
      </c>
      <c r="C80" s="160"/>
      <c r="D80" s="153">
        <f t="shared" si="23"/>
        <v>0</v>
      </c>
      <c r="E80" s="161"/>
      <c r="F80" s="161"/>
      <c r="G80" s="154">
        <f t="shared" si="24"/>
        <v>26</v>
      </c>
      <c r="H80" s="154">
        <v>26</v>
      </c>
      <c r="I80" s="154"/>
      <c r="J80" s="182">
        <f t="shared" si="25"/>
        <v>0</v>
      </c>
      <c r="K80" s="161"/>
      <c r="L80" s="161"/>
      <c r="M80" s="155">
        <f t="shared" si="34"/>
        <v>26</v>
      </c>
      <c r="N80" s="155">
        <f t="shared" si="35"/>
        <v>26</v>
      </c>
      <c r="O80" s="155">
        <f t="shared" si="35"/>
        <v>0</v>
      </c>
      <c r="P80" s="156">
        <v>0</v>
      </c>
      <c r="Q80" s="156"/>
      <c r="R80" s="157" t="e">
        <f>#REF!*P80</f>
        <v>#REF!</v>
      </c>
      <c r="S80" s="91">
        <f t="shared" si="26"/>
        <v>0</v>
      </c>
      <c r="T80" s="91"/>
      <c r="U80" s="91"/>
      <c r="V80" s="91">
        <f t="shared" si="27"/>
        <v>26</v>
      </c>
      <c r="W80" s="91">
        <v>26</v>
      </c>
      <c r="X80" s="91"/>
      <c r="Y80" s="58">
        <f t="shared" si="28"/>
        <v>100</v>
      </c>
      <c r="Z80" s="58">
        <f t="shared" si="28"/>
        <v>100</v>
      </c>
      <c r="AA80" s="58">
        <f t="shared" si="28"/>
        <v>0</v>
      </c>
      <c r="AB80" s="57">
        <f>26</f>
        <v>26</v>
      </c>
      <c r="AC80" s="58" t="e">
        <f>#REF!*P80</f>
        <v>#REF!</v>
      </c>
      <c r="AD80" s="158">
        <f t="shared" si="29"/>
        <v>100</v>
      </c>
      <c r="AE80" s="58">
        <f t="shared" si="30"/>
        <v>0</v>
      </c>
      <c r="AF80" s="58" t="e">
        <f>#REF!*P80</f>
        <v>#REF!</v>
      </c>
      <c r="AG80" s="58">
        <f t="shared" si="31"/>
        <v>0</v>
      </c>
      <c r="AH80" s="58"/>
      <c r="AI80" s="58"/>
      <c r="AJ80" s="58">
        <f t="shared" si="32"/>
        <v>0</v>
      </c>
      <c r="AK80" s="58">
        <f t="shared" si="33"/>
        <v>0</v>
      </c>
      <c r="AL80" s="58">
        <f t="shared" si="33"/>
        <v>0</v>
      </c>
      <c r="AM80" s="159"/>
    </row>
    <row r="81" spans="1:40" ht="20.25" customHeight="1">
      <c r="A81" s="151">
        <v>36</v>
      </c>
      <c r="B81" s="160" t="s">
        <v>426</v>
      </c>
      <c r="C81" s="160" t="s">
        <v>427</v>
      </c>
      <c r="D81" s="153">
        <f t="shared" si="23"/>
        <v>0</v>
      </c>
      <c r="E81" s="161"/>
      <c r="F81" s="161"/>
      <c r="G81" s="154">
        <f t="shared" si="24"/>
        <v>6</v>
      </c>
      <c r="H81" s="154">
        <f>56-50</f>
        <v>6</v>
      </c>
      <c r="I81" s="154"/>
      <c r="J81" s="182">
        <f t="shared" si="25"/>
        <v>0</v>
      </c>
      <c r="K81" s="161"/>
      <c r="L81" s="161"/>
      <c r="M81" s="155">
        <f t="shared" si="34"/>
        <v>6</v>
      </c>
      <c r="N81" s="155">
        <f t="shared" si="35"/>
        <v>6</v>
      </c>
      <c r="O81" s="155">
        <f t="shared" si="35"/>
        <v>0</v>
      </c>
      <c r="P81" s="156">
        <v>0</v>
      </c>
      <c r="Q81" s="156"/>
      <c r="R81" s="157" t="e">
        <f>#REF!*P81</f>
        <v>#REF!</v>
      </c>
      <c r="S81" s="91">
        <f t="shared" si="26"/>
        <v>0</v>
      </c>
      <c r="T81" s="91"/>
      <c r="U81" s="91"/>
      <c r="V81" s="91">
        <f t="shared" si="27"/>
        <v>6</v>
      </c>
      <c r="W81" s="91">
        <v>6</v>
      </c>
      <c r="X81" s="91"/>
      <c r="Y81" s="58">
        <f t="shared" si="28"/>
        <v>100</v>
      </c>
      <c r="Z81" s="58">
        <f t="shared" si="28"/>
        <v>100</v>
      </c>
      <c r="AA81" s="58">
        <f t="shared" si="28"/>
        <v>0</v>
      </c>
      <c r="AB81" s="57">
        <f>6</f>
        <v>6</v>
      </c>
      <c r="AC81" s="58" t="e">
        <f>#REF!*P81</f>
        <v>#REF!</v>
      </c>
      <c r="AD81" s="158">
        <f t="shared" si="29"/>
        <v>100</v>
      </c>
      <c r="AE81" s="58">
        <f t="shared" si="30"/>
        <v>0</v>
      </c>
      <c r="AF81" s="58" t="e">
        <f>#REF!*P81</f>
        <v>#REF!</v>
      </c>
      <c r="AG81" s="58">
        <f t="shared" si="31"/>
        <v>0</v>
      </c>
      <c r="AH81" s="58"/>
      <c r="AI81" s="58"/>
      <c r="AJ81" s="58">
        <f t="shared" si="32"/>
        <v>0</v>
      </c>
      <c r="AK81" s="58">
        <f t="shared" si="33"/>
        <v>0</v>
      </c>
      <c r="AL81" s="58">
        <f t="shared" si="33"/>
        <v>0</v>
      </c>
      <c r="AM81" s="159"/>
      <c r="AN81" t="s">
        <v>428</v>
      </c>
    </row>
    <row r="82" spans="1:40" ht="20.25" customHeight="1">
      <c r="A82" s="151">
        <v>37</v>
      </c>
      <c r="B82" s="160" t="s">
        <v>429</v>
      </c>
      <c r="C82" s="160"/>
      <c r="D82" s="153">
        <f t="shared" si="23"/>
        <v>0</v>
      </c>
      <c r="E82" s="161"/>
      <c r="F82" s="161"/>
      <c r="G82" s="154">
        <f t="shared" si="24"/>
        <v>450</v>
      </c>
      <c r="H82" s="154"/>
      <c r="I82" s="154">
        <v>450</v>
      </c>
      <c r="J82" s="182">
        <f t="shared" si="25"/>
        <v>0</v>
      </c>
      <c r="K82" s="161"/>
      <c r="L82" s="161"/>
      <c r="M82" s="155">
        <f t="shared" si="34"/>
        <v>450</v>
      </c>
      <c r="N82" s="155">
        <f t="shared" si="35"/>
        <v>0</v>
      </c>
      <c r="O82" s="155">
        <f t="shared" si="35"/>
        <v>450</v>
      </c>
      <c r="P82" s="156">
        <v>0</v>
      </c>
      <c r="Q82" s="156"/>
      <c r="R82" s="157" t="e">
        <f>#REF!*P82</f>
        <v>#REF!</v>
      </c>
      <c r="S82" s="91">
        <f t="shared" si="26"/>
        <v>0</v>
      </c>
      <c r="T82" s="91"/>
      <c r="U82" s="91"/>
      <c r="V82" s="91">
        <f t="shared" si="27"/>
        <v>450</v>
      </c>
      <c r="W82" s="91"/>
      <c r="X82" s="91">
        <f>24+248+24+56+98</f>
        <v>450</v>
      </c>
      <c r="Y82" s="58">
        <f t="shared" si="28"/>
        <v>100</v>
      </c>
      <c r="Z82" s="58">
        <f t="shared" si="28"/>
        <v>0</v>
      </c>
      <c r="AA82" s="58">
        <f t="shared" si="28"/>
        <v>100</v>
      </c>
      <c r="AB82" s="57"/>
      <c r="AC82" s="58" t="e">
        <f>#REF!*P82</f>
        <v>#REF!</v>
      </c>
      <c r="AD82" s="158">
        <f t="shared" si="29"/>
        <v>0</v>
      </c>
      <c r="AE82" s="58">
        <f t="shared" si="30"/>
        <v>0</v>
      </c>
      <c r="AF82" s="58" t="e">
        <f>#REF!*P82</f>
        <v>#REF!</v>
      </c>
      <c r="AG82" s="58">
        <f t="shared" si="31"/>
        <v>0</v>
      </c>
      <c r="AH82" s="58"/>
      <c r="AI82" s="58"/>
      <c r="AJ82" s="58">
        <f t="shared" si="32"/>
        <v>0</v>
      </c>
      <c r="AK82" s="58">
        <f t="shared" si="33"/>
        <v>0</v>
      </c>
      <c r="AL82" s="58">
        <f t="shared" si="33"/>
        <v>0</v>
      </c>
      <c r="AM82" s="159"/>
    </row>
    <row r="83" spans="1:40" ht="20.25" customHeight="1">
      <c r="A83" s="151">
        <v>38</v>
      </c>
      <c r="B83" s="160" t="s">
        <v>430</v>
      </c>
      <c r="C83" s="160" t="s">
        <v>350</v>
      </c>
      <c r="D83" s="153">
        <f t="shared" si="23"/>
        <v>23</v>
      </c>
      <c r="E83" s="161"/>
      <c r="F83" s="161">
        <v>23</v>
      </c>
      <c r="G83" s="154">
        <f t="shared" si="24"/>
        <v>1000</v>
      </c>
      <c r="H83" s="154"/>
      <c r="I83" s="154">
        <v>1000</v>
      </c>
      <c r="J83" s="182">
        <f t="shared" si="25"/>
        <v>19</v>
      </c>
      <c r="K83" s="161"/>
      <c r="L83" s="161">
        <v>19</v>
      </c>
      <c r="M83" s="155">
        <f t="shared" si="34"/>
        <v>1042</v>
      </c>
      <c r="N83" s="155">
        <f t="shared" si="35"/>
        <v>0</v>
      </c>
      <c r="O83" s="155">
        <f t="shared" si="35"/>
        <v>1042</v>
      </c>
      <c r="P83" s="156">
        <v>0</v>
      </c>
      <c r="Q83" s="156"/>
      <c r="R83" s="157" t="e">
        <v>#REF!</v>
      </c>
      <c r="S83" s="91">
        <f t="shared" si="26"/>
        <v>0</v>
      </c>
      <c r="T83" s="91"/>
      <c r="U83" s="91"/>
      <c r="V83" s="91">
        <f t="shared" si="27"/>
        <v>1042</v>
      </c>
      <c r="W83" s="91"/>
      <c r="X83" s="91">
        <f>23+848+16+32+62+61</f>
        <v>1042</v>
      </c>
      <c r="Y83" s="58">
        <f t="shared" si="28"/>
        <v>100</v>
      </c>
      <c r="Z83" s="58">
        <f t="shared" si="28"/>
        <v>0</v>
      </c>
      <c r="AA83" s="58">
        <f t="shared" si="28"/>
        <v>100</v>
      </c>
      <c r="AB83" s="57"/>
      <c r="AC83" s="58" t="e">
        <v>#REF!</v>
      </c>
      <c r="AD83" s="158">
        <f t="shared" si="29"/>
        <v>0</v>
      </c>
      <c r="AE83" s="58">
        <f t="shared" si="30"/>
        <v>0</v>
      </c>
      <c r="AF83" s="58" t="e">
        <v>#REF!</v>
      </c>
      <c r="AG83" s="58">
        <f t="shared" si="31"/>
        <v>0</v>
      </c>
      <c r="AH83" s="58"/>
      <c r="AI83" s="58"/>
      <c r="AJ83" s="58">
        <f t="shared" si="32"/>
        <v>0</v>
      </c>
      <c r="AK83" s="58">
        <f t="shared" si="33"/>
        <v>0</v>
      </c>
      <c r="AL83" s="58">
        <f t="shared" si="33"/>
        <v>0</v>
      </c>
      <c r="AM83" s="159"/>
    </row>
    <row r="84" spans="1:40" ht="30" customHeight="1">
      <c r="A84" s="151">
        <v>39</v>
      </c>
      <c r="B84" s="160" t="s">
        <v>431</v>
      </c>
      <c r="C84" s="160" t="s">
        <v>432</v>
      </c>
      <c r="D84" s="153">
        <f t="shared" si="23"/>
        <v>0</v>
      </c>
      <c r="E84" s="161"/>
      <c r="F84" s="184"/>
      <c r="G84" s="154">
        <f t="shared" si="24"/>
        <v>2</v>
      </c>
      <c r="H84" s="154"/>
      <c r="I84" s="171">
        <v>2</v>
      </c>
      <c r="J84" s="182">
        <f t="shared" si="25"/>
        <v>2</v>
      </c>
      <c r="K84" s="161"/>
      <c r="L84" s="184">
        <v>2</v>
      </c>
      <c r="M84" s="185">
        <f t="shared" si="34"/>
        <v>4</v>
      </c>
      <c r="N84" s="155">
        <f t="shared" si="35"/>
        <v>0</v>
      </c>
      <c r="O84" s="155">
        <f t="shared" si="35"/>
        <v>4</v>
      </c>
      <c r="P84" s="156">
        <v>0</v>
      </c>
      <c r="Q84" s="156"/>
      <c r="R84" s="157" t="e">
        <f>#REF!*P84</f>
        <v>#REF!</v>
      </c>
      <c r="S84" s="91">
        <f t="shared" si="26"/>
        <v>0</v>
      </c>
      <c r="T84" s="91"/>
      <c r="U84" s="91"/>
      <c r="V84" s="91">
        <f t="shared" si="27"/>
        <v>4</v>
      </c>
      <c r="W84" s="91"/>
      <c r="X84" s="91">
        <v>4</v>
      </c>
      <c r="Y84" s="58">
        <f t="shared" si="28"/>
        <v>100</v>
      </c>
      <c r="Z84" s="58">
        <f t="shared" si="28"/>
        <v>0</v>
      </c>
      <c r="AA84" s="58">
        <f t="shared" si="28"/>
        <v>100</v>
      </c>
      <c r="AB84" s="91"/>
      <c r="AC84" s="58" t="e">
        <f>#REF!*P84</f>
        <v>#REF!</v>
      </c>
      <c r="AD84" s="158">
        <f t="shared" si="29"/>
        <v>0</v>
      </c>
      <c r="AE84" s="58">
        <f t="shared" si="30"/>
        <v>0</v>
      </c>
      <c r="AF84" s="58" t="e">
        <f>#REF!*P84</f>
        <v>#REF!</v>
      </c>
      <c r="AG84" s="58">
        <f t="shared" si="31"/>
        <v>0</v>
      </c>
      <c r="AH84" s="58"/>
      <c r="AI84" s="58"/>
      <c r="AJ84" s="58">
        <f t="shared" si="32"/>
        <v>0</v>
      </c>
      <c r="AK84" s="58">
        <f t="shared" si="33"/>
        <v>0</v>
      </c>
      <c r="AL84" s="58">
        <f t="shared" si="33"/>
        <v>0</v>
      </c>
      <c r="AM84" s="159"/>
    </row>
    <row r="85" spans="1:40" ht="20.25" customHeight="1">
      <c r="A85" s="151">
        <v>40</v>
      </c>
      <c r="B85" s="160" t="s">
        <v>433</v>
      </c>
      <c r="C85" s="160" t="s">
        <v>434</v>
      </c>
      <c r="D85" s="153">
        <f t="shared" si="23"/>
        <v>8</v>
      </c>
      <c r="E85" s="161">
        <v>8</v>
      </c>
      <c r="F85" s="161"/>
      <c r="G85" s="154">
        <f t="shared" si="24"/>
        <v>0</v>
      </c>
      <c r="H85" s="154"/>
      <c r="I85" s="154"/>
      <c r="J85" s="182">
        <f t="shared" si="25"/>
        <v>0</v>
      </c>
      <c r="K85" s="161"/>
      <c r="L85" s="161"/>
      <c r="M85" s="155">
        <f t="shared" si="34"/>
        <v>8</v>
      </c>
      <c r="N85" s="155">
        <f t="shared" si="35"/>
        <v>8</v>
      </c>
      <c r="O85" s="155">
        <f t="shared" si="35"/>
        <v>0</v>
      </c>
      <c r="P85" s="156">
        <v>0</v>
      </c>
      <c r="Q85" s="156"/>
      <c r="R85" s="157" t="e">
        <f>#REF!*P85</f>
        <v>#REF!</v>
      </c>
      <c r="S85" s="91">
        <f t="shared" si="26"/>
        <v>0</v>
      </c>
      <c r="T85" s="91"/>
      <c r="U85" s="91"/>
      <c r="V85" s="91">
        <f t="shared" si="27"/>
        <v>8</v>
      </c>
      <c r="W85" s="91">
        <v>8</v>
      </c>
      <c r="X85" s="91"/>
      <c r="Y85" s="58">
        <f t="shared" si="28"/>
        <v>100</v>
      </c>
      <c r="Z85" s="58">
        <f t="shared" si="28"/>
        <v>100</v>
      </c>
      <c r="AA85" s="58">
        <f t="shared" si="28"/>
        <v>0</v>
      </c>
      <c r="AB85" s="91">
        <f>8</f>
        <v>8</v>
      </c>
      <c r="AC85" s="58" t="e">
        <f>#REF!*P85</f>
        <v>#REF!</v>
      </c>
      <c r="AD85" s="158">
        <f t="shared" si="29"/>
        <v>100</v>
      </c>
      <c r="AE85" s="58">
        <f t="shared" si="30"/>
        <v>0</v>
      </c>
      <c r="AF85" s="58" t="e">
        <f>#REF!*P85</f>
        <v>#REF!</v>
      </c>
      <c r="AG85" s="58">
        <f t="shared" si="31"/>
        <v>0</v>
      </c>
      <c r="AH85" s="58"/>
      <c r="AI85" s="58"/>
      <c r="AJ85" s="58">
        <f t="shared" si="32"/>
        <v>0</v>
      </c>
      <c r="AK85" s="58">
        <f t="shared" si="33"/>
        <v>0</v>
      </c>
      <c r="AL85" s="58">
        <f t="shared" si="33"/>
        <v>0</v>
      </c>
      <c r="AM85" s="159"/>
    </row>
    <row r="86" spans="1:40" ht="20.25" customHeight="1">
      <c r="A86" s="151">
        <v>41</v>
      </c>
      <c r="B86" s="160" t="s">
        <v>435</v>
      </c>
      <c r="C86" s="160" t="s">
        <v>350</v>
      </c>
      <c r="D86" s="153">
        <f t="shared" si="23"/>
        <v>0</v>
      </c>
      <c r="E86" s="161"/>
      <c r="F86" s="161"/>
      <c r="G86" s="154">
        <f t="shared" si="24"/>
        <v>0</v>
      </c>
      <c r="H86" s="154"/>
      <c r="I86" s="154"/>
      <c r="J86" s="182">
        <f t="shared" si="25"/>
        <v>2</v>
      </c>
      <c r="K86" s="161">
        <v>2</v>
      </c>
      <c r="L86" s="161"/>
      <c r="M86" s="155">
        <f t="shared" si="34"/>
        <v>2</v>
      </c>
      <c r="N86" s="155">
        <f t="shared" si="35"/>
        <v>2</v>
      </c>
      <c r="O86" s="155">
        <f t="shared" si="35"/>
        <v>0</v>
      </c>
      <c r="P86" s="156">
        <v>0</v>
      </c>
      <c r="Q86" s="156"/>
      <c r="R86" s="157" t="e">
        <f>#REF!*P86</f>
        <v>#REF!</v>
      </c>
      <c r="S86" s="91">
        <f t="shared" si="26"/>
        <v>0</v>
      </c>
      <c r="T86" s="91"/>
      <c r="U86" s="91"/>
      <c r="V86" s="91">
        <f t="shared" si="27"/>
        <v>2</v>
      </c>
      <c r="W86" s="91">
        <v>2</v>
      </c>
      <c r="X86" s="91"/>
      <c r="Y86" s="58">
        <f t="shared" si="28"/>
        <v>100</v>
      </c>
      <c r="Z86" s="58">
        <f t="shared" si="28"/>
        <v>100</v>
      </c>
      <c r="AA86" s="58">
        <f t="shared" si="28"/>
        <v>0</v>
      </c>
      <c r="AB86" s="91">
        <f>2</f>
        <v>2</v>
      </c>
      <c r="AC86" s="58" t="e">
        <f>#REF!*P86</f>
        <v>#REF!</v>
      </c>
      <c r="AD86" s="158">
        <f t="shared" si="29"/>
        <v>100</v>
      </c>
      <c r="AE86" s="58">
        <f t="shared" si="30"/>
        <v>0</v>
      </c>
      <c r="AF86" s="58" t="e">
        <f>#REF!*P86</f>
        <v>#REF!</v>
      </c>
      <c r="AG86" s="58">
        <f t="shared" si="31"/>
        <v>0</v>
      </c>
      <c r="AH86" s="58"/>
      <c r="AI86" s="58"/>
      <c r="AJ86" s="58">
        <f t="shared" si="32"/>
        <v>0</v>
      </c>
      <c r="AK86" s="58">
        <f t="shared" si="33"/>
        <v>0</v>
      </c>
      <c r="AL86" s="58">
        <f t="shared" si="33"/>
        <v>0</v>
      </c>
      <c r="AM86" s="159"/>
    </row>
    <row r="87" spans="1:40" ht="21" customHeight="1">
      <c r="A87" s="151">
        <v>42</v>
      </c>
      <c r="B87" s="152" t="s">
        <v>436</v>
      </c>
      <c r="C87" s="152"/>
      <c r="D87" s="153">
        <f t="shared" si="23"/>
        <v>0</v>
      </c>
      <c r="E87" s="153"/>
      <c r="F87" s="153"/>
      <c r="G87" s="154">
        <f t="shared" si="24"/>
        <v>7</v>
      </c>
      <c r="H87" s="154">
        <v>7</v>
      </c>
      <c r="I87" s="154"/>
      <c r="J87" s="182">
        <f t="shared" si="25"/>
        <v>0</v>
      </c>
      <c r="K87" s="153"/>
      <c r="L87" s="153"/>
      <c r="M87" s="155">
        <f t="shared" si="34"/>
        <v>7</v>
      </c>
      <c r="N87" s="155">
        <f t="shared" si="35"/>
        <v>7</v>
      </c>
      <c r="O87" s="155">
        <f t="shared" si="35"/>
        <v>0</v>
      </c>
      <c r="P87" s="156">
        <v>0</v>
      </c>
      <c r="Q87" s="156"/>
      <c r="R87" s="157" t="e">
        <f>#REF!*P87</f>
        <v>#REF!</v>
      </c>
      <c r="S87" s="91">
        <f t="shared" si="26"/>
        <v>0</v>
      </c>
      <c r="T87" s="91"/>
      <c r="U87" s="91"/>
      <c r="V87" s="91">
        <f t="shared" si="27"/>
        <v>7</v>
      </c>
      <c r="W87" s="91">
        <v>7</v>
      </c>
      <c r="X87" s="91"/>
      <c r="Y87" s="58">
        <f t="shared" si="28"/>
        <v>100</v>
      </c>
      <c r="Z87" s="58">
        <f t="shared" si="28"/>
        <v>100</v>
      </c>
      <c r="AA87" s="58">
        <f t="shared" si="28"/>
        <v>0</v>
      </c>
      <c r="AB87" s="91">
        <f>7</f>
        <v>7</v>
      </c>
      <c r="AC87" s="58" t="e">
        <f>#REF!*P87</f>
        <v>#REF!</v>
      </c>
      <c r="AD87" s="158">
        <f t="shared" si="29"/>
        <v>100</v>
      </c>
      <c r="AE87" s="58">
        <f t="shared" si="30"/>
        <v>0</v>
      </c>
      <c r="AF87" s="58" t="e">
        <f>#REF!*P87</f>
        <v>#REF!</v>
      </c>
      <c r="AG87" s="58">
        <f t="shared" si="31"/>
        <v>0</v>
      </c>
      <c r="AH87" s="58"/>
      <c r="AI87" s="58"/>
      <c r="AJ87" s="58">
        <f t="shared" si="32"/>
        <v>0</v>
      </c>
      <c r="AK87" s="58">
        <f t="shared" si="33"/>
        <v>0</v>
      </c>
      <c r="AL87" s="58">
        <f t="shared" si="33"/>
        <v>0</v>
      </c>
      <c r="AM87" s="159"/>
    </row>
    <row r="88" spans="1:40" ht="20.25" customHeight="1">
      <c r="A88" s="151">
        <v>43</v>
      </c>
      <c r="B88" s="152" t="s">
        <v>437</v>
      </c>
      <c r="C88" s="160" t="s">
        <v>350</v>
      </c>
      <c r="D88" s="153">
        <f t="shared" si="23"/>
        <v>0</v>
      </c>
      <c r="E88" s="153"/>
      <c r="F88" s="153"/>
      <c r="G88" s="154">
        <f t="shared" si="24"/>
        <v>100</v>
      </c>
      <c r="H88" s="154">
        <v>100</v>
      </c>
      <c r="I88" s="154"/>
      <c r="J88" s="182">
        <f t="shared" si="25"/>
        <v>60</v>
      </c>
      <c r="K88" s="153">
        <v>60</v>
      </c>
      <c r="L88" s="153"/>
      <c r="M88" s="155">
        <f t="shared" si="34"/>
        <v>160</v>
      </c>
      <c r="N88" s="155">
        <f t="shared" si="35"/>
        <v>160</v>
      </c>
      <c r="O88" s="155">
        <f t="shared" si="35"/>
        <v>0</v>
      </c>
      <c r="P88" s="156">
        <v>0</v>
      </c>
      <c r="Q88" s="156"/>
      <c r="R88" s="157" t="e">
        <f>#REF!*P88</f>
        <v>#REF!</v>
      </c>
      <c r="S88" s="91">
        <f t="shared" si="26"/>
        <v>0</v>
      </c>
      <c r="T88" s="91"/>
      <c r="U88" s="91"/>
      <c r="V88" s="91">
        <f t="shared" si="27"/>
        <v>160</v>
      </c>
      <c r="W88" s="91">
        <f>72+84+4</f>
        <v>160</v>
      </c>
      <c r="X88" s="91"/>
      <c r="Y88" s="58">
        <f t="shared" si="28"/>
        <v>100</v>
      </c>
      <c r="Z88" s="58">
        <f t="shared" si="28"/>
        <v>100</v>
      </c>
      <c r="AA88" s="58">
        <f t="shared" si="28"/>
        <v>0</v>
      </c>
      <c r="AB88" s="91">
        <f>72+84+4</f>
        <v>160</v>
      </c>
      <c r="AC88" s="58" t="e">
        <f>#REF!*P88</f>
        <v>#REF!</v>
      </c>
      <c r="AD88" s="158">
        <f t="shared" si="29"/>
        <v>100</v>
      </c>
      <c r="AE88" s="58">
        <f t="shared" si="30"/>
        <v>0</v>
      </c>
      <c r="AF88" s="58" t="e">
        <f>#REF!*P88</f>
        <v>#REF!</v>
      </c>
      <c r="AG88" s="58">
        <f t="shared" si="31"/>
        <v>0</v>
      </c>
      <c r="AH88" s="58"/>
      <c r="AI88" s="58"/>
      <c r="AJ88" s="58">
        <f t="shared" si="32"/>
        <v>0</v>
      </c>
      <c r="AK88" s="58">
        <f t="shared" si="33"/>
        <v>0</v>
      </c>
      <c r="AL88" s="58">
        <f t="shared" si="33"/>
        <v>0</v>
      </c>
      <c r="AM88" s="159"/>
    </row>
    <row r="89" spans="1:40" ht="20.25" customHeight="1">
      <c r="A89" s="151">
        <v>44</v>
      </c>
      <c r="B89" s="152" t="s">
        <v>438</v>
      </c>
      <c r="C89" s="152"/>
      <c r="D89" s="153">
        <f t="shared" si="23"/>
        <v>0</v>
      </c>
      <c r="E89" s="153"/>
      <c r="F89" s="153"/>
      <c r="G89" s="154">
        <f t="shared" si="24"/>
        <v>191</v>
      </c>
      <c r="H89" s="154">
        <v>191</v>
      </c>
      <c r="I89" s="154"/>
      <c r="J89" s="182">
        <f t="shared" si="25"/>
        <v>0</v>
      </c>
      <c r="K89" s="153"/>
      <c r="L89" s="153"/>
      <c r="M89" s="155">
        <f t="shared" si="34"/>
        <v>191</v>
      </c>
      <c r="N89" s="155">
        <f t="shared" si="35"/>
        <v>191</v>
      </c>
      <c r="O89" s="155">
        <f t="shared" si="35"/>
        <v>0</v>
      </c>
      <c r="P89" s="156">
        <v>0</v>
      </c>
      <c r="Q89" s="156"/>
      <c r="R89" s="157" t="e">
        <f>#REF!*P89</f>
        <v>#REF!</v>
      </c>
      <c r="S89" s="91">
        <f t="shared" si="26"/>
        <v>0</v>
      </c>
      <c r="T89" s="91"/>
      <c r="U89" s="91"/>
      <c r="V89" s="91">
        <f t="shared" si="27"/>
        <v>191</v>
      </c>
      <c r="W89" s="91">
        <f>36+114+41</f>
        <v>191</v>
      </c>
      <c r="X89" s="91"/>
      <c r="Y89" s="58">
        <f t="shared" si="28"/>
        <v>100</v>
      </c>
      <c r="Z89" s="58">
        <f t="shared" si="28"/>
        <v>100</v>
      </c>
      <c r="AA89" s="58">
        <f t="shared" si="28"/>
        <v>0</v>
      </c>
      <c r="AB89" s="91">
        <f>36+114+41</f>
        <v>191</v>
      </c>
      <c r="AC89" s="58" t="e">
        <f>#REF!*P89</f>
        <v>#REF!</v>
      </c>
      <c r="AD89" s="158">
        <f t="shared" si="29"/>
        <v>100</v>
      </c>
      <c r="AE89" s="58">
        <f t="shared" si="30"/>
        <v>0</v>
      </c>
      <c r="AF89" s="58" t="e">
        <f>#REF!*P89</f>
        <v>#REF!</v>
      </c>
      <c r="AG89" s="58">
        <f t="shared" si="31"/>
        <v>0</v>
      </c>
      <c r="AH89" s="58"/>
      <c r="AI89" s="58"/>
      <c r="AJ89" s="58">
        <f t="shared" si="32"/>
        <v>0</v>
      </c>
      <c r="AK89" s="58">
        <f t="shared" si="33"/>
        <v>0</v>
      </c>
      <c r="AL89" s="58">
        <f t="shared" si="33"/>
        <v>0</v>
      </c>
      <c r="AM89" s="159"/>
    </row>
    <row r="90" spans="1:40" ht="20.25" customHeight="1">
      <c r="A90" s="151">
        <v>45</v>
      </c>
      <c r="B90" s="152" t="s">
        <v>439</v>
      </c>
      <c r="C90" s="152"/>
      <c r="D90" s="153">
        <f t="shared" si="23"/>
        <v>0</v>
      </c>
      <c r="E90" s="153"/>
      <c r="F90" s="153"/>
      <c r="G90" s="154">
        <f t="shared" si="24"/>
        <v>4</v>
      </c>
      <c r="H90" s="154">
        <v>4</v>
      </c>
      <c r="I90" s="154"/>
      <c r="J90" s="182">
        <f t="shared" si="25"/>
        <v>0</v>
      </c>
      <c r="K90" s="153"/>
      <c r="L90" s="153"/>
      <c r="M90" s="155">
        <f t="shared" si="34"/>
        <v>4</v>
      </c>
      <c r="N90" s="155">
        <f t="shared" si="35"/>
        <v>4</v>
      </c>
      <c r="O90" s="155">
        <f t="shared" si="35"/>
        <v>0</v>
      </c>
      <c r="P90" s="156">
        <v>0</v>
      </c>
      <c r="Q90" s="156"/>
      <c r="R90" s="157" t="e">
        <f>#REF!*P90</f>
        <v>#REF!</v>
      </c>
      <c r="S90" s="91">
        <f t="shared" si="26"/>
        <v>0</v>
      </c>
      <c r="T90" s="91"/>
      <c r="U90" s="91"/>
      <c r="V90" s="91">
        <f t="shared" si="27"/>
        <v>4</v>
      </c>
      <c r="W90" s="91">
        <f>4</f>
        <v>4</v>
      </c>
      <c r="X90" s="91"/>
      <c r="Y90" s="58">
        <f t="shared" si="28"/>
        <v>100</v>
      </c>
      <c r="Z90" s="58">
        <f t="shared" si="28"/>
        <v>100</v>
      </c>
      <c r="AA90" s="58">
        <f t="shared" si="28"/>
        <v>0</v>
      </c>
      <c r="AB90" s="91">
        <f>4</f>
        <v>4</v>
      </c>
      <c r="AC90" s="58" t="e">
        <f>#REF!*P90</f>
        <v>#REF!</v>
      </c>
      <c r="AD90" s="158">
        <f t="shared" si="29"/>
        <v>100</v>
      </c>
      <c r="AE90" s="58">
        <f t="shared" si="30"/>
        <v>0</v>
      </c>
      <c r="AF90" s="58" t="e">
        <f>#REF!*P90</f>
        <v>#REF!</v>
      </c>
      <c r="AG90" s="58">
        <f t="shared" si="31"/>
        <v>0</v>
      </c>
      <c r="AH90" s="58"/>
      <c r="AI90" s="58"/>
      <c r="AJ90" s="58">
        <f t="shared" si="32"/>
        <v>0</v>
      </c>
      <c r="AK90" s="58">
        <f t="shared" si="33"/>
        <v>0</v>
      </c>
      <c r="AL90" s="58">
        <f t="shared" si="33"/>
        <v>0</v>
      </c>
      <c r="AM90" s="159"/>
    </row>
    <row r="91" spans="1:40" ht="20.25" customHeight="1">
      <c r="A91" s="151">
        <v>46</v>
      </c>
      <c r="B91" s="186" t="s">
        <v>440</v>
      </c>
      <c r="C91" s="186" t="s">
        <v>350</v>
      </c>
      <c r="D91" s="153">
        <f t="shared" si="23"/>
        <v>48</v>
      </c>
      <c r="E91" s="161">
        <v>48</v>
      </c>
      <c r="F91" s="161"/>
      <c r="G91" s="154">
        <f t="shared" si="24"/>
        <v>195</v>
      </c>
      <c r="H91" s="154">
        <v>195</v>
      </c>
      <c r="I91" s="154"/>
      <c r="J91" s="182">
        <f t="shared" si="25"/>
        <v>90</v>
      </c>
      <c r="K91" s="161">
        <v>90</v>
      </c>
      <c r="L91" s="161"/>
      <c r="M91" s="155">
        <f t="shared" si="34"/>
        <v>333</v>
      </c>
      <c r="N91" s="155">
        <f t="shared" si="35"/>
        <v>333</v>
      </c>
      <c r="O91" s="155">
        <f t="shared" si="35"/>
        <v>0</v>
      </c>
      <c r="P91" s="156">
        <v>0</v>
      </c>
      <c r="Q91" s="156"/>
      <c r="R91" s="157" t="e">
        <f>#REF!*P91</f>
        <v>#REF!</v>
      </c>
      <c r="S91" s="91">
        <f t="shared" si="26"/>
        <v>0</v>
      </c>
      <c r="T91" s="91"/>
      <c r="U91" s="91"/>
      <c r="V91" s="91">
        <f t="shared" si="27"/>
        <v>333</v>
      </c>
      <c r="W91" s="91">
        <f>42+48+6+36+42+42+6+48+63</f>
        <v>333</v>
      </c>
      <c r="X91" s="91"/>
      <c r="Y91" s="58">
        <f t="shared" si="28"/>
        <v>100</v>
      </c>
      <c r="Z91" s="58">
        <f t="shared" si="28"/>
        <v>100</v>
      </c>
      <c r="AA91" s="58">
        <f t="shared" si="28"/>
        <v>0</v>
      </c>
      <c r="AB91" s="91">
        <f>42+54+78+48+48+63</f>
        <v>333</v>
      </c>
      <c r="AC91" s="58" t="e">
        <f>#REF!*P91</f>
        <v>#REF!</v>
      </c>
      <c r="AD91" s="158">
        <f t="shared" si="29"/>
        <v>100</v>
      </c>
      <c r="AE91" s="58">
        <f t="shared" si="30"/>
        <v>0</v>
      </c>
      <c r="AF91" s="58" t="e">
        <f>#REF!*P91</f>
        <v>#REF!</v>
      </c>
      <c r="AG91" s="58">
        <f t="shared" si="31"/>
        <v>0</v>
      </c>
      <c r="AH91" s="58"/>
      <c r="AI91" s="58"/>
      <c r="AJ91" s="58">
        <f t="shared" si="32"/>
        <v>0</v>
      </c>
      <c r="AK91" s="58">
        <f t="shared" si="33"/>
        <v>0</v>
      </c>
      <c r="AL91" s="58">
        <f t="shared" si="33"/>
        <v>0</v>
      </c>
      <c r="AM91" s="159"/>
    </row>
    <row r="92" spans="1:40" ht="20.25" customHeight="1">
      <c r="A92" s="151">
        <v>47</v>
      </c>
      <c r="B92" s="186" t="s">
        <v>441</v>
      </c>
      <c r="C92" s="186" t="s">
        <v>350</v>
      </c>
      <c r="D92" s="153">
        <f t="shared" si="23"/>
        <v>0</v>
      </c>
      <c r="E92" s="161"/>
      <c r="F92" s="161"/>
      <c r="G92" s="154">
        <f t="shared" si="24"/>
        <v>203</v>
      </c>
      <c r="H92" s="154">
        <v>203</v>
      </c>
      <c r="I92" s="154"/>
      <c r="J92" s="182">
        <f t="shared" si="25"/>
        <v>6</v>
      </c>
      <c r="K92" s="161">
        <v>6</v>
      </c>
      <c r="L92" s="161"/>
      <c r="M92" s="155">
        <f t="shared" si="34"/>
        <v>209</v>
      </c>
      <c r="N92" s="155">
        <f t="shared" si="35"/>
        <v>209</v>
      </c>
      <c r="O92" s="155">
        <f t="shared" si="35"/>
        <v>0</v>
      </c>
      <c r="P92" s="156">
        <v>0</v>
      </c>
      <c r="Q92" s="156"/>
      <c r="R92" s="157" t="e">
        <f>#REF!*P92</f>
        <v>#REF!</v>
      </c>
      <c r="S92" s="91">
        <f t="shared" si="26"/>
        <v>0</v>
      </c>
      <c r="T92" s="91"/>
      <c r="U92" s="91"/>
      <c r="V92" s="91">
        <f t="shared" si="27"/>
        <v>209</v>
      </c>
      <c r="W92" s="91">
        <f>36+36+48+30+59</f>
        <v>209</v>
      </c>
      <c r="X92" s="91"/>
      <c r="Y92" s="58">
        <f t="shared" si="28"/>
        <v>100</v>
      </c>
      <c r="Z92" s="58">
        <f t="shared" si="28"/>
        <v>100</v>
      </c>
      <c r="AA92" s="58">
        <f t="shared" si="28"/>
        <v>0</v>
      </c>
      <c r="AB92" s="91">
        <f>36+36+48+30+59</f>
        <v>209</v>
      </c>
      <c r="AC92" s="58" t="e">
        <f>#REF!*P92</f>
        <v>#REF!</v>
      </c>
      <c r="AD92" s="158">
        <f t="shared" si="29"/>
        <v>100</v>
      </c>
      <c r="AE92" s="58">
        <f t="shared" si="30"/>
        <v>0</v>
      </c>
      <c r="AF92" s="58" t="e">
        <f>#REF!*P92</f>
        <v>#REF!</v>
      </c>
      <c r="AG92" s="58">
        <f t="shared" si="31"/>
        <v>0</v>
      </c>
      <c r="AH92" s="58"/>
      <c r="AI92" s="58"/>
      <c r="AJ92" s="58">
        <f t="shared" si="32"/>
        <v>0</v>
      </c>
      <c r="AK92" s="58">
        <f t="shared" si="33"/>
        <v>0</v>
      </c>
      <c r="AL92" s="58">
        <f t="shared" si="33"/>
        <v>0</v>
      </c>
      <c r="AM92" s="159"/>
    </row>
    <row r="93" spans="1:40" ht="20.25" customHeight="1">
      <c r="A93" s="151">
        <v>48</v>
      </c>
      <c r="B93" s="186" t="s">
        <v>442</v>
      </c>
      <c r="C93" s="186"/>
      <c r="D93" s="153">
        <f t="shared" si="23"/>
        <v>0</v>
      </c>
      <c r="E93" s="161"/>
      <c r="F93" s="161"/>
      <c r="G93" s="154">
        <f t="shared" si="24"/>
        <v>46</v>
      </c>
      <c r="H93" s="154">
        <v>46</v>
      </c>
      <c r="I93" s="154"/>
      <c r="J93" s="182">
        <f t="shared" si="25"/>
        <v>0</v>
      </c>
      <c r="K93" s="161"/>
      <c r="L93" s="161"/>
      <c r="M93" s="155">
        <f t="shared" si="34"/>
        <v>46</v>
      </c>
      <c r="N93" s="155">
        <f t="shared" si="35"/>
        <v>46</v>
      </c>
      <c r="O93" s="155">
        <f t="shared" si="35"/>
        <v>0</v>
      </c>
      <c r="P93" s="156">
        <v>0</v>
      </c>
      <c r="Q93" s="156"/>
      <c r="R93" s="157" t="e">
        <f>#REF!*P93</f>
        <v>#REF!</v>
      </c>
      <c r="S93" s="91">
        <f t="shared" si="26"/>
        <v>0</v>
      </c>
      <c r="T93" s="91"/>
      <c r="U93" s="91"/>
      <c r="V93" s="91">
        <f t="shared" si="27"/>
        <v>46</v>
      </c>
      <c r="W93" s="91">
        <f>36+10</f>
        <v>46</v>
      </c>
      <c r="X93" s="91"/>
      <c r="Y93" s="58">
        <f t="shared" si="28"/>
        <v>100</v>
      </c>
      <c r="Z93" s="58">
        <f t="shared" si="28"/>
        <v>100</v>
      </c>
      <c r="AA93" s="58">
        <f t="shared" si="28"/>
        <v>0</v>
      </c>
      <c r="AB93" s="91">
        <f>36+10</f>
        <v>46</v>
      </c>
      <c r="AC93" s="58" t="e">
        <f>#REF!*P93</f>
        <v>#REF!</v>
      </c>
      <c r="AD93" s="158">
        <f t="shared" si="29"/>
        <v>100</v>
      </c>
      <c r="AE93" s="58">
        <f t="shared" si="30"/>
        <v>0</v>
      </c>
      <c r="AF93" s="58" t="e">
        <f>#REF!*P93</f>
        <v>#REF!</v>
      </c>
      <c r="AG93" s="58">
        <f t="shared" si="31"/>
        <v>0</v>
      </c>
      <c r="AH93" s="58"/>
      <c r="AI93" s="58"/>
      <c r="AJ93" s="58">
        <f t="shared" si="32"/>
        <v>0</v>
      </c>
      <c r="AK93" s="58">
        <f t="shared" si="33"/>
        <v>0</v>
      </c>
      <c r="AL93" s="58">
        <f t="shared" si="33"/>
        <v>0</v>
      </c>
      <c r="AM93" s="159"/>
    </row>
    <row r="94" spans="1:40" ht="20.25" customHeight="1">
      <c r="A94" s="151">
        <v>49</v>
      </c>
      <c r="B94" s="186" t="s">
        <v>443</v>
      </c>
      <c r="C94" s="186" t="s">
        <v>350</v>
      </c>
      <c r="D94" s="153">
        <f t="shared" si="23"/>
        <v>10</v>
      </c>
      <c r="E94" s="161">
        <v>10</v>
      </c>
      <c r="F94" s="161"/>
      <c r="G94" s="154">
        <f t="shared" si="24"/>
        <v>32</v>
      </c>
      <c r="H94" s="154">
        <v>32</v>
      </c>
      <c r="I94" s="154"/>
      <c r="J94" s="182">
        <f t="shared" si="25"/>
        <v>4</v>
      </c>
      <c r="K94" s="161">
        <v>4</v>
      </c>
      <c r="L94" s="161"/>
      <c r="M94" s="155">
        <f t="shared" si="34"/>
        <v>46</v>
      </c>
      <c r="N94" s="155">
        <f t="shared" si="35"/>
        <v>46</v>
      </c>
      <c r="O94" s="155">
        <f t="shared" si="35"/>
        <v>0</v>
      </c>
      <c r="P94" s="156">
        <v>0</v>
      </c>
      <c r="Q94" s="156"/>
      <c r="R94" s="157" t="e">
        <f>#REF!*P94</f>
        <v>#REF!</v>
      </c>
      <c r="S94" s="91">
        <f t="shared" si="26"/>
        <v>0</v>
      </c>
      <c r="T94" s="91"/>
      <c r="U94" s="91"/>
      <c r="V94" s="91">
        <f t="shared" si="27"/>
        <v>0</v>
      </c>
      <c r="W94" s="91"/>
      <c r="X94" s="91"/>
      <c r="Y94" s="58">
        <f t="shared" si="28"/>
        <v>0</v>
      </c>
      <c r="Z94" s="58">
        <f t="shared" si="28"/>
        <v>0</v>
      </c>
      <c r="AA94" s="58">
        <f t="shared" si="28"/>
        <v>0</v>
      </c>
      <c r="AB94" s="91"/>
      <c r="AC94" s="58" t="e">
        <f>#REF!*P94</f>
        <v>#REF!</v>
      </c>
      <c r="AD94" s="158">
        <f t="shared" si="29"/>
        <v>0</v>
      </c>
      <c r="AE94" s="58">
        <f t="shared" si="30"/>
        <v>0</v>
      </c>
      <c r="AF94" s="58" t="e">
        <f>#REF!*P94</f>
        <v>#REF!</v>
      </c>
      <c r="AG94" s="58">
        <f t="shared" si="31"/>
        <v>0</v>
      </c>
      <c r="AH94" s="58"/>
      <c r="AI94" s="58"/>
      <c r="AJ94" s="58">
        <f t="shared" si="32"/>
        <v>46</v>
      </c>
      <c r="AK94" s="58">
        <f t="shared" si="33"/>
        <v>46</v>
      </c>
      <c r="AL94" s="58">
        <f t="shared" si="33"/>
        <v>0</v>
      </c>
      <c r="AM94" s="159"/>
    </row>
    <row r="95" spans="1:40" ht="20.25" customHeight="1">
      <c r="A95" s="151">
        <v>50</v>
      </c>
      <c r="B95" s="186" t="s">
        <v>444</v>
      </c>
      <c r="C95" s="186"/>
      <c r="D95" s="153">
        <f t="shared" si="23"/>
        <v>0</v>
      </c>
      <c r="E95" s="161"/>
      <c r="F95" s="184"/>
      <c r="G95" s="154">
        <f t="shared" si="24"/>
        <v>60</v>
      </c>
      <c r="H95" s="154"/>
      <c r="I95" s="171">
        <v>60</v>
      </c>
      <c r="J95" s="182">
        <f t="shared" si="25"/>
        <v>0</v>
      </c>
      <c r="K95" s="161"/>
      <c r="L95" s="184"/>
      <c r="M95" s="185">
        <f t="shared" si="34"/>
        <v>60</v>
      </c>
      <c r="N95" s="155">
        <f t="shared" si="35"/>
        <v>0</v>
      </c>
      <c r="O95" s="155">
        <f t="shared" si="35"/>
        <v>60</v>
      </c>
      <c r="P95" s="156">
        <v>0</v>
      </c>
      <c r="Q95" s="156"/>
      <c r="R95" s="157" t="e">
        <f>#REF!*P95</f>
        <v>#REF!</v>
      </c>
      <c r="S95" s="91">
        <f t="shared" si="26"/>
        <v>0</v>
      </c>
      <c r="T95" s="91"/>
      <c r="U95" s="91"/>
      <c r="V95" s="91">
        <f t="shared" si="27"/>
        <v>60</v>
      </c>
      <c r="W95" s="91"/>
      <c r="X95" s="91">
        <f>12+48</f>
        <v>60</v>
      </c>
      <c r="Y95" s="58">
        <f t="shared" si="28"/>
        <v>100</v>
      </c>
      <c r="Z95" s="58">
        <f t="shared" si="28"/>
        <v>0</v>
      </c>
      <c r="AA95" s="58">
        <f t="shared" si="28"/>
        <v>100</v>
      </c>
      <c r="AB95" s="91"/>
      <c r="AC95" s="58" t="e">
        <f>#REF!*P95</f>
        <v>#REF!</v>
      </c>
      <c r="AD95" s="158">
        <f t="shared" si="29"/>
        <v>0</v>
      </c>
      <c r="AE95" s="58">
        <f t="shared" si="30"/>
        <v>0</v>
      </c>
      <c r="AF95" s="58" t="e">
        <f>#REF!*P95</f>
        <v>#REF!</v>
      </c>
      <c r="AG95" s="58">
        <f t="shared" si="31"/>
        <v>0</v>
      </c>
      <c r="AH95" s="58"/>
      <c r="AI95" s="58"/>
      <c r="AJ95" s="58">
        <f t="shared" si="32"/>
        <v>0</v>
      </c>
      <c r="AK95" s="58">
        <f t="shared" si="33"/>
        <v>0</v>
      </c>
      <c r="AL95" s="58">
        <f t="shared" si="33"/>
        <v>0</v>
      </c>
      <c r="AM95" s="159"/>
    </row>
    <row r="96" spans="1:40" ht="20.25" customHeight="1">
      <c r="A96" s="151">
        <v>51</v>
      </c>
      <c r="B96" s="186" t="s">
        <v>445</v>
      </c>
      <c r="C96" s="186" t="s">
        <v>350</v>
      </c>
      <c r="D96" s="153">
        <f t="shared" si="23"/>
        <v>0</v>
      </c>
      <c r="E96" s="161"/>
      <c r="F96" s="184"/>
      <c r="G96" s="154">
        <f t="shared" si="24"/>
        <v>43</v>
      </c>
      <c r="H96" s="154"/>
      <c r="I96" s="171">
        <v>43</v>
      </c>
      <c r="J96" s="182">
        <f t="shared" si="25"/>
        <v>1</v>
      </c>
      <c r="K96" s="161"/>
      <c r="L96" s="184">
        <v>1</v>
      </c>
      <c r="M96" s="185">
        <f t="shared" si="34"/>
        <v>44</v>
      </c>
      <c r="N96" s="155">
        <f t="shared" si="35"/>
        <v>0</v>
      </c>
      <c r="O96" s="155">
        <f t="shared" si="35"/>
        <v>44</v>
      </c>
      <c r="P96" s="156">
        <v>0</v>
      </c>
      <c r="Q96" s="187"/>
      <c r="R96" s="157" t="e">
        <f>#REF!*P96</f>
        <v>#REF!</v>
      </c>
      <c r="S96" s="91">
        <f t="shared" si="26"/>
        <v>0</v>
      </c>
      <c r="T96" s="91"/>
      <c r="U96" s="91"/>
      <c r="V96" s="91">
        <f t="shared" si="27"/>
        <v>44</v>
      </c>
      <c r="W96" s="91"/>
      <c r="X96" s="91">
        <f>24+12+8</f>
        <v>44</v>
      </c>
      <c r="Y96" s="58">
        <f t="shared" si="28"/>
        <v>100</v>
      </c>
      <c r="Z96" s="58">
        <f t="shared" si="28"/>
        <v>0</v>
      </c>
      <c r="AA96" s="58">
        <f t="shared" si="28"/>
        <v>100</v>
      </c>
      <c r="AB96" s="91"/>
      <c r="AC96" s="58" t="e">
        <f>#REF!*P96</f>
        <v>#REF!</v>
      </c>
      <c r="AD96" s="158">
        <f t="shared" si="29"/>
        <v>0</v>
      </c>
      <c r="AE96" s="58">
        <f t="shared" si="30"/>
        <v>0</v>
      </c>
      <c r="AF96" s="58" t="e">
        <f>#REF!*P96</f>
        <v>#REF!</v>
      </c>
      <c r="AG96" s="58">
        <f t="shared" si="31"/>
        <v>0</v>
      </c>
      <c r="AH96" s="58"/>
      <c r="AI96" s="58"/>
      <c r="AJ96" s="58">
        <f t="shared" si="32"/>
        <v>0</v>
      </c>
      <c r="AK96" s="58">
        <f t="shared" si="33"/>
        <v>0</v>
      </c>
      <c r="AL96" s="58">
        <f t="shared" si="33"/>
        <v>0</v>
      </c>
      <c r="AM96" s="159"/>
    </row>
    <row r="97" spans="1:39" ht="66.75" customHeight="1">
      <c r="A97" s="151">
        <v>52</v>
      </c>
      <c r="B97" s="188" t="s">
        <v>446</v>
      </c>
      <c r="C97" s="188"/>
      <c r="D97" s="153">
        <f t="shared" si="23"/>
        <v>0</v>
      </c>
      <c r="E97" s="161">
        <v>0</v>
      </c>
      <c r="F97" s="161"/>
      <c r="G97" s="154">
        <f t="shared" si="24"/>
        <v>0</v>
      </c>
      <c r="H97" s="154"/>
      <c r="I97" s="154"/>
      <c r="J97" s="182">
        <f t="shared" si="25"/>
        <v>0</v>
      </c>
      <c r="K97" s="161"/>
      <c r="L97" s="161"/>
      <c r="M97" s="155">
        <f t="shared" si="34"/>
        <v>0</v>
      </c>
      <c r="N97" s="155">
        <f t="shared" si="35"/>
        <v>0</v>
      </c>
      <c r="O97" s="155">
        <f t="shared" si="35"/>
        <v>0</v>
      </c>
      <c r="P97" s="156">
        <v>0</v>
      </c>
      <c r="Q97" s="187"/>
      <c r="R97" s="157" t="e">
        <f>#REF!*P97</f>
        <v>#REF!</v>
      </c>
      <c r="S97" s="91">
        <f t="shared" si="26"/>
        <v>0</v>
      </c>
      <c r="T97" s="91"/>
      <c r="U97" s="91"/>
      <c r="V97" s="91">
        <f t="shared" si="27"/>
        <v>0</v>
      </c>
      <c r="W97" s="91"/>
      <c r="X97" s="91"/>
      <c r="Y97" s="58">
        <f t="shared" si="28"/>
        <v>0</v>
      </c>
      <c r="Z97" s="58">
        <f t="shared" si="28"/>
        <v>0</v>
      </c>
      <c r="AA97" s="58">
        <f t="shared" si="28"/>
        <v>0</v>
      </c>
      <c r="AB97" s="91"/>
      <c r="AC97" s="58" t="e">
        <f>#REF!*P97</f>
        <v>#REF!</v>
      </c>
      <c r="AD97" s="158">
        <f t="shared" si="29"/>
        <v>0</v>
      </c>
      <c r="AE97" s="58">
        <f t="shared" si="30"/>
        <v>0</v>
      </c>
      <c r="AF97" s="58" t="e">
        <f>#REF!*P97</f>
        <v>#REF!</v>
      </c>
      <c r="AG97" s="58">
        <f t="shared" si="31"/>
        <v>0</v>
      </c>
      <c r="AH97" s="58"/>
      <c r="AI97" s="58"/>
      <c r="AJ97" s="58">
        <f t="shared" si="32"/>
        <v>0</v>
      </c>
      <c r="AK97" s="58">
        <f t="shared" si="33"/>
        <v>0</v>
      </c>
      <c r="AL97" s="58">
        <f t="shared" si="33"/>
        <v>0</v>
      </c>
      <c r="AM97" s="159"/>
    </row>
    <row r="98" spans="1:39" ht="20.25" customHeight="1">
      <c r="A98" s="151">
        <v>53</v>
      </c>
      <c r="B98" s="186" t="s">
        <v>447</v>
      </c>
      <c r="C98" s="186" t="s">
        <v>350</v>
      </c>
      <c r="D98" s="153">
        <f t="shared" si="23"/>
        <v>0</v>
      </c>
      <c r="E98" s="161"/>
      <c r="F98" s="184"/>
      <c r="G98" s="154">
        <f t="shared" si="24"/>
        <v>581</v>
      </c>
      <c r="H98" s="154"/>
      <c r="I98" s="171">
        <v>581</v>
      </c>
      <c r="J98" s="182">
        <f t="shared" si="25"/>
        <v>98</v>
      </c>
      <c r="K98" s="161"/>
      <c r="L98" s="184">
        <v>98</v>
      </c>
      <c r="M98" s="185">
        <f t="shared" si="34"/>
        <v>679</v>
      </c>
      <c r="N98" s="155">
        <f t="shared" si="35"/>
        <v>0</v>
      </c>
      <c r="O98" s="155">
        <f t="shared" si="35"/>
        <v>679</v>
      </c>
      <c r="P98" s="156">
        <v>0</v>
      </c>
      <c r="Q98" s="187"/>
      <c r="R98" s="157" t="e">
        <f>#REF!*P98</f>
        <v>#REF!</v>
      </c>
      <c r="S98" s="91">
        <f t="shared" si="26"/>
        <v>0</v>
      </c>
      <c r="T98" s="91"/>
      <c r="U98" s="91"/>
      <c r="V98" s="91">
        <f t="shared" si="27"/>
        <v>679</v>
      </c>
      <c r="W98" s="91"/>
      <c r="X98" s="91">
        <f>210+108+90+144+36+2+6+83</f>
        <v>679</v>
      </c>
      <c r="Y98" s="58">
        <f t="shared" si="28"/>
        <v>100</v>
      </c>
      <c r="Z98" s="58">
        <f t="shared" si="28"/>
        <v>0</v>
      </c>
      <c r="AA98" s="58">
        <f t="shared" si="28"/>
        <v>100</v>
      </c>
      <c r="AB98" s="91"/>
      <c r="AC98" s="58" t="e">
        <f>#REF!*P98</f>
        <v>#REF!</v>
      </c>
      <c r="AD98" s="158">
        <f t="shared" si="29"/>
        <v>0</v>
      </c>
      <c r="AE98" s="58">
        <f t="shared" si="30"/>
        <v>0</v>
      </c>
      <c r="AF98" s="58" t="e">
        <f>#REF!*P98</f>
        <v>#REF!</v>
      </c>
      <c r="AG98" s="58">
        <f t="shared" si="31"/>
        <v>0</v>
      </c>
      <c r="AH98" s="58"/>
      <c r="AI98" s="58"/>
      <c r="AJ98" s="58">
        <f t="shared" si="32"/>
        <v>0</v>
      </c>
      <c r="AK98" s="58">
        <f t="shared" si="33"/>
        <v>0</v>
      </c>
      <c r="AL98" s="58">
        <f t="shared" si="33"/>
        <v>0</v>
      </c>
      <c r="AM98" s="159"/>
    </row>
    <row r="99" spans="1:39" ht="20.25" customHeight="1">
      <c r="A99" s="151">
        <v>54</v>
      </c>
      <c r="B99" s="186" t="s">
        <v>448</v>
      </c>
      <c r="C99" s="186" t="s">
        <v>350</v>
      </c>
      <c r="D99" s="153">
        <f t="shared" si="23"/>
        <v>0</v>
      </c>
      <c r="E99" s="161"/>
      <c r="F99" s="184"/>
      <c r="G99" s="154">
        <f t="shared" si="24"/>
        <v>21</v>
      </c>
      <c r="H99" s="154"/>
      <c r="I99" s="171">
        <v>21</v>
      </c>
      <c r="J99" s="182">
        <f t="shared" si="25"/>
        <v>24</v>
      </c>
      <c r="K99" s="161"/>
      <c r="L99" s="184">
        <v>24</v>
      </c>
      <c r="M99" s="185">
        <f>N99+O99</f>
        <v>45</v>
      </c>
      <c r="N99" s="155">
        <f t="shared" si="35"/>
        <v>0</v>
      </c>
      <c r="O99" s="155">
        <f t="shared" si="35"/>
        <v>45</v>
      </c>
      <c r="P99" s="156">
        <v>0</v>
      </c>
      <c r="Q99" s="187"/>
      <c r="R99" s="157" t="e">
        <f>#REF!*P99</f>
        <v>#REF!</v>
      </c>
      <c r="S99" s="91">
        <f t="shared" si="26"/>
        <v>0</v>
      </c>
      <c r="T99" s="91"/>
      <c r="U99" s="91"/>
      <c r="V99" s="91">
        <f t="shared" si="27"/>
        <v>45</v>
      </c>
      <c r="W99" s="91"/>
      <c r="X99" s="91">
        <f>18+21+6</f>
        <v>45</v>
      </c>
      <c r="Y99" s="58">
        <f t="shared" si="28"/>
        <v>100</v>
      </c>
      <c r="Z99" s="58">
        <f t="shared" si="28"/>
        <v>0</v>
      </c>
      <c r="AA99" s="58">
        <f t="shared" si="28"/>
        <v>100</v>
      </c>
      <c r="AB99" s="91"/>
      <c r="AC99" s="58" t="e">
        <f>#REF!*P99</f>
        <v>#REF!</v>
      </c>
      <c r="AD99" s="158">
        <f t="shared" si="29"/>
        <v>0</v>
      </c>
      <c r="AE99" s="58">
        <f t="shared" si="30"/>
        <v>0</v>
      </c>
      <c r="AF99" s="58" t="e">
        <f>#REF!*P99</f>
        <v>#REF!</v>
      </c>
      <c r="AG99" s="58">
        <f t="shared" si="31"/>
        <v>0</v>
      </c>
      <c r="AH99" s="58"/>
      <c r="AI99" s="58"/>
      <c r="AJ99" s="58">
        <f t="shared" si="32"/>
        <v>0</v>
      </c>
      <c r="AK99" s="58">
        <f t="shared" si="33"/>
        <v>0</v>
      </c>
      <c r="AL99" s="58">
        <f t="shared" si="33"/>
        <v>0</v>
      </c>
      <c r="AM99" s="159"/>
    </row>
    <row r="100" spans="1:39" ht="20.25" customHeight="1">
      <c r="A100" s="151">
        <v>55</v>
      </c>
      <c r="B100" s="186" t="s">
        <v>449</v>
      </c>
      <c r="C100" s="186"/>
      <c r="D100" s="153">
        <f t="shared" si="23"/>
        <v>0</v>
      </c>
      <c r="E100" s="161"/>
      <c r="F100" s="184"/>
      <c r="G100" s="154">
        <f t="shared" si="24"/>
        <v>42</v>
      </c>
      <c r="H100" s="154"/>
      <c r="I100" s="171">
        <v>42</v>
      </c>
      <c r="J100" s="182">
        <f t="shared" si="25"/>
        <v>0</v>
      </c>
      <c r="K100" s="161"/>
      <c r="L100" s="184"/>
      <c r="M100" s="185">
        <f t="shared" si="34"/>
        <v>42</v>
      </c>
      <c r="N100" s="155">
        <f t="shared" si="35"/>
        <v>0</v>
      </c>
      <c r="O100" s="155">
        <f t="shared" si="35"/>
        <v>42</v>
      </c>
      <c r="P100" s="156">
        <v>0</v>
      </c>
      <c r="Q100" s="187"/>
      <c r="R100" s="157" t="e">
        <f>#REF!*P100</f>
        <v>#REF!</v>
      </c>
      <c r="S100" s="91">
        <f t="shared" si="26"/>
        <v>0</v>
      </c>
      <c r="T100" s="91"/>
      <c r="U100" s="91"/>
      <c r="V100" s="91">
        <f t="shared" si="27"/>
        <v>42</v>
      </c>
      <c r="W100" s="91"/>
      <c r="X100" s="91">
        <f>6+30+6</f>
        <v>42</v>
      </c>
      <c r="Y100" s="58">
        <f t="shared" si="28"/>
        <v>100</v>
      </c>
      <c r="Z100" s="58">
        <f t="shared" si="28"/>
        <v>0</v>
      </c>
      <c r="AA100" s="58">
        <f t="shared" si="28"/>
        <v>100</v>
      </c>
      <c r="AB100" s="91"/>
      <c r="AC100" s="58" t="e">
        <f>#REF!*P100</f>
        <v>#REF!</v>
      </c>
      <c r="AD100" s="158">
        <f t="shared" si="29"/>
        <v>0</v>
      </c>
      <c r="AE100" s="58">
        <f t="shared" si="30"/>
        <v>0</v>
      </c>
      <c r="AF100" s="58" t="e">
        <f>#REF!*P100</f>
        <v>#REF!</v>
      </c>
      <c r="AG100" s="58">
        <f t="shared" si="31"/>
        <v>0</v>
      </c>
      <c r="AH100" s="58"/>
      <c r="AI100" s="58"/>
      <c r="AJ100" s="58">
        <f t="shared" si="32"/>
        <v>0</v>
      </c>
      <c r="AK100" s="58">
        <f t="shared" si="33"/>
        <v>0</v>
      </c>
      <c r="AL100" s="58">
        <f t="shared" si="33"/>
        <v>0</v>
      </c>
      <c r="AM100" s="159"/>
    </row>
    <row r="101" spans="1:39" ht="20.25" customHeight="1">
      <c r="A101" s="151">
        <v>56</v>
      </c>
      <c r="B101" s="168" t="s">
        <v>450</v>
      </c>
      <c r="C101" s="168"/>
      <c r="D101" s="153">
        <f t="shared" si="23"/>
        <v>0</v>
      </c>
      <c r="E101" s="161"/>
      <c r="F101" s="184"/>
      <c r="G101" s="154">
        <f t="shared" si="24"/>
        <v>1</v>
      </c>
      <c r="H101" s="154"/>
      <c r="I101" s="171">
        <v>1</v>
      </c>
      <c r="J101" s="182">
        <f t="shared" si="25"/>
        <v>0</v>
      </c>
      <c r="K101" s="161"/>
      <c r="L101" s="184"/>
      <c r="M101" s="185">
        <f t="shared" si="34"/>
        <v>1</v>
      </c>
      <c r="N101" s="155">
        <f t="shared" si="35"/>
        <v>0</v>
      </c>
      <c r="O101" s="155">
        <f t="shared" si="35"/>
        <v>1</v>
      </c>
      <c r="P101" s="156">
        <v>0</v>
      </c>
      <c r="Q101" s="187"/>
      <c r="R101" s="157" t="e">
        <f>#REF!*P101</f>
        <v>#REF!</v>
      </c>
      <c r="S101" s="91">
        <f t="shared" si="26"/>
        <v>0</v>
      </c>
      <c r="T101" s="91"/>
      <c r="U101" s="91"/>
      <c r="V101" s="91">
        <f t="shared" si="27"/>
        <v>1</v>
      </c>
      <c r="W101" s="91"/>
      <c r="X101" s="91">
        <v>1</v>
      </c>
      <c r="Y101" s="58">
        <f t="shared" si="28"/>
        <v>100</v>
      </c>
      <c r="Z101" s="58">
        <f t="shared" si="28"/>
        <v>0</v>
      </c>
      <c r="AA101" s="58">
        <f t="shared" si="28"/>
        <v>100</v>
      </c>
      <c r="AB101" s="91"/>
      <c r="AC101" s="58" t="e">
        <f>#REF!*P101</f>
        <v>#REF!</v>
      </c>
      <c r="AD101" s="158">
        <f t="shared" si="29"/>
        <v>0</v>
      </c>
      <c r="AE101" s="58">
        <f t="shared" si="30"/>
        <v>0</v>
      </c>
      <c r="AF101" s="58" t="e">
        <f>#REF!*P101</f>
        <v>#REF!</v>
      </c>
      <c r="AG101" s="58">
        <f t="shared" si="31"/>
        <v>0</v>
      </c>
      <c r="AH101" s="58"/>
      <c r="AI101" s="58"/>
      <c r="AJ101" s="58">
        <f t="shared" si="32"/>
        <v>0</v>
      </c>
      <c r="AK101" s="58">
        <f t="shared" si="33"/>
        <v>0</v>
      </c>
      <c r="AL101" s="58">
        <f t="shared" si="33"/>
        <v>0</v>
      </c>
      <c r="AM101" s="159"/>
    </row>
    <row r="102" spans="1:39" ht="20.25" customHeight="1">
      <c r="A102" s="151">
        <v>57</v>
      </c>
      <c r="B102" s="168" t="s">
        <v>451</v>
      </c>
      <c r="C102" s="168" t="s">
        <v>452</v>
      </c>
      <c r="D102" s="153">
        <f t="shared" si="23"/>
        <v>31</v>
      </c>
      <c r="E102" s="161">
        <v>31</v>
      </c>
      <c r="F102" s="161"/>
      <c r="G102" s="154">
        <f t="shared" si="24"/>
        <v>0</v>
      </c>
      <c r="H102" s="154"/>
      <c r="I102" s="154"/>
      <c r="J102" s="182">
        <f t="shared" si="25"/>
        <v>0</v>
      </c>
      <c r="K102" s="161"/>
      <c r="L102" s="161"/>
      <c r="M102" s="155">
        <f t="shared" si="34"/>
        <v>31</v>
      </c>
      <c r="N102" s="155">
        <f t="shared" si="35"/>
        <v>31</v>
      </c>
      <c r="O102" s="155">
        <f t="shared" si="35"/>
        <v>0</v>
      </c>
      <c r="P102" s="156">
        <v>0</v>
      </c>
      <c r="Q102" s="156"/>
      <c r="R102" s="157" t="e">
        <f>#REF!*P102</f>
        <v>#REF!</v>
      </c>
      <c r="S102" s="91">
        <f t="shared" si="26"/>
        <v>0</v>
      </c>
      <c r="T102" s="91"/>
      <c r="U102" s="91"/>
      <c r="V102" s="91">
        <f t="shared" si="27"/>
        <v>31</v>
      </c>
      <c r="W102" s="91">
        <v>31</v>
      </c>
      <c r="X102" s="91"/>
      <c r="Y102" s="58">
        <f t="shared" si="28"/>
        <v>100</v>
      </c>
      <c r="Z102" s="58">
        <f t="shared" si="28"/>
        <v>100</v>
      </c>
      <c r="AA102" s="58">
        <f t="shared" si="28"/>
        <v>0</v>
      </c>
      <c r="AB102" s="91">
        <f>31</f>
        <v>31</v>
      </c>
      <c r="AC102" s="58" t="e">
        <f>#REF!*P102</f>
        <v>#REF!</v>
      </c>
      <c r="AD102" s="158">
        <f t="shared" si="29"/>
        <v>100</v>
      </c>
      <c r="AE102" s="58">
        <f t="shared" si="30"/>
        <v>0</v>
      </c>
      <c r="AF102" s="58" t="e">
        <f>#REF!*P102</f>
        <v>#REF!</v>
      </c>
      <c r="AG102" s="58">
        <f t="shared" si="31"/>
        <v>0</v>
      </c>
      <c r="AH102" s="58"/>
      <c r="AI102" s="58"/>
      <c r="AJ102" s="58">
        <f t="shared" si="32"/>
        <v>0</v>
      </c>
      <c r="AK102" s="58">
        <f t="shared" si="33"/>
        <v>0</v>
      </c>
      <c r="AL102" s="58">
        <f t="shared" si="33"/>
        <v>0</v>
      </c>
      <c r="AM102" s="159"/>
    </row>
    <row r="103" spans="1:39" ht="20.25" customHeight="1">
      <c r="A103" s="151">
        <v>58</v>
      </c>
      <c r="B103" s="168" t="s">
        <v>453</v>
      </c>
      <c r="C103" s="168"/>
      <c r="D103" s="153">
        <f t="shared" si="23"/>
        <v>0</v>
      </c>
      <c r="E103" s="161"/>
      <c r="F103" s="184"/>
      <c r="G103" s="154">
        <f t="shared" si="24"/>
        <v>2</v>
      </c>
      <c r="H103" s="154"/>
      <c r="I103" s="171">
        <v>2</v>
      </c>
      <c r="J103" s="182">
        <f t="shared" si="25"/>
        <v>0</v>
      </c>
      <c r="K103" s="161"/>
      <c r="L103" s="184"/>
      <c r="M103" s="185">
        <f t="shared" si="34"/>
        <v>2</v>
      </c>
      <c r="N103" s="155">
        <f t="shared" si="35"/>
        <v>0</v>
      </c>
      <c r="O103" s="155">
        <f t="shared" si="35"/>
        <v>2</v>
      </c>
      <c r="P103" s="156">
        <v>0</v>
      </c>
      <c r="Q103" s="187"/>
      <c r="R103" s="157" t="e">
        <f>#REF!*P103</f>
        <v>#REF!</v>
      </c>
      <c r="S103" s="91">
        <f t="shared" si="26"/>
        <v>0</v>
      </c>
      <c r="T103" s="91"/>
      <c r="U103" s="91"/>
      <c r="V103" s="91">
        <f t="shared" si="27"/>
        <v>2</v>
      </c>
      <c r="W103" s="91"/>
      <c r="X103" s="91">
        <v>2</v>
      </c>
      <c r="Y103" s="58">
        <f t="shared" si="28"/>
        <v>100</v>
      </c>
      <c r="Z103" s="58">
        <f t="shared" si="28"/>
        <v>0</v>
      </c>
      <c r="AA103" s="58">
        <f t="shared" si="28"/>
        <v>100</v>
      </c>
      <c r="AB103" s="91"/>
      <c r="AC103" s="58" t="e">
        <f>#REF!*P103</f>
        <v>#REF!</v>
      </c>
      <c r="AD103" s="158">
        <f t="shared" si="29"/>
        <v>0</v>
      </c>
      <c r="AE103" s="58">
        <f t="shared" si="30"/>
        <v>0</v>
      </c>
      <c r="AF103" s="58" t="e">
        <f>#REF!*P103</f>
        <v>#REF!</v>
      </c>
      <c r="AG103" s="58">
        <f t="shared" si="31"/>
        <v>0</v>
      </c>
      <c r="AH103" s="58"/>
      <c r="AI103" s="58"/>
      <c r="AJ103" s="58">
        <f t="shared" si="32"/>
        <v>0</v>
      </c>
      <c r="AK103" s="58">
        <f t="shared" si="33"/>
        <v>0</v>
      </c>
      <c r="AL103" s="58">
        <f t="shared" si="33"/>
        <v>0</v>
      </c>
      <c r="AM103" s="159"/>
    </row>
    <row r="104" spans="1:39" ht="20.25" customHeight="1">
      <c r="A104" s="151">
        <v>59</v>
      </c>
      <c r="B104" s="168" t="s">
        <v>454</v>
      </c>
      <c r="C104" s="168" t="s">
        <v>350</v>
      </c>
      <c r="D104" s="153">
        <f t="shared" si="23"/>
        <v>0</v>
      </c>
      <c r="E104" s="161"/>
      <c r="F104" s="161"/>
      <c r="G104" s="154">
        <f t="shared" si="24"/>
        <v>0</v>
      </c>
      <c r="H104" s="154"/>
      <c r="I104" s="154"/>
      <c r="J104" s="182">
        <f t="shared" si="25"/>
        <v>6</v>
      </c>
      <c r="K104" s="161">
        <v>6</v>
      </c>
      <c r="L104" s="161"/>
      <c r="M104" s="155">
        <f t="shared" si="34"/>
        <v>6</v>
      </c>
      <c r="N104" s="155">
        <f t="shared" si="35"/>
        <v>6</v>
      </c>
      <c r="O104" s="155">
        <f t="shared" si="35"/>
        <v>0</v>
      </c>
      <c r="P104" s="156">
        <v>0</v>
      </c>
      <c r="Q104" s="187"/>
      <c r="R104" s="157" t="e">
        <f>#REF!*P104</f>
        <v>#REF!</v>
      </c>
      <c r="S104" s="91">
        <f t="shared" si="26"/>
        <v>0</v>
      </c>
      <c r="T104" s="91"/>
      <c r="U104" s="91"/>
      <c r="V104" s="91">
        <f t="shared" si="27"/>
        <v>6</v>
      </c>
      <c r="W104" s="91">
        <v>6</v>
      </c>
      <c r="X104" s="91"/>
      <c r="Y104" s="58">
        <f t="shared" si="28"/>
        <v>100</v>
      </c>
      <c r="Z104" s="58">
        <f t="shared" si="28"/>
        <v>100</v>
      </c>
      <c r="AA104" s="58">
        <f t="shared" si="28"/>
        <v>0</v>
      </c>
      <c r="AB104" s="91">
        <f>6</f>
        <v>6</v>
      </c>
      <c r="AC104" s="58" t="e">
        <f>#REF!*P104</f>
        <v>#REF!</v>
      </c>
      <c r="AD104" s="158">
        <f t="shared" si="29"/>
        <v>100</v>
      </c>
      <c r="AE104" s="58">
        <f t="shared" si="30"/>
        <v>0</v>
      </c>
      <c r="AF104" s="58" t="e">
        <f>#REF!*P104</f>
        <v>#REF!</v>
      </c>
      <c r="AG104" s="58">
        <f t="shared" si="31"/>
        <v>0</v>
      </c>
      <c r="AH104" s="58"/>
      <c r="AI104" s="58"/>
      <c r="AJ104" s="58">
        <f t="shared" si="32"/>
        <v>0</v>
      </c>
      <c r="AK104" s="58">
        <f t="shared" si="33"/>
        <v>0</v>
      </c>
      <c r="AL104" s="58">
        <f t="shared" si="33"/>
        <v>0</v>
      </c>
      <c r="AM104" s="159"/>
    </row>
    <row r="105" spans="1:39" ht="20.25" customHeight="1">
      <c r="A105" s="151">
        <v>60</v>
      </c>
      <c r="B105" s="168" t="s">
        <v>455</v>
      </c>
      <c r="C105" s="168" t="s">
        <v>350</v>
      </c>
      <c r="D105" s="153">
        <f t="shared" si="23"/>
        <v>0</v>
      </c>
      <c r="E105" s="161"/>
      <c r="F105" s="184"/>
      <c r="G105" s="154">
        <f t="shared" si="24"/>
        <v>24</v>
      </c>
      <c r="H105" s="154"/>
      <c r="I105" s="171">
        <v>24</v>
      </c>
      <c r="J105" s="182">
        <f t="shared" si="25"/>
        <v>34</v>
      </c>
      <c r="K105" s="161"/>
      <c r="L105" s="184">
        <v>34</v>
      </c>
      <c r="M105" s="185">
        <f t="shared" si="34"/>
        <v>58</v>
      </c>
      <c r="N105" s="155">
        <f t="shared" si="35"/>
        <v>0</v>
      </c>
      <c r="O105" s="155">
        <f t="shared" si="35"/>
        <v>58</v>
      </c>
      <c r="P105" s="156">
        <v>0</v>
      </c>
      <c r="Q105" s="187"/>
      <c r="R105" s="157" t="e">
        <f>#REF!*P105</f>
        <v>#REF!</v>
      </c>
      <c r="S105" s="91">
        <f t="shared" si="26"/>
        <v>0</v>
      </c>
      <c r="T105" s="91"/>
      <c r="U105" s="91"/>
      <c r="V105" s="91">
        <f t="shared" si="27"/>
        <v>58</v>
      </c>
      <c r="W105" s="91"/>
      <c r="X105" s="91">
        <f>54+4</f>
        <v>58</v>
      </c>
      <c r="Y105" s="58">
        <f t="shared" si="28"/>
        <v>100</v>
      </c>
      <c r="Z105" s="58">
        <f t="shared" si="28"/>
        <v>0</v>
      </c>
      <c r="AA105" s="58">
        <f t="shared" si="28"/>
        <v>100</v>
      </c>
      <c r="AB105" s="91"/>
      <c r="AC105" s="58" t="e">
        <f>#REF!*P105</f>
        <v>#REF!</v>
      </c>
      <c r="AD105" s="158">
        <f t="shared" si="29"/>
        <v>0</v>
      </c>
      <c r="AE105" s="58">
        <f t="shared" si="30"/>
        <v>0</v>
      </c>
      <c r="AF105" s="58" t="e">
        <f>#REF!*P105</f>
        <v>#REF!</v>
      </c>
      <c r="AG105" s="58">
        <f t="shared" si="31"/>
        <v>0</v>
      </c>
      <c r="AH105" s="58"/>
      <c r="AI105" s="58"/>
      <c r="AJ105" s="58">
        <f t="shared" si="32"/>
        <v>0</v>
      </c>
      <c r="AK105" s="58">
        <f t="shared" si="33"/>
        <v>0</v>
      </c>
      <c r="AL105" s="58">
        <f t="shared" si="33"/>
        <v>0</v>
      </c>
      <c r="AM105" s="159"/>
    </row>
    <row r="106" spans="1:39" ht="20.25" customHeight="1">
      <c r="A106" s="151">
        <v>61</v>
      </c>
      <c r="B106" s="168" t="s">
        <v>456</v>
      </c>
      <c r="C106" s="168"/>
      <c r="D106" s="153">
        <f t="shared" si="23"/>
        <v>20</v>
      </c>
      <c r="E106" s="161">
        <v>20</v>
      </c>
      <c r="F106" s="184"/>
      <c r="G106" s="154">
        <f t="shared" si="24"/>
        <v>30</v>
      </c>
      <c r="H106" s="154"/>
      <c r="I106" s="171">
        <v>30</v>
      </c>
      <c r="J106" s="182">
        <f t="shared" si="25"/>
        <v>0</v>
      </c>
      <c r="K106" s="161"/>
      <c r="L106" s="184"/>
      <c r="M106" s="185">
        <f t="shared" si="34"/>
        <v>50</v>
      </c>
      <c r="N106" s="155">
        <f t="shared" si="35"/>
        <v>20</v>
      </c>
      <c r="O106" s="155">
        <f t="shared" si="35"/>
        <v>30</v>
      </c>
      <c r="P106" s="156">
        <v>0</v>
      </c>
      <c r="Q106" s="187"/>
      <c r="R106" s="157" t="e">
        <f>#REF!*P106</f>
        <v>#REF!</v>
      </c>
      <c r="S106" s="91">
        <f t="shared" si="26"/>
        <v>0</v>
      </c>
      <c r="T106" s="91"/>
      <c r="U106" s="91"/>
      <c r="V106" s="91">
        <f t="shared" si="27"/>
        <v>30</v>
      </c>
      <c r="W106" s="91"/>
      <c r="X106" s="91">
        <f>12+18</f>
        <v>30</v>
      </c>
      <c r="Y106" s="58">
        <f t="shared" si="28"/>
        <v>60</v>
      </c>
      <c r="Z106" s="58">
        <f t="shared" si="28"/>
        <v>0</v>
      </c>
      <c r="AA106" s="58">
        <f t="shared" si="28"/>
        <v>100</v>
      </c>
      <c r="AB106" s="91"/>
      <c r="AC106" s="58" t="e">
        <f>#REF!*P106</f>
        <v>#REF!</v>
      </c>
      <c r="AD106" s="158">
        <f t="shared" si="29"/>
        <v>0</v>
      </c>
      <c r="AE106" s="58">
        <f t="shared" si="30"/>
        <v>0</v>
      </c>
      <c r="AF106" s="58" t="e">
        <f>#REF!*P106</f>
        <v>#REF!</v>
      </c>
      <c r="AG106" s="58">
        <f t="shared" si="31"/>
        <v>0</v>
      </c>
      <c r="AH106" s="58"/>
      <c r="AI106" s="58"/>
      <c r="AJ106" s="58">
        <f t="shared" si="32"/>
        <v>20</v>
      </c>
      <c r="AK106" s="58">
        <f t="shared" si="33"/>
        <v>20</v>
      </c>
      <c r="AL106" s="58">
        <f t="shared" si="33"/>
        <v>0</v>
      </c>
      <c r="AM106" s="159"/>
    </row>
    <row r="107" spans="1:39" ht="20.25" customHeight="1">
      <c r="A107" s="151">
        <v>62</v>
      </c>
      <c r="B107" s="168" t="s">
        <v>457</v>
      </c>
      <c r="C107" s="168" t="s">
        <v>350</v>
      </c>
      <c r="D107" s="153">
        <f t="shared" si="23"/>
        <v>0</v>
      </c>
      <c r="E107" s="161"/>
      <c r="F107" s="184"/>
      <c r="G107" s="154">
        <f t="shared" si="24"/>
        <v>61</v>
      </c>
      <c r="H107" s="154"/>
      <c r="I107" s="171">
        <v>61</v>
      </c>
      <c r="J107" s="182">
        <f t="shared" si="25"/>
        <v>2</v>
      </c>
      <c r="K107" s="161"/>
      <c r="L107" s="184">
        <v>2</v>
      </c>
      <c r="M107" s="185">
        <f t="shared" si="34"/>
        <v>63</v>
      </c>
      <c r="N107" s="155">
        <f t="shared" si="35"/>
        <v>0</v>
      </c>
      <c r="O107" s="155">
        <f>F107+I107+L107</f>
        <v>63</v>
      </c>
      <c r="P107" s="156">
        <v>0</v>
      </c>
      <c r="Q107" s="187"/>
      <c r="R107" s="157" t="e">
        <f>#REF!*P107</f>
        <v>#REF!</v>
      </c>
      <c r="S107" s="91">
        <f t="shared" si="26"/>
        <v>0</v>
      </c>
      <c r="T107" s="91"/>
      <c r="U107" s="91"/>
      <c r="V107" s="91">
        <f t="shared" si="27"/>
        <v>63</v>
      </c>
      <c r="W107" s="91"/>
      <c r="X107" s="91">
        <f>38+24+1</f>
        <v>63</v>
      </c>
      <c r="Y107" s="58">
        <f t="shared" si="28"/>
        <v>100</v>
      </c>
      <c r="Z107" s="58">
        <f t="shared" si="28"/>
        <v>0</v>
      </c>
      <c r="AA107" s="58">
        <f t="shared" si="28"/>
        <v>100</v>
      </c>
      <c r="AB107" s="91"/>
      <c r="AC107" s="58" t="e">
        <f>#REF!*P107</f>
        <v>#REF!</v>
      </c>
      <c r="AD107" s="158">
        <f t="shared" si="29"/>
        <v>0</v>
      </c>
      <c r="AE107" s="58">
        <f t="shared" si="30"/>
        <v>0</v>
      </c>
      <c r="AF107" s="58" t="e">
        <f>#REF!*P107</f>
        <v>#REF!</v>
      </c>
      <c r="AG107" s="58">
        <f t="shared" si="31"/>
        <v>0</v>
      </c>
      <c r="AH107" s="58"/>
      <c r="AI107" s="58"/>
      <c r="AJ107" s="58">
        <f t="shared" si="32"/>
        <v>0</v>
      </c>
      <c r="AK107" s="58">
        <f t="shared" si="33"/>
        <v>0</v>
      </c>
      <c r="AL107" s="58">
        <f t="shared" si="33"/>
        <v>0</v>
      </c>
      <c r="AM107" s="159"/>
    </row>
    <row r="108" spans="1:39" ht="20.25" customHeight="1">
      <c r="A108" s="151">
        <v>63</v>
      </c>
      <c r="B108" s="168" t="s">
        <v>458</v>
      </c>
      <c r="C108" s="168"/>
      <c r="D108" s="153">
        <f t="shared" si="23"/>
        <v>0</v>
      </c>
      <c r="E108" s="161"/>
      <c r="F108" s="184"/>
      <c r="G108" s="154">
        <f t="shared" si="24"/>
        <v>9</v>
      </c>
      <c r="H108" s="154"/>
      <c r="I108" s="171">
        <f>9</f>
        <v>9</v>
      </c>
      <c r="J108" s="182">
        <f t="shared" si="25"/>
        <v>0</v>
      </c>
      <c r="K108" s="161"/>
      <c r="L108" s="184"/>
      <c r="M108" s="185">
        <f t="shared" si="34"/>
        <v>9</v>
      </c>
      <c r="N108" s="155">
        <f t="shared" si="35"/>
        <v>0</v>
      </c>
      <c r="O108" s="155">
        <f t="shared" si="35"/>
        <v>9</v>
      </c>
      <c r="P108" s="156">
        <v>0</v>
      </c>
      <c r="Q108" s="187"/>
      <c r="R108" s="157" t="e">
        <f>#REF!*P108</f>
        <v>#REF!</v>
      </c>
      <c r="S108" s="91">
        <f t="shared" si="26"/>
        <v>0</v>
      </c>
      <c r="T108" s="91"/>
      <c r="U108" s="91"/>
      <c r="V108" s="91">
        <f t="shared" si="27"/>
        <v>9</v>
      </c>
      <c r="W108" s="91"/>
      <c r="X108" s="91">
        <f>9</f>
        <v>9</v>
      </c>
      <c r="Y108" s="58">
        <f t="shared" si="28"/>
        <v>100</v>
      </c>
      <c r="Z108" s="58">
        <f t="shared" si="28"/>
        <v>0</v>
      </c>
      <c r="AA108" s="58">
        <f t="shared" si="28"/>
        <v>100</v>
      </c>
      <c r="AB108" s="91"/>
      <c r="AC108" s="58" t="e">
        <f>#REF!*P108</f>
        <v>#REF!</v>
      </c>
      <c r="AD108" s="158">
        <f t="shared" si="29"/>
        <v>0</v>
      </c>
      <c r="AE108" s="58">
        <f t="shared" si="30"/>
        <v>0</v>
      </c>
      <c r="AF108" s="58" t="e">
        <f>#REF!*P108</f>
        <v>#REF!</v>
      </c>
      <c r="AG108" s="58">
        <f t="shared" si="31"/>
        <v>0</v>
      </c>
      <c r="AH108" s="58"/>
      <c r="AI108" s="58"/>
      <c r="AJ108" s="58">
        <f t="shared" si="32"/>
        <v>0</v>
      </c>
      <c r="AK108" s="58">
        <f t="shared" si="33"/>
        <v>0</v>
      </c>
      <c r="AL108" s="58">
        <f t="shared" si="33"/>
        <v>0</v>
      </c>
      <c r="AM108" s="159"/>
    </row>
    <row r="109" spans="1:39" ht="20.25" customHeight="1">
      <c r="A109" s="151">
        <v>64</v>
      </c>
      <c r="B109" s="168" t="s">
        <v>459</v>
      </c>
      <c r="C109" s="168"/>
      <c r="D109" s="153">
        <f t="shared" si="23"/>
        <v>18</v>
      </c>
      <c r="E109" s="161"/>
      <c r="F109" s="184">
        <v>18</v>
      </c>
      <c r="G109" s="154">
        <f t="shared" si="24"/>
        <v>124</v>
      </c>
      <c r="H109" s="154"/>
      <c r="I109" s="171">
        <v>124</v>
      </c>
      <c r="J109" s="182">
        <f t="shared" si="25"/>
        <v>0</v>
      </c>
      <c r="K109" s="161"/>
      <c r="L109" s="184"/>
      <c r="M109" s="185">
        <f t="shared" si="34"/>
        <v>142</v>
      </c>
      <c r="N109" s="155">
        <f t="shared" si="35"/>
        <v>0</v>
      </c>
      <c r="O109" s="155">
        <f t="shared" si="35"/>
        <v>142</v>
      </c>
      <c r="P109" s="156">
        <v>0</v>
      </c>
      <c r="Q109" s="187"/>
      <c r="R109" s="157" t="e">
        <f>#REF!*P109</f>
        <v>#REF!</v>
      </c>
      <c r="S109" s="91">
        <f t="shared" si="26"/>
        <v>0</v>
      </c>
      <c r="T109" s="91"/>
      <c r="U109" s="91"/>
      <c r="V109" s="91">
        <f t="shared" si="27"/>
        <v>142</v>
      </c>
      <c r="W109" s="91"/>
      <c r="X109" s="91">
        <f>18+18+6+72+28</f>
        <v>142</v>
      </c>
      <c r="Y109" s="58">
        <f t="shared" si="28"/>
        <v>100</v>
      </c>
      <c r="Z109" s="58">
        <f t="shared" si="28"/>
        <v>0</v>
      </c>
      <c r="AA109" s="58">
        <f t="shared" si="28"/>
        <v>100</v>
      </c>
      <c r="AB109" s="91"/>
      <c r="AC109" s="58" t="e">
        <f>#REF!*P109</f>
        <v>#REF!</v>
      </c>
      <c r="AD109" s="158">
        <f t="shared" si="29"/>
        <v>0</v>
      </c>
      <c r="AE109" s="58">
        <f t="shared" si="30"/>
        <v>0</v>
      </c>
      <c r="AF109" s="58" t="e">
        <f>#REF!*P109</f>
        <v>#REF!</v>
      </c>
      <c r="AG109" s="58">
        <f t="shared" si="31"/>
        <v>0</v>
      </c>
      <c r="AH109" s="58"/>
      <c r="AI109" s="58"/>
      <c r="AJ109" s="58">
        <f t="shared" si="32"/>
        <v>0</v>
      </c>
      <c r="AK109" s="58">
        <f t="shared" si="33"/>
        <v>0</v>
      </c>
      <c r="AL109" s="58">
        <f t="shared" si="33"/>
        <v>0</v>
      </c>
      <c r="AM109" s="159"/>
    </row>
    <row r="110" spans="1:39" ht="20.25" customHeight="1">
      <c r="A110" s="151">
        <v>65</v>
      </c>
      <c r="B110" s="168" t="s">
        <v>460</v>
      </c>
      <c r="C110" s="168" t="s">
        <v>350</v>
      </c>
      <c r="D110" s="153">
        <f t="shared" si="23"/>
        <v>0</v>
      </c>
      <c r="E110" s="161"/>
      <c r="F110" s="184"/>
      <c r="G110" s="154">
        <f t="shared" si="24"/>
        <v>223</v>
      </c>
      <c r="H110" s="154"/>
      <c r="I110" s="171">
        <v>223</v>
      </c>
      <c r="J110" s="182">
        <f t="shared" si="25"/>
        <v>3</v>
      </c>
      <c r="K110" s="161"/>
      <c r="L110" s="184">
        <v>3</v>
      </c>
      <c r="M110" s="185">
        <f t="shared" si="34"/>
        <v>226</v>
      </c>
      <c r="N110" s="155">
        <f t="shared" si="35"/>
        <v>0</v>
      </c>
      <c r="O110" s="155">
        <f t="shared" si="35"/>
        <v>226</v>
      </c>
      <c r="P110" s="156">
        <v>0</v>
      </c>
      <c r="Q110" s="156"/>
      <c r="R110" s="157" t="e">
        <f>#REF!*P110</f>
        <v>#REF!</v>
      </c>
      <c r="S110" s="91">
        <f t="shared" si="26"/>
        <v>0</v>
      </c>
      <c r="T110" s="91"/>
      <c r="U110" s="91"/>
      <c r="V110" s="91">
        <f t="shared" si="27"/>
        <v>226</v>
      </c>
      <c r="W110" s="91"/>
      <c r="X110" s="91">
        <f>18+6+90+6+90+16</f>
        <v>226</v>
      </c>
      <c r="Y110" s="58">
        <f t="shared" si="28"/>
        <v>100</v>
      </c>
      <c r="Z110" s="58">
        <f t="shared" si="28"/>
        <v>0</v>
      </c>
      <c r="AA110" s="58">
        <f t="shared" si="28"/>
        <v>100</v>
      </c>
      <c r="AB110" s="91"/>
      <c r="AC110" s="58" t="e">
        <f>#REF!*P110</f>
        <v>#REF!</v>
      </c>
      <c r="AD110" s="158">
        <f t="shared" si="29"/>
        <v>0</v>
      </c>
      <c r="AE110" s="58">
        <f t="shared" si="30"/>
        <v>0</v>
      </c>
      <c r="AF110" s="58" t="e">
        <f>#REF!*P110</f>
        <v>#REF!</v>
      </c>
      <c r="AG110" s="58">
        <f t="shared" si="31"/>
        <v>0</v>
      </c>
      <c r="AH110" s="58"/>
      <c r="AI110" s="58"/>
      <c r="AJ110" s="58">
        <f t="shared" si="32"/>
        <v>0</v>
      </c>
      <c r="AK110" s="58">
        <f t="shared" si="33"/>
        <v>0</v>
      </c>
      <c r="AL110" s="58">
        <f t="shared" si="33"/>
        <v>0</v>
      </c>
      <c r="AM110" s="159"/>
    </row>
    <row r="111" spans="1:39" ht="20.25" customHeight="1">
      <c r="A111" s="151">
        <v>66</v>
      </c>
      <c r="B111" s="168" t="s">
        <v>461</v>
      </c>
      <c r="C111" s="168"/>
      <c r="D111" s="153">
        <f t="shared" si="23"/>
        <v>0</v>
      </c>
      <c r="E111" s="161"/>
      <c r="F111" s="184"/>
      <c r="G111" s="154">
        <f t="shared" si="24"/>
        <v>3</v>
      </c>
      <c r="H111" s="154"/>
      <c r="I111" s="171">
        <v>3</v>
      </c>
      <c r="J111" s="182">
        <f t="shared" si="25"/>
        <v>0</v>
      </c>
      <c r="K111" s="161"/>
      <c r="L111" s="184"/>
      <c r="M111" s="185">
        <f t="shared" si="34"/>
        <v>3</v>
      </c>
      <c r="N111" s="155">
        <f t="shared" si="35"/>
        <v>0</v>
      </c>
      <c r="O111" s="155">
        <f t="shared" si="35"/>
        <v>3</v>
      </c>
      <c r="P111" s="156">
        <v>0</v>
      </c>
      <c r="Q111" s="156"/>
      <c r="R111" s="157" t="e">
        <f>#REF!*P111</f>
        <v>#REF!</v>
      </c>
      <c r="S111" s="91">
        <f t="shared" si="26"/>
        <v>0</v>
      </c>
      <c r="T111" s="91"/>
      <c r="U111" s="91"/>
      <c r="V111" s="91">
        <f t="shared" si="27"/>
        <v>3</v>
      </c>
      <c r="W111" s="91"/>
      <c r="X111" s="91">
        <v>3</v>
      </c>
      <c r="Y111" s="58">
        <f t="shared" si="28"/>
        <v>100</v>
      </c>
      <c r="Z111" s="58">
        <f t="shared" si="28"/>
        <v>0</v>
      </c>
      <c r="AA111" s="58">
        <f t="shared" si="28"/>
        <v>100</v>
      </c>
      <c r="AB111" s="91"/>
      <c r="AC111" s="58" t="e">
        <f>#REF!*P111</f>
        <v>#REF!</v>
      </c>
      <c r="AD111" s="158">
        <f t="shared" si="29"/>
        <v>0</v>
      </c>
      <c r="AE111" s="58">
        <f t="shared" si="30"/>
        <v>0</v>
      </c>
      <c r="AF111" s="58" t="e">
        <f>#REF!*P111</f>
        <v>#REF!</v>
      </c>
      <c r="AG111" s="58">
        <f t="shared" si="31"/>
        <v>0</v>
      </c>
      <c r="AH111" s="58"/>
      <c r="AI111" s="58"/>
      <c r="AJ111" s="58">
        <f t="shared" si="32"/>
        <v>0</v>
      </c>
      <c r="AK111" s="58">
        <f t="shared" si="33"/>
        <v>0</v>
      </c>
      <c r="AL111" s="58">
        <f t="shared" si="33"/>
        <v>0</v>
      </c>
      <c r="AM111" s="159"/>
    </row>
    <row r="112" spans="1:39" ht="20.25" customHeight="1">
      <c r="A112" s="151">
        <v>67</v>
      </c>
      <c r="B112" s="168" t="s">
        <v>462</v>
      </c>
      <c r="C112" s="168" t="s">
        <v>350</v>
      </c>
      <c r="D112" s="153">
        <f t="shared" si="23"/>
        <v>0</v>
      </c>
      <c r="E112" s="161"/>
      <c r="F112" s="161"/>
      <c r="G112" s="154">
        <f t="shared" si="24"/>
        <v>400</v>
      </c>
      <c r="H112" s="154">
        <v>400</v>
      </c>
      <c r="I112" s="154"/>
      <c r="J112" s="182">
        <f t="shared" si="25"/>
        <v>6</v>
      </c>
      <c r="K112" s="161">
        <v>6</v>
      </c>
      <c r="L112" s="161"/>
      <c r="M112" s="155">
        <f t="shared" si="34"/>
        <v>406</v>
      </c>
      <c r="N112" s="155">
        <f t="shared" si="35"/>
        <v>406</v>
      </c>
      <c r="O112" s="155">
        <f t="shared" si="35"/>
        <v>0</v>
      </c>
      <c r="P112" s="156">
        <v>0</v>
      </c>
      <c r="Q112" s="156"/>
      <c r="R112" s="157" t="e">
        <f>#REF!*P112</f>
        <v>#REF!</v>
      </c>
      <c r="S112" s="91">
        <f t="shared" si="26"/>
        <v>0</v>
      </c>
      <c r="T112" s="91"/>
      <c r="U112" s="91"/>
      <c r="V112" s="91">
        <f t="shared" si="27"/>
        <v>406</v>
      </c>
      <c r="W112" s="91">
        <f>6+36+12+6+60+102+96+60+18+10</f>
        <v>406</v>
      </c>
      <c r="X112" s="91"/>
      <c r="Y112" s="58">
        <f t="shared" si="28"/>
        <v>100</v>
      </c>
      <c r="Z112" s="58">
        <f t="shared" si="28"/>
        <v>100</v>
      </c>
      <c r="AA112" s="58">
        <f t="shared" si="28"/>
        <v>0</v>
      </c>
      <c r="AB112" s="91">
        <f>6+36+12+6+60+102+96+60+18+10</f>
        <v>406</v>
      </c>
      <c r="AC112" s="58" t="e">
        <f>#REF!*P112</f>
        <v>#REF!</v>
      </c>
      <c r="AD112" s="158">
        <f t="shared" si="29"/>
        <v>100</v>
      </c>
      <c r="AE112" s="58">
        <f t="shared" si="30"/>
        <v>0</v>
      </c>
      <c r="AF112" s="58" t="e">
        <f>#REF!*P112</f>
        <v>#REF!</v>
      </c>
      <c r="AG112" s="58">
        <f t="shared" si="31"/>
        <v>0</v>
      </c>
      <c r="AH112" s="58"/>
      <c r="AI112" s="58"/>
      <c r="AJ112" s="58">
        <f t="shared" si="32"/>
        <v>0</v>
      </c>
      <c r="AK112" s="58">
        <f t="shared" si="33"/>
        <v>0</v>
      </c>
      <c r="AL112" s="58">
        <f t="shared" si="33"/>
        <v>0</v>
      </c>
      <c r="AM112" s="159"/>
    </row>
    <row r="113" spans="1:39" ht="20.25" customHeight="1">
      <c r="A113" s="151">
        <v>68</v>
      </c>
      <c r="B113" s="168" t="s">
        <v>463</v>
      </c>
      <c r="C113" s="168" t="s">
        <v>350</v>
      </c>
      <c r="D113" s="153">
        <f t="shared" si="23"/>
        <v>0</v>
      </c>
      <c r="E113" s="161"/>
      <c r="F113" s="161"/>
      <c r="G113" s="154">
        <f t="shared" si="24"/>
        <v>0</v>
      </c>
      <c r="H113" s="154"/>
      <c r="I113" s="154"/>
      <c r="J113" s="182">
        <f t="shared" si="25"/>
        <v>144</v>
      </c>
      <c r="K113" s="161"/>
      <c r="L113" s="161">
        <v>144</v>
      </c>
      <c r="M113" s="155">
        <f t="shared" si="34"/>
        <v>144</v>
      </c>
      <c r="N113" s="155">
        <f t="shared" si="35"/>
        <v>0</v>
      </c>
      <c r="O113" s="155">
        <f t="shared" si="35"/>
        <v>144</v>
      </c>
      <c r="P113" s="156">
        <v>0</v>
      </c>
      <c r="Q113" s="156"/>
      <c r="R113" s="157" t="e">
        <f>#REF!*P113</f>
        <v>#REF!</v>
      </c>
      <c r="S113" s="91">
        <f t="shared" si="26"/>
        <v>0</v>
      </c>
      <c r="T113" s="91"/>
      <c r="U113" s="91"/>
      <c r="V113" s="91">
        <f t="shared" si="27"/>
        <v>144</v>
      </c>
      <c r="W113" s="91"/>
      <c r="X113" s="91">
        <f>24+12+18+90</f>
        <v>144</v>
      </c>
      <c r="Y113" s="58">
        <f t="shared" si="28"/>
        <v>100</v>
      </c>
      <c r="Z113" s="58">
        <f t="shared" si="28"/>
        <v>0</v>
      </c>
      <c r="AA113" s="58">
        <f t="shared" si="28"/>
        <v>100</v>
      </c>
      <c r="AB113" s="91"/>
      <c r="AC113" s="58" t="e">
        <f>#REF!*P113</f>
        <v>#REF!</v>
      </c>
      <c r="AD113" s="158">
        <f t="shared" si="29"/>
        <v>0</v>
      </c>
      <c r="AE113" s="58">
        <f t="shared" si="30"/>
        <v>0</v>
      </c>
      <c r="AF113" s="58" t="e">
        <f>#REF!*P113</f>
        <v>#REF!</v>
      </c>
      <c r="AG113" s="58">
        <f t="shared" si="31"/>
        <v>0</v>
      </c>
      <c r="AH113" s="58"/>
      <c r="AI113" s="58"/>
      <c r="AJ113" s="58">
        <f t="shared" si="32"/>
        <v>0</v>
      </c>
      <c r="AK113" s="58">
        <f t="shared" si="33"/>
        <v>0</v>
      </c>
      <c r="AL113" s="58">
        <f t="shared" si="33"/>
        <v>0</v>
      </c>
      <c r="AM113" s="159"/>
    </row>
    <row r="114" spans="1:39" ht="20.25" customHeight="1">
      <c r="A114" s="151">
        <v>69</v>
      </c>
      <c r="B114" s="168" t="s">
        <v>464</v>
      </c>
      <c r="C114" s="168"/>
      <c r="D114" s="153">
        <f t="shared" si="23"/>
        <v>13</v>
      </c>
      <c r="E114" s="161"/>
      <c r="F114" s="161">
        <v>13</v>
      </c>
      <c r="G114" s="154">
        <f t="shared" si="24"/>
        <v>14</v>
      </c>
      <c r="H114" s="154">
        <v>14</v>
      </c>
      <c r="I114" s="154"/>
      <c r="J114" s="182">
        <f t="shared" si="25"/>
        <v>0</v>
      </c>
      <c r="K114" s="161"/>
      <c r="L114" s="161"/>
      <c r="M114" s="155">
        <f t="shared" si="34"/>
        <v>27</v>
      </c>
      <c r="N114" s="155">
        <f t="shared" si="35"/>
        <v>14</v>
      </c>
      <c r="O114" s="155">
        <f t="shared" si="35"/>
        <v>13</v>
      </c>
      <c r="P114" s="156">
        <v>0</v>
      </c>
      <c r="Q114" s="156"/>
      <c r="R114" s="157" t="e">
        <f>#REF!*P114</f>
        <v>#REF!</v>
      </c>
      <c r="S114" s="91">
        <f t="shared" si="26"/>
        <v>0</v>
      </c>
      <c r="T114" s="91"/>
      <c r="U114" s="91"/>
      <c r="V114" s="91">
        <f t="shared" si="27"/>
        <v>27</v>
      </c>
      <c r="W114" s="91">
        <f>14</f>
        <v>14</v>
      </c>
      <c r="X114" s="91">
        <v>13</v>
      </c>
      <c r="Y114" s="58">
        <f t="shared" si="28"/>
        <v>100</v>
      </c>
      <c r="Z114" s="58">
        <f t="shared" si="28"/>
        <v>100</v>
      </c>
      <c r="AA114" s="58">
        <f t="shared" si="28"/>
        <v>100</v>
      </c>
      <c r="AB114" s="91">
        <f>14</f>
        <v>14</v>
      </c>
      <c r="AC114" s="58" t="e">
        <f>#REF!*P114</f>
        <v>#REF!</v>
      </c>
      <c r="AD114" s="158">
        <f t="shared" si="29"/>
        <v>52</v>
      </c>
      <c r="AE114" s="58">
        <f t="shared" si="30"/>
        <v>0</v>
      </c>
      <c r="AF114" s="58" t="e">
        <f>#REF!*P114</f>
        <v>#REF!</v>
      </c>
      <c r="AG114" s="58">
        <f t="shared" si="31"/>
        <v>0</v>
      </c>
      <c r="AH114" s="58"/>
      <c r="AI114" s="58"/>
      <c r="AJ114" s="58">
        <f t="shared" si="32"/>
        <v>0</v>
      </c>
      <c r="AK114" s="58">
        <f t="shared" si="33"/>
        <v>0</v>
      </c>
      <c r="AL114" s="58">
        <f t="shared" si="33"/>
        <v>0</v>
      </c>
      <c r="AM114" s="159"/>
    </row>
    <row r="115" spans="1:39" ht="20.25" customHeight="1">
      <c r="A115" s="151">
        <v>70</v>
      </c>
      <c r="B115" s="168" t="s">
        <v>464</v>
      </c>
      <c r="C115" s="168" t="s">
        <v>386</v>
      </c>
      <c r="D115" s="153">
        <f t="shared" si="23"/>
        <v>541</v>
      </c>
      <c r="E115" s="161"/>
      <c r="F115" s="184">
        <v>541</v>
      </c>
      <c r="G115" s="154">
        <f t="shared" si="24"/>
        <v>0</v>
      </c>
      <c r="H115" s="154"/>
      <c r="I115" s="171"/>
      <c r="J115" s="182">
        <f t="shared" si="25"/>
        <v>0</v>
      </c>
      <c r="K115" s="161"/>
      <c r="L115" s="184"/>
      <c r="M115" s="185">
        <f t="shared" si="34"/>
        <v>541</v>
      </c>
      <c r="N115" s="155">
        <f t="shared" si="35"/>
        <v>0</v>
      </c>
      <c r="O115" s="155">
        <f t="shared" si="35"/>
        <v>541</v>
      </c>
      <c r="P115" s="156">
        <v>0</v>
      </c>
      <c r="Q115" s="156"/>
      <c r="R115" s="157" t="e">
        <f>#REF!*P115</f>
        <v>#REF!</v>
      </c>
      <c r="S115" s="91">
        <f t="shared" si="26"/>
        <v>0</v>
      </c>
      <c r="T115" s="91"/>
      <c r="U115" s="91"/>
      <c r="V115" s="91">
        <f t="shared" si="27"/>
        <v>541</v>
      </c>
      <c r="W115" s="91"/>
      <c r="X115" s="91">
        <f>78+60+168+138+48+24+18+7</f>
        <v>541</v>
      </c>
      <c r="Y115" s="58">
        <f t="shared" si="28"/>
        <v>100</v>
      </c>
      <c r="Z115" s="58">
        <f t="shared" si="28"/>
        <v>0</v>
      </c>
      <c r="AA115" s="58">
        <f t="shared" si="28"/>
        <v>100</v>
      </c>
      <c r="AB115" s="91"/>
      <c r="AC115" s="58" t="e">
        <f>#REF!*P115</f>
        <v>#REF!</v>
      </c>
      <c r="AD115" s="158">
        <f t="shared" si="29"/>
        <v>0</v>
      </c>
      <c r="AE115" s="58">
        <f t="shared" si="30"/>
        <v>0</v>
      </c>
      <c r="AF115" s="58" t="e">
        <f>#REF!*P115</f>
        <v>#REF!</v>
      </c>
      <c r="AG115" s="58">
        <f t="shared" si="31"/>
        <v>0</v>
      </c>
      <c r="AH115" s="58"/>
      <c r="AI115" s="58"/>
      <c r="AJ115" s="58">
        <f t="shared" si="32"/>
        <v>0</v>
      </c>
      <c r="AK115" s="58">
        <f t="shared" si="33"/>
        <v>0</v>
      </c>
      <c r="AL115" s="58">
        <f t="shared" si="33"/>
        <v>0</v>
      </c>
      <c r="AM115" s="159"/>
    </row>
    <row r="116" spans="1:39" ht="20.25" customHeight="1">
      <c r="A116" s="151">
        <v>71</v>
      </c>
      <c r="B116" s="186" t="s">
        <v>465</v>
      </c>
      <c r="C116" s="186"/>
      <c r="D116" s="153">
        <f t="shared" si="23"/>
        <v>0</v>
      </c>
      <c r="E116" s="161"/>
      <c r="F116" s="161"/>
      <c r="G116" s="154">
        <f t="shared" si="24"/>
        <v>10</v>
      </c>
      <c r="H116" s="154">
        <v>10</v>
      </c>
      <c r="I116" s="154"/>
      <c r="J116" s="182">
        <f t="shared" si="25"/>
        <v>0</v>
      </c>
      <c r="K116" s="161"/>
      <c r="L116" s="161"/>
      <c r="M116" s="155">
        <f t="shared" si="34"/>
        <v>10</v>
      </c>
      <c r="N116" s="155">
        <f t="shared" si="35"/>
        <v>10</v>
      </c>
      <c r="O116" s="155">
        <f t="shared" si="35"/>
        <v>0</v>
      </c>
      <c r="P116" s="156">
        <v>0</v>
      </c>
      <c r="Q116" s="156"/>
      <c r="R116" s="157" t="e">
        <f>#REF!*P116</f>
        <v>#REF!</v>
      </c>
      <c r="S116" s="91">
        <f t="shared" si="26"/>
        <v>0</v>
      </c>
      <c r="T116" s="91"/>
      <c r="U116" s="91"/>
      <c r="V116" s="91">
        <f t="shared" si="27"/>
        <v>10</v>
      </c>
      <c r="W116" s="91">
        <v>10</v>
      </c>
      <c r="X116" s="91"/>
      <c r="Y116" s="58">
        <f t="shared" si="28"/>
        <v>100</v>
      </c>
      <c r="Z116" s="58">
        <f t="shared" si="28"/>
        <v>100</v>
      </c>
      <c r="AA116" s="58">
        <f t="shared" si="28"/>
        <v>0</v>
      </c>
      <c r="AB116" s="91">
        <f>10</f>
        <v>10</v>
      </c>
      <c r="AC116" s="58" t="e">
        <f>#REF!*P116</f>
        <v>#REF!</v>
      </c>
      <c r="AD116" s="158">
        <f t="shared" si="29"/>
        <v>100</v>
      </c>
      <c r="AE116" s="58">
        <f t="shared" si="30"/>
        <v>0</v>
      </c>
      <c r="AF116" s="58" t="e">
        <f>#REF!*P116</f>
        <v>#REF!</v>
      </c>
      <c r="AG116" s="58">
        <f t="shared" si="31"/>
        <v>0</v>
      </c>
      <c r="AH116" s="58"/>
      <c r="AI116" s="58"/>
      <c r="AJ116" s="58">
        <f t="shared" si="32"/>
        <v>0</v>
      </c>
      <c r="AK116" s="58">
        <f t="shared" si="33"/>
        <v>0</v>
      </c>
      <c r="AL116" s="58">
        <f t="shared" si="33"/>
        <v>0</v>
      </c>
      <c r="AM116" s="159"/>
    </row>
    <row r="117" spans="1:39" ht="20.25" customHeight="1">
      <c r="A117" s="151">
        <v>72</v>
      </c>
      <c r="B117" s="186" t="s">
        <v>466</v>
      </c>
      <c r="C117" s="186" t="s">
        <v>350</v>
      </c>
      <c r="D117" s="153">
        <f t="shared" si="23"/>
        <v>0</v>
      </c>
      <c r="E117" s="161"/>
      <c r="F117" s="184"/>
      <c r="G117" s="154">
        <f t="shared" si="24"/>
        <v>21</v>
      </c>
      <c r="H117" s="154"/>
      <c r="I117" s="171">
        <v>21</v>
      </c>
      <c r="J117" s="182">
        <f t="shared" si="25"/>
        <v>3</v>
      </c>
      <c r="K117" s="161"/>
      <c r="L117" s="184">
        <v>3</v>
      </c>
      <c r="M117" s="185">
        <f t="shared" si="34"/>
        <v>24</v>
      </c>
      <c r="N117" s="155">
        <f t="shared" si="35"/>
        <v>0</v>
      </c>
      <c r="O117" s="155">
        <f t="shared" si="35"/>
        <v>24</v>
      </c>
      <c r="P117" s="156">
        <v>0</v>
      </c>
      <c r="Q117" s="156"/>
      <c r="R117" s="157" t="e">
        <f>#REF!*P117</f>
        <v>#REF!</v>
      </c>
      <c r="S117" s="91">
        <f t="shared" si="26"/>
        <v>0</v>
      </c>
      <c r="T117" s="91"/>
      <c r="U117" s="91"/>
      <c r="V117" s="91">
        <f t="shared" si="27"/>
        <v>24</v>
      </c>
      <c r="W117" s="91"/>
      <c r="X117" s="91">
        <f>12+6+6</f>
        <v>24</v>
      </c>
      <c r="Y117" s="58">
        <f t="shared" si="28"/>
        <v>100</v>
      </c>
      <c r="Z117" s="58">
        <f t="shared" si="28"/>
        <v>0</v>
      </c>
      <c r="AA117" s="58">
        <f t="shared" si="28"/>
        <v>100</v>
      </c>
      <c r="AB117" s="91"/>
      <c r="AC117" s="58" t="e">
        <f>#REF!*P117</f>
        <v>#REF!</v>
      </c>
      <c r="AD117" s="158">
        <f t="shared" si="29"/>
        <v>0</v>
      </c>
      <c r="AE117" s="58">
        <f t="shared" si="30"/>
        <v>0</v>
      </c>
      <c r="AF117" s="58" t="e">
        <f>#REF!*P117</f>
        <v>#REF!</v>
      </c>
      <c r="AG117" s="58">
        <f t="shared" si="31"/>
        <v>0</v>
      </c>
      <c r="AH117" s="58"/>
      <c r="AI117" s="58"/>
      <c r="AJ117" s="58">
        <f t="shared" si="32"/>
        <v>0</v>
      </c>
      <c r="AK117" s="58">
        <f t="shared" si="33"/>
        <v>0</v>
      </c>
      <c r="AL117" s="58">
        <f t="shared" si="33"/>
        <v>0</v>
      </c>
      <c r="AM117" s="159"/>
    </row>
    <row r="118" spans="1:39" ht="20.25" customHeight="1">
      <c r="A118" s="151">
        <v>73</v>
      </c>
      <c r="B118" s="186" t="s">
        <v>467</v>
      </c>
      <c r="C118" s="186" t="s">
        <v>350</v>
      </c>
      <c r="D118" s="153">
        <f t="shared" ref="D118:D149" si="36">F118+E118</f>
        <v>125</v>
      </c>
      <c r="E118" s="161"/>
      <c r="F118" s="184">
        <v>125</v>
      </c>
      <c r="G118" s="154">
        <f t="shared" si="24"/>
        <v>140</v>
      </c>
      <c r="H118" s="154"/>
      <c r="I118" s="171">
        <v>140</v>
      </c>
      <c r="J118" s="182">
        <f t="shared" ref="J118:J149" si="37">K118+L118</f>
        <v>10</v>
      </c>
      <c r="K118" s="161"/>
      <c r="L118" s="184">
        <v>10</v>
      </c>
      <c r="M118" s="185">
        <f t="shared" si="34"/>
        <v>275</v>
      </c>
      <c r="N118" s="155">
        <f t="shared" si="35"/>
        <v>0</v>
      </c>
      <c r="O118" s="155">
        <f t="shared" si="35"/>
        <v>275</v>
      </c>
      <c r="P118" s="156">
        <v>0</v>
      </c>
      <c r="Q118" s="156"/>
      <c r="R118" s="157" t="e">
        <f>#REF!*P118</f>
        <v>#REF!</v>
      </c>
      <c r="S118" s="91">
        <f t="shared" ref="S118:S149" si="38">T118+U118</f>
        <v>0</v>
      </c>
      <c r="T118" s="91"/>
      <c r="U118" s="91"/>
      <c r="V118" s="91">
        <f t="shared" si="27"/>
        <v>275</v>
      </c>
      <c r="W118" s="91"/>
      <c r="X118" s="91">
        <f>72+12+12+12+12+5+54+6+90</f>
        <v>275</v>
      </c>
      <c r="Y118" s="58">
        <f t="shared" ref="Y118:AA147" si="39">IF(M118&gt;0,ROUND((V118/M118)*100,0),0)</f>
        <v>100</v>
      </c>
      <c r="Z118" s="58">
        <f t="shared" si="39"/>
        <v>0</v>
      </c>
      <c r="AA118" s="58">
        <f t="shared" si="39"/>
        <v>100</v>
      </c>
      <c r="AB118" s="91"/>
      <c r="AC118" s="58" t="e">
        <f>#REF!*P118</f>
        <v>#REF!</v>
      </c>
      <c r="AD118" s="158">
        <f t="shared" si="29"/>
        <v>0</v>
      </c>
      <c r="AE118" s="58">
        <f t="shared" ref="AE118:AE149" si="40">W118-AB118</f>
        <v>0</v>
      </c>
      <c r="AF118" s="58" t="e">
        <f>#REF!*P118</f>
        <v>#REF!</v>
      </c>
      <c r="AG118" s="58">
        <f t="shared" si="31"/>
        <v>0</v>
      </c>
      <c r="AH118" s="58"/>
      <c r="AI118" s="58"/>
      <c r="AJ118" s="58">
        <f t="shared" ref="AJ118:AJ149" si="41">AK118+AL118</f>
        <v>0</v>
      </c>
      <c r="AK118" s="58">
        <f t="shared" ref="AK118:AL147" si="42">N118-W118</f>
        <v>0</v>
      </c>
      <c r="AL118" s="58">
        <f t="shared" si="42"/>
        <v>0</v>
      </c>
      <c r="AM118" s="159"/>
    </row>
    <row r="119" spans="1:39" ht="33.75" customHeight="1">
      <c r="A119" s="151">
        <v>74</v>
      </c>
      <c r="B119" s="186" t="s">
        <v>468</v>
      </c>
      <c r="C119" s="186" t="s">
        <v>469</v>
      </c>
      <c r="D119" s="153">
        <f t="shared" si="36"/>
        <v>0</v>
      </c>
      <c r="E119" s="161"/>
      <c r="F119" s="184"/>
      <c r="G119" s="154">
        <f t="shared" si="24"/>
        <v>0</v>
      </c>
      <c r="H119" s="154"/>
      <c r="I119" s="171"/>
      <c r="J119" s="182">
        <f t="shared" si="37"/>
        <v>247</v>
      </c>
      <c r="K119" s="161">
        <v>46</v>
      </c>
      <c r="L119" s="184">
        <v>201</v>
      </c>
      <c r="M119" s="185">
        <f t="shared" ref="M119:M149" si="43">N119+O119</f>
        <v>247</v>
      </c>
      <c r="N119" s="155">
        <f t="shared" ref="N119:O134" si="44">E119+H119+K119</f>
        <v>46</v>
      </c>
      <c r="O119" s="155">
        <f t="shared" si="44"/>
        <v>201</v>
      </c>
      <c r="P119" s="156">
        <v>0</v>
      </c>
      <c r="Q119" s="156"/>
      <c r="R119" s="157" t="e">
        <f>#REF!*P119</f>
        <v>#REF!</v>
      </c>
      <c r="S119" s="91">
        <f t="shared" si="38"/>
        <v>57</v>
      </c>
      <c r="T119" s="91"/>
      <c r="U119" s="91">
        <v>57</v>
      </c>
      <c r="V119" s="91">
        <f t="shared" si="27"/>
        <v>247</v>
      </c>
      <c r="W119" s="91">
        <v>46</v>
      </c>
      <c r="X119" s="91">
        <f>96+6+42+57</f>
        <v>201</v>
      </c>
      <c r="Y119" s="58">
        <f t="shared" si="39"/>
        <v>100</v>
      </c>
      <c r="Z119" s="58">
        <f t="shared" si="39"/>
        <v>100</v>
      </c>
      <c r="AA119" s="58">
        <f t="shared" si="39"/>
        <v>100</v>
      </c>
      <c r="AB119" s="91">
        <f>46</f>
        <v>46</v>
      </c>
      <c r="AC119" s="58" t="e">
        <f>#REF!*P119</f>
        <v>#REF!</v>
      </c>
      <c r="AD119" s="158">
        <f t="shared" si="29"/>
        <v>19</v>
      </c>
      <c r="AE119" s="58">
        <f t="shared" si="40"/>
        <v>0</v>
      </c>
      <c r="AF119" s="58" t="e">
        <f>#REF!*P119</f>
        <v>#REF!</v>
      </c>
      <c r="AG119" s="58">
        <f t="shared" si="31"/>
        <v>0</v>
      </c>
      <c r="AH119" s="58"/>
      <c r="AI119" s="58"/>
      <c r="AJ119" s="58">
        <f t="shared" si="41"/>
        <v>0</v>
      </c>
      <c r="AK119" s="58">
        <f t="shared" si="42"/>
        <v>0</v>
      </c>
      <c r="AL119" s="58">
        <f t="shared" si="42"/>
        <v>0</v>
      </c>
      <c r="AM119" s="159"/>
    </row>
    <row r="120" spans="1:39" ht="20.25" customHeight="1">
      <c r="A120" s="151">
        <v>75</v>
      </c>
      <c r="B120" s="168" t="s">
        <v>470</v>
      </c>
      <c r="C120" s="168"/>
      <c r="D120" s="153">
        <f t="shared" si="36"/>
        <v>144</v>
      </c>
      <c r="E120" s="161"/>
      <c r="F120" s="184">
        <v>144</v>
      </c>
      <c r="G120" s="154">
        <f t="shared" si="24"/>
        <v>207</v>
      </c>
      <c r="H120" s="154"/>
      <c r="I120" s="171">
        <v>207</v>
      </c>
      <c r="J120" s="182">
        <f t="shared" si="37"/>
        <v>0</v>
      </c>
      <c r="K120" s="161"/>
      <c r="L120" s="184"/>
      <c r="M120" s="185">
        <f t="shared" si="43"/>
        <v>351</v>
      </c>
      <c r="N120" s="155">
        <f t="shared" si="44"/>
        <v>0</v>
      </c>
      <c r="O120" s="155">
        <f t="shared" si="44"/>
        <v>351</v>
      </c>
      <c r="P120" s="156">
        <v>0</v>
      </c>
      <c r="Q120" s="156"/>
      <c r="R120" s="157" t="e">
        <f>#REF!*P120</f>
        <v>#REF!</v>
      </c>
      <c r="S120" s="91">
        <f t="shared" si="38"/>
        <v>0</v>
      </c>
      <c r="T120" s="91"/>
      <c r="U120" s="91"/>
      <c r="V120" s="91">
        <f t="shared" si="27"/>
        <v>351</v>
      </c>
      <c r="W120" s="91"/>
      <c r="X120" s="91">
        <f>30+30+66+6+12+7+66+134</f>
        <v>351</v>
      </c>
      <c r="Y120" s="58">
        <f t="shared" si="39"/>
        <v>100</v>
      </c>
      <c r="Z120" s="58">
        <f t="shared" si="39"/>
        <v>0</v>
      </c>
      <c r="AA120" s="58">
        <f t="shared" si="39"/>
        <v>100</v>
      </c>
      <c r="AB120" s="91"/>
      <c r="AC120" s="58" t="e">
        <f>#REF!*P120</f>
        <v>#REF!</v>
      </c>
      <c r="AD120" s="158">
        <f t="shared" si="29"/>
        <v>0</v>
      </c>
      <c r="AE120" s="58">
        <f t="shared" si="40"/>
        <v>0</v>
      </c>
      <c r="AF120" s="58" t="e">
        <f>#REF!*P120</f>
        <v>#REF!</v>
      </c>
      <c r="AG120" s="58">
        <f t="shared" si="31"/>
        <v>0</v>
      </c>
      <c r="AH120" s="58"/>
      <c r="AI120" s="58"/>
      <c r="AJ120" s="58">
        <f t="shared" si="41"/>
        <v>0</v>
      </c>
      <c r="AK120" s="58">
        <f t="shared" si="42"/>
        <v>0</v>
      </c>
      <c r="AL120" s="58">
        <f t="shared" si="42"/>
        <v>0</v>
      </c>
      <c r="AM120" s="159"/>
    </row>
    <row r="121" spans="1:39" ht="20.25" customHeight="1">
      <c r="A121" s="151">
        <v>76</v>
      </c>
      <c r="B121" s="168" t="s">
        <v>471</v>
      </c>
      <c r="C121" s="168"/>
      <c r="D121" s="153">
        <f t="shared" si="36"/>
        <v>0</v>
      </c>
      <c r="E121" s="161"/>
      <c r="F121" s="184"/>
      <c r="G121" s="154">
        <f t="shared" ref="G121:G149" si="45">H121+I121</f>
        <v>2</v>
      </c>
      <c r="H121" s="154"/>
      <c r="I121" s="171">
        <v>2</v>
      </c>
      <c r="J121" s="182">
        <f t="shared" si="37"/>
        <v>0</v>
      </c>
      <c r="K121" s="161"/>
      <c r="L121" s="184"/>
      <c r="M121" s="185">
        <f t="shared" si="43"/>
        <v>2</v>
      </c>
      <c r="N121" s="155">
        <f t="shared" si="44"/>
        <v>0</v>
      </c>
      <c r="O121" s="155">
        <f t="shared" si="44"/>
        <v>2</v>
      </c>
      <c r="P121" s="156">
        <v>0</v>
      </c>
      <c r="Q121" s="156"/>
      <c r="R121" s="157" t="e">
        <f>#REF!*P121</f>
        <v>#REF!</v>
      </c>
      <c r="S121" s="91">
        <f t="shared" si="38"/>
        <v>0</v>
      </c>
      <c r="T121" s="91"/>
      <c r="U121" s="91"/>
      <c r="V121" s="91">
        <f t="shared" ref="V121:V149" si="46">W121+X121</f>
        <v>2</v>
      </c>
      <c r="W121" s="91"/>
      <c r="X121" s="91">
        <v>2</v>
      </c>
      <c r="Y121" s="58">
        <f t="shared" si="39"/>
        <v>100</v>
      </c>
      <c r="Z121" s="58">
        <f t="shared" si="39"/>
        <v>0</v>
      </c>
      <c r="AA121" s="58">
        <f t="shared" si="39"/>
        <v>100</v>
      </c>
      <c r="AB121" s="91"/>
      <c r="AC121" s="58" t="e">
        <f>#REF!*P121</f>
        <v>#REF!</v>
      </c>
      <c r="AD121" s="158">
        <f t="shared" ref="AD121:AD149" si="47">IF(M121&gt;0,ROUND((AB121/M121)*100,0),0)</f>
        <v>0</v>
      </c>
      <c r="AE121" s="58">
        <f t="shared" si="40"/>
        <v>0</v>
      </c>
      <c r="AF121" s="58" t="e">
        <f>#REF!*P121</f>
        <v>#REF!</v>
      </c>
      <c r="AG121" s="58">
        <f t="shared" si="31"/>
        <v>0</v>
      </c>
      <c r="AH121" s="58"/>
      <c r="AI121" s="58"/>
      <c r="AJ121" s="58">
        <f t="shared" si="41"/>
        <v>0</v>
      </c>
      <c r="AK121" s="58">
        <f t="shared" si="42"/>
        <v>0</v>
      </c>
      <c r="AL121" s="58">
        <f t="shared" si="42"/>
        <v>0</v>
      </c>
      <c r="AM121" s="159"/>
    </row>
    <row r="122" spans="1:39" ht="20.25" customHeight="1">
      <c r="A122" s="151">
        <v>77</v>
      </c>
      <c r="B122" s="168" t="s">
        <v>472</v>
      </c>
      <c r="C122" s="168"/>
      <c r="D122" s="153">
        <f t="shared" si="36"/>
        <v>0</v>
      </c>
      <c r="E122" s="161"/>
      <c r="F122" s="184"/>
      <c r="G122" s="154">
        <f t="shared" si="45"/>
        <v>6</v>
      </c>
      <c r="H122" s="154"/>
      <c r="I122" s="171">
        <v>6</v>
      </c>
      <c r="J122" s="182">
        <f t="shared" si="37"/>
        <v>0</v>
      </c>
      <c r="K122" s="161"/>
      <c r="L122" s="184"/>
      <c r="M122" s="185">
        <f t="shared" si="43"/>
        <v>6</v>
      </c>
      <c r="N122" s="155">
        <f t="shared" si="44"/>
        <v>0</v>
      </c>
      <c r="O122" s="155">
        <f t="shared" si="44"/>
        <v>6</v>
      </c>
      <c r="P122" s="156">
        <v>0</v>
      </c>
      <c r="Q122" s="156"/>
      <c r="R122" s="157" t="e">
        <f>#REF!*P122</f>
        <v>#REF!</v>
      </c>
      <c r="S122" s="91">
        <f t="shared" si="38"/>
        <v>0</v>
      </c>
      <c r="T122" s="91"/>
      <c r="U122" s="91"/>
      <c r="V122" s="91">
        <f t="shared" si="46"/>
        <v>6</v>
      </c>
      <c r="W122" s="91"/>
      <c r="X122" s="91">
        <f>6</f>
        <v>6</v>
      </c>
      <c r="Y122" s="58">
        <f t="shared" si="39"/>
        <v>100</v>
      </c>
      <c r="Z122" s="58">
        <f t="shared" si="39"/>
        <v>0</v>
      </c>
      <c r="AA122" s="58">
        <f t="shared" si="39"/>
        <v>100</v>
      </c>
      <c r="AB122" s="91"/>
      <c r="AC122" s="58" t="e">
        <f>#REF!*P122</f>
        <v>#REF!</v>
      </c>
      <c r="AD122" s="158">
        <f t="shared" si="47"/>
        <v>0</v>
      </c>
      <c r="AE122" s="58">
        <f t="shared" si="40"/>
        <v>0</v>
      </c>
      <c r="AF122" s="58" t="e">
        <f>#REF!*P122</f>
        <v>#REF!</v>
      </c>
      <c r="AG122" s="58">
        <f t="shared" si="31"/>
        <v>0</v>
      </c>
      <c r="AH122" s="58"/>
      <c r="AI122" s="58"/>
      <c r="AJ122" s="58">
        <f t="shared" si="41"/>
        <v>0</v>
      </c>
      <c r="AK122" s="58">
        <f t="shared" si="42"/>
        <v>0</v>
      </c>
      <c r="AL122" s="58">
        <f t="shared" si="42"/>
        <v>0</v>
      </c>
      <c r="AM122" s="159"/>
    </row>
    <row r="123" spans="1:39" ht="20.25" customHeight="1">
      <c r="A123" s="151">
        <v>78</v>
      </c>
      <c r="B123" s="168" t="s">
        <v>473</v>
      </c>
      <c r="C123" s="168"/>
      <c r="D123" s="153">
        <f t="shared" si="36"/>
        <v>0</v>
      </c>
      <c r="E123" s="161"/>
      <c r="F123" s="161"/>
      <c r="G123" s="154">
        <f t="shared" si="45"/>
        <v>4</v>
      </c>
      <c r="H123" s="154">
        <v>4</v>
      </c>
      <c r="I123" s="154"/>
      <c r="J123" s="182">
        <f t="shared" si="37"/>
        <v>0</v>
      </c>
      <c r="K123" s="161"/>
      <c r="L123" s="161"/>
      <c r="M123" s="155">
        <f t="shared" si="43"/>
        <v>4</v>
      </c>
      <c r="N123" s="155">
        <f t="shared" si="44"/>
        <v>4</v>
      </c>
      <c r="O123" s="155">
        <f t="shared" si="44"/>
        <v>0</v>
      </c>
      <c r="P123" s="156">
        <v>0</v>
      </c>
      <c r="Q123" s="156"/>
      <c r="R123" s="157" t="e">
        <f>#REF!*P123</f>
        <v>#REF!</v>
      </c>
      <c r="S123" s="91">
        <f t="shared" si="38"/>
        <v>0</v>
      </c>
      <c r="T123" s="91"/>
      <c r="U123" s="91"/>
      <c r="V123" s="91">
        <f t="shared" si="46"/>
        <v>4</v>
      </c>
      <c r="W123" s="91">
        <v>4</v>
      </c>
      <c r="X123" s="91"/>
      <c r="Y123" s="58">
        <f t="shared" si="39"/>
        <v>100</v>
      </c>
      <c r="Z123" s="58">
        <f t="shared" si="39"/>
        <v>100</v>
      </c>
      <c r="AA123" s="58">
        <f t="shared" si="39"/>
        <v>0</v>
      </c>
      <c r="AB123" s="91">
        <f>4</f>
        <v>4</v>
      </c>
      <c r="AC123" s="58" t="e">
        <f>#REF!*P123</f>
        <v>#REF!</v>
      </c>
      <c r="AD123" s="158">
        <f t="shared" si="47"/>
        <v>100</v>
      </c>
      <c r="AE123" s="58">
        <f t="shared" si="40"/>
        <v>0</v>
      </c>
      <c r="AF123" s="58" t="e">
        <f>#REF!*P123</f>
        <v>#REF!</v>
      </c>
      <c r="AG123" s="58">
        <f t="shared" si="31"/>
        <v>0</v>
      </c>
      <c r="AH123" s="58"/>
      <c r="AI123" s="58"/>
      <c r="AJ123" s="58">
        <f t="shared" si="41"/>
        <v>0</v>
      </c>
      <c r="AK123" s="58">
        <f t="shared" si="42"/>
        <v>0</v>
      </c>
      <c r="AL123" s="58">
        <f t="shared" si="42"/>
        <v>0</v>
      </c>
      <c r="AM123" s="159"/>
    </row>
    <row r="124" spans="1:39" ht="20.25" customHeight="1">
      <c r="A124" s="151">
        <v>79</v>
      </c>
      <c r="B124" s="186" t="s">
        <v>474</v>
      </c>
      <c r="C124" s="186" t="s">
        <v>475</v>
      </c>
      <c r="D124" s="153">
        <f t="shared" si="36"/>
        <v>113</v>
      </c>
      <c r="E124" s="161">
        <v>113</v>
      </c>
      <c r="F124" s="161"/>
      <c r="G124" s="154">
        <f t="shared" si="45"/>
        <v>8</v>
      </c>
      <c r="H124" s="154">
        <v>8</v>
      </c>
      <c r="I124" s="154"/>
      <c r="J124" s="182">
        <f t="shared" si="37"/>
        <v>0</v>
      </c>
      <c r="K124" s="161"/>
      <c r="L124" s="161"/>
      <c r="M124" s="155">
        <f t="shared" si="43"/>
        <v>121</v>
      </c>
      <c r="N124" s="155">
        <f t="shared" si="44"/>
        <v>121</v>
      </c>
      <c r="O124" s="155">
        <f t="shared" si="44"/>
        <v>0</v>
      </c>
      <c r="P124" s="156">
        <v>0</v>
      </c>
      <c r="Q124" s="156"/>
      <c r="R124" s="157" t="e">
        <f>#REF!*P124</f>
        <v>#REF!</v>
      </c>
      <c r="S124" s="91">
        <f t="shared" si="38"/>
        <v>0</v>
      </c>
      <c r="T124" s="91"/>
      <c r="U124" s="91"/>
      <c r="V124" s="91">
        <f t="shared" si="46"/>
        <v>82</v>
      </c>
      <c r="W124" s="91">
        <f>12+66+4</f>
        <v>82</v>
      </c>
      <c r="X124" s="91"/>
      <c r="Y124" s="58">
        <f t="shared" si="39"/>
        <v>68</v>
      </c>
      <c r="Z124" s="58">
        <f t="shared" si="39"/>
        <v>68</v>
      </c>
      <c r="AA124" s="58">
        <f t="shared" si="39"/>
        <v>0</v>
      </c>
      <c r="AB124" s="189">
        <f>12+66+4</f>
        <v>82</v>
      </c>
      <c r="AC124" s="190" t="e">
        <f>#REF!*P124</f>
        <v>#REF!</v>
      </c>
      <c r="AD124" s="158">
        <f t="shared" si="47"/>
        <v>68</v>
      </c>
      <c r="AE124" s="58">
        <f t="shared" si="40"/>
        <v>0</v>
      </c>
      <c r="AF124" s="58" t="e">
        <f>#REF!*P124</f>
        <v>#REF!</v>
      </c>
      <c r="AG124" s="58">
        <f t="shared" si="31"/>
        <v>0</v>
      </c>
      <c r="AH124" s="58"/>
      <c r="AI124" s="58"/>
      <c r="AJ124" s="58">
        <f t="shared" si="41"/>
        <v>39</v>
      </c>
      <c r="AK124" s="58">
        <f t="shared" si="42"/>
        <v>39</v>
      </c>
      <c r="AL124" s="58">
        <f t="shared" si="42"/>
        <v>0</v>
      </c>
      <c r="AM124" s="159"/>
    </row>
    <row r="125" spans="1:39" ht="20.25" customHeight="1">
      <c r="A125" s="151">
        <v>80</v>
      </c>
      <c r="B125" s="186" t="s">
        <v>476</v>
      </c>
      <c r="C125" s="186" t="s">
        <v>350</v>
      </c>
      <c r="D125" s="153">
        <f t="shared" si="36"/>
        <v>564</v>
      </c>
      <c r="E125" s="161"/>
      <c r="F125" s="184">
        <v>564</v>
      </c>
      <c r="G125" s="154">
        <f t="shared" si="45"/>
        <v>334</v>
      </c>
      <c r="H125" s="154"/>
      <c r="I125" s="171">
        <v>334</v>
      </c>
      <c r="J125" s="182">
        <f t="shared" si="37"/>
        <v>300</v>
      </c>
      <c r="K125" s="161"/>
      <c r="L125" s="184">
        <v>300</v>
      </c>
      <c r="M125" s="185">
        <f t="shared" si="43"/>
        <v>1198</v>
      </c>
      <c r="N125" s="155">
        <f t="shared" si="44"/>
        <v>0</v>
      </c>
      <c r="O125" s="155">
        <f t="shared" si="44"/>
        <v>1198</v>
      </c>
      <c r="P125" s="156">
        <v>0</v>
      </c>
      <c r="Q125" s="156"/>
      <c r="R125" s="157" t="e">
        <f>#REF!*P125</f>
        <v>#REF!</v>
      </c>
      <c r="S125" s="91">
        <f t="shared" si="38"/>
        <v>54</v>
      </c>
      <c r="T125" s="91"/>
      <c r="U125" s="91">
        <v>54</v>
      </c>
      <c r="V125" s="91">
        <f t="shared" si="46"/>
        <v>1182</v>
      </c>
      <c r="W125" s="91"/>
      <c r="X125" s="91">
        <f>144+168+144+96+6+6+90+6+156+90+156+66+54</f>
        <v>1182</v>
      </c>
      <c r="Y125" s="58">
        <f t="shared" si="39"/>
        <v>99</v>
      </c>
      <c r="Z125" s="58">
        <f t="shared" si="39"/>
        <v>0</v>
      </c>
      <c r="AA125" s="58">
        <f t="shared" si="39"/>
        <v>99</v>
      </c>
      <c r="AB125" s="189"/>
      <c r="AC125" s="190" t="e">
        <f>#REF!*P125</f>
        <v>#REF!</v>
      </c>
      <c r="AD125" s="158">
        <f t="shared" si="47"/>
        <v>0</v>
      </c>
      <c r="AE125" s="58">
        <f t="shared" si="40"/>
        <v>0</v>
      </c>
      <c r="AF125" s="58" t="e">
        <f>#REF!*P125</f>
        <v>#REF!</v>
      </c>
      <c r="AG125" s="58">
        <f t="shared" ref="AG125:AG149" si="48">AH125+AI125</f>
        <v>0</v>
      </c>
      <c r="AH125" s="58"/>
      <c r="AI125" s="58"/>
      <c r="AJ125" s="58">
        <f t="shared" si="41"/>
        <v>16</v>
      </c>
      <c r="AK125" s="58">
        <f t="shared" si="42"/>
        <v>0</v>
      </c>
      <c r="AL125" s="58">
        <f t="shared" si="42"/>
        <v>16</v>
      </c>
      <c r="AM125" s="159"/>
    </row>
    <row r="126" spans="1:39" ht="20.25" customHeight="1">
      <c r="A126" s="151">
        <v>81</v>
      </c>
      <c r="B126" s="186" t="s">
        <v>477</v>
      </c>
      <c r="C126" s="186" t="s">
        <v>350</v>
      </c>
      <c r="D126" s="153">
        <f t="shared" si="36"/>
        <v>34</v>
      </c>
      <c r="E126" s="161">
        <v>34</v>
      </c>
      <c r="F126" s="184"/>
      <c r="G126" s="154">
        <f t="shared" si="45"/>
        <v>806</v>
      </c>
      <c r="H126" s="154"/>
      <c r="I126" s="171">
        <v>806</v>
      </c>
      <c r="J126" s="182">
        <f t="shared" si="37"/>
        <v>60</v>
      </c>
      <c r="K126" s="161"/>
      <c r="L126" s="184">
        <v>60</v>
      </c>
      <c r="M126" s="185">
        <f t="shared" si="43"/>
        <v>900</v>
      </c>
      <c r="N126" s="155">
        <f t="shared" si="44"/>
        <v>34</v>
      </c>
      <c r="O126" s="155">
        <f t="shared" si="44"/>
        <v>866</v>
      </c>
      <c r="P126" s="156">
        <v>0</v>
      </c>
      <c r="Q126" s="156"/>
      <c r="R126" s="157" t="e">
        <f>#REF!*P126</f>
        <v>#REF!</v>
      </c>
      <c r="S126" s="91">
        <f t="shared" si="38"/>
        <v>18</v>
      </c>
      <c r="T126" s="91"/>
      <c r="U126" s="91">
        <v>18</v>
      </c>
      <c r="V126" s="91">
        <f t="shared" si="46"/>
        <v>856</v>
      </c>
      <c r="W126" s="91">
        <v>34</v>
      </c>
      <c r="X126" s="91">
        <f>18+96+84+126+132+54+18+6+270+18</f>
        <v>822</v>
      </c>
      <c r="Y126" s="58">
        <f t="shared" si="39"/>
        <v>95</v>
      </c>
      <c r="Z126" s="58">
        <f t="shared" si="39"/>
        <v>100</v>
      </c>
      <c r="AA126" s="58">
        <f t="shared" si="39"/>
        <v>95</v>
      </c>
      <c r="AB126" s="91">
        <v>34</v>
      </c>
      <c r="AC126" s="58" t="e">
        <f>#REF!*P126</f>
        <v>#REF!</v>
      </c>
      <c r="AD126" s="158">
        <f t="shared" si="47"/>
        <v>4</v>
      </c>
      <c r="AE126" s="58">
        <f t="shared" si="40"/>
        <v>0</v>
      </c>
      <c r="AF126" s="58" t="e">
        <f>#REF!*P126</f>
        <v>#REF!</v>
      </c>
      <c r="AG126" s="58">
        <f t="shared" si="48"/>
        <v>0</v>
      </c>
      <c r="AH126" s="58"/>
      <c r="AI126" s="58"/>
      <c r="AJ126" s="58">
        <f t="shared" si="41"/>
        <v>44</v>
      </c>
      <c r="AK126" s="58">
        <f t="shared" si="42"/>
        <v>0</v>
      </c>
      <c r="AL126" s="58">
        <f t="shared" si="42"/>
        <v>44</v>
      </c>
      <c r="AM126" s="159"/>
    </row>
    <row r="127" spans="1:39" ht="20.25" customHeight="1">
      <c r="A127" s="151">
        <v>82</v>
      </c>
      <c r="B127" s="186" t="s">
        <v>478</v>
      </c>
      <c r="C127" s="186"/>
      <c r="D127" s="153">
        <f t="shared" si="36"/>
        <v>0</v>
      </c>
      <c r="E127" s="161"/>
      <c r="F127" s="184"/>
      <c r="G127" s="154">
        <f t="shared" si="45"/>
        <v>11</v>
      </c>
      <c r="H127" s="154"/>
      <c r="I127" s="171">
        <v>11</v>
      </c>
      <c r="J127" s="182">
        <f t="shared" si="37"/>
        <v>0</v>
      </c>
      <c r="K127" s="161"/>
      <c r="L127" s="184"/>
      <c r="M127" s="185">
        <f t="shared" si="43"/>
        <v>11</v>
      </c>
      <c r="N127" s="155">
        <f t="shared" si="44"/>
        <v>0</v>
      </c>
      <c r="O127" s="155">
        <f t="shared" si="44"/>
        <v>11</v>
      </c>
      <c r="P127" s="156">
        <v>0</v>
      </c>
      <c r="Q127" s="156"/>
      <c r="R127" s="157" t="e">
        <f>#REF!*P127</f>
        <v>#REF!</v>
      </c>
      <c r="S127" s="91">
        <f t="shared" si="38"/>
        <v>0</v>
      </c>
      <c r="T127" s="91"/>
      <c r="U127" s="91"/>
      <c r="V127" s="91">
        <f t="shared" si="46"/>
        <v>11</v>
      </c>
      <c r="W127" s="91"/>
      <c r="X127" s="91">
        <f>6+5</f>
        <v>11</v>
      </c>
      <c r="Y127" s="58">
        <f t="shared" si="39"/>
        <v>100</v>
      </c>
      <c r="Z127" s="58">
        <f t="shared" si="39"/>
        <v>0</v>
      </c>
      <c r="AA127" s="58">
        <f t="shared" si="39"/>
        <v>100</v>
      </c>
      <c r="AB127" s="91"/>
      <c r="AC127" s="58" t="e">
        <f>#REF!*P127</f>
        <v>#REF!</v>
      </c>
      <c r="AD127" s="158">
        <f t="shared" si="47"/>
        <v>0</v>
      </c>
      <c r="AE127" s="58">
        <f t="shared" si="40"/>
        <v>0</v>
      </c>
      <c r="AF127" s="58" t="e">
        <f>#REF!*P127</f>
        <v>#REF!</v>
      </c>
      <c r="AG127" s="58">
        <f t="shared" si="48"/>
        <v>0</v>
      </c>
      <c r="AH127" s="58"/>
      <c r="AI127" s="58"/>
      <c r="AJ127" s="58">
        <f t="shared" si="41"/>
        <v>0</v>
      </c>
      <c r="AK127" s="58">
        <f t="shared" si="42"/>
        <v>0</v>
      </c>
      <c r="AL127" s="58">
        <f t="shared" si="42"/>
        <v>0</v>
      </c>
      <c r="AM127" s="159"/>
    </row>
    <row r="128" spans="1:39" ht="20.25" customHeight="1">
      <c r="A128" s="151">
        <v>83</v>
      </c>
      <c r="B128" s="186" t="s">
        <v>479</v>
      </c>
      <c r="C128" s="186"/>
      <c r="D128" s="153">
        <f t="shared" si="36"/>
        <v>0</v>
      </c>
      <c r="E128" s="161"/>
      <c r="F128" s="184"/>
      <c r="G128" s="154">
        <f t="shared" si="45"/>
        <v>56</v>
      </c>
      <c r="H128" s="154"/>
      <c r="I128" s="171">
        <v>56</v>
      </c>
      <c r="J128" s="182">
        <f t="shared" si="37"/>
        <v>0</v>
      </c>
      <c r="K128" s="161"/>
      <c r="L128" s="184"/>
      <c r="M128" s="185">
        <f t="shared" si="43"/>
        <v>56</v>
      </c>
      <c r="N128" s="155">
        <f t="shared" si="44"/>
        <v>0</v>
      </c>
      <c r="O128" s="155">
        <f t="shared" si="44"/>
        <v>56</v>
      </c>
      <c r="P128" s="156">
        <v>0</v>
      </c>
      <c r="Q128" s="156"/>
      <c r="R128" s="157" t="e">
        <f>#REF!*P128</f>
        <v>#REF!</v>
      </c>
      <c r="S128" s="91">
        <f t="shared" si="38"/>
        <v>0</v>
      </c>
      <c r="T128" s="91"/>
      <c r="U128" s="91"/>
      <c r="V128" s="91">
        <f t="shared" si="46"/>
        <v>56</v>
      </c>
      <c r="W128" s="91"/>
      <c r="X128" s="91">
        <f>24+18+6+8</f>
        <v>56</v>
      </c>
      <c r="Y128" s="58">
        <f t="shared" si="39"/>
        <v>100</v>
      </c>
      <c r="Z128" s="58">
        <f t="shared" si="39"/>
        <v>0</v>
      </c>
      <c r="AA128" s="58">
        <f t="shared" si="39"/>
        <v>100</v>
      </c>
      <c r="AB128" s="91"/>
      <c r="AC128" s="58" t="e">
        <f>#REF!*P128</f>
        <v>#REF!</v>
      </c>
      <c r="AD128" s="158">
        <f t="shared" si="47"/>
        <v>0</v>
      </c>
      <c r="AE128" s="58">
        <f t="shared" si="40"/>
        <v>0</v>
      </c>
      <c r="AF128" s="58" t="e">
        <f>#REF!*P128</f>
        <v>#REF!</v>
      </c>
      <c r="AG128" s="58">
        <f t="shared" si="48"/>
        <v>0</v>
      </c>
      <c r="AH128" s="58"/>
      <c r="AI128" s="58"/>
      <c r="AJ128" s="58">
        <f t="shared" si="41"/>
        <v>0</v>
      </c>
      <c r="AK128" s="58">
        <f t="shared" si="42"/>
        <v>0</v>
      </c>
      <c r="AL128" s="58">
        <f t="shared" si="42"/>
        <v>0</v>
      </c>
      <c r="AM128" s="159"/>
    </row>
    <row r="129" spans="1:39" ht="20.25" customHeight="1">
      <c r="A129" s="151">
        <v>84</v>
      </c>
      <c r="B129" s="186" t="s">
        <v>480</v>
      </c>
      <c r="C129" s="186"/>
      <c r="D129" s="153">
        <f t="shared" si="36"/>
        <v>0</v>
      </c>
      <c r="E129" s="161"/>
      <c r="F129" s="184"/>
      <c r="G129" s="154">
        <f t="shared" si="45"/>
        <v>13</v>
      </c>
      <c r="H129" s="154"/>
      <c r="I129" s="171">
        <v>13</v>
      </c>
      <c r="J129" s="182">
        <f t="shared" si="37"/>
        <v>0</v>
      </c>
      <c r="K129" s="161"/>
      <c r="L129" s="184"/>
      <c r="M129" s="185">
        <f t="shared" si="43"/>
        <v>13</v>
      </c>
      <c r="N129" s="155">
        <f t="shared" si="44"/>
        <v>0</v>
      </c>
      <c r="O129" s="155">
        <f t="shared" si="44"/>
        <v>13</v>
      </c>
      <c r="P129" s="156">
        <v>0</v>
      </c>
      <c r="Q129" s="156"/>
      <c r="R129" s="157" t="e">
        <f>#REF!*P129</f>
        <v>#REF!</v>
      </c>
      <c r="S129" s="91">
        <f t="shared" si="38"/>
        <v>0</v>
      </c>
      <c r="T129" s="91"/>
      <c r="U129" s="91"/>
      <c r="V129" s="91">
        <f t="shared" si="46"/>
        <v>13</v>
      </c>
      <c r="W129" s="91"/>
      <c r="X129" s="91">
        <v>13</v>
      </c>
      <c r="Y129" s="58">
        <f t="shared" si="39"/>
        <v>100</v>
      </c>
      <c r="Z129" s="58">
        <f t="shared" si="39"/>
        <v>0</v>
      </c>
      <c r="AA129" s="58">
        <f t="shared" si="39"/>
        <v>100</v>
      </c>
      <c r="AB129" s="91"/>
      <c r="AC129" s="58" t="e">
        <f>#REF!*P129</f>
        <v>#REF!</v>
      </c>
      <c r="AD129" s="158">
        <f t="shared" si="47"/>
        <v>0</v>
      </c>
      <c r="AE129" s="58">
        <f t="shared" si="40"/>
        <v>0</v>
      </c>
      <c r="AF129" s="58" t="e">
        <f>#REF!*P129</f>
        <v>#REF!</v>
      </c>
      <c r="AG129" s="58">
        <f t="shared" si="48"/>
        <v>0</v>
      </c>
      <c r="AH129" s="58"/>
      <c r="AI129" s="58"/>
      <c r="AJ129" s="58">
        <f t="shared" si="41"/>
        <v>0</v>
      </c>
      <c r="AK129" s="58">
        <f t="shared" si="42"/>
        <v>0</v>
      </c>
      <c r="AL129" s="58">
        <f t="shared" si="42"/>
        <v>0</v>
      </c>
      <c r="AM129" s="159"/>
    </row>
    <row r="130" spans="1:39" ht="20.25" customHeight="1">
      <c r="A130" s="151">
        <v>85</v>
      </c>
      <c r="B130" s="186" t="s">
        <v>481</v>
      </c>
      <c r="C130" s="186"/>
      <c r="D130" s="153">
        <f t="shared" si="36"/>
        <v>0</v>
      </c>
      <c r="E130" s="161"/>
      <c r="F130" s="184"/>
      <c r="G130" s="154">
        <f t="shared" si="45"/>
        <v>8</v>
      </c>
      <c r="H130" s="154"/>
      <c r="I130" s="171">
        <v>8</v>
      </c>
      <c r="J130" s="182">
        <f t="shared" si="37"/>
        <v>0</v>
      </c>
      <c r="K130" s="161"/>
      <c r="L130" s="184"/>
      <c r="M130" s="185">
        <f t="shared" si="43"/>
        <v>8</v>
      </c>
      <c r="N130" s="155">
        <f t="shared" si="44"/>
        <v>0</v>
      </c>
      <c r="O130" s="155">
        <f t="shared" si="44"/>
        <v>8</v>
      </c>
      <c r="P130" s="156">
        <v>0</v>
      </c>
      <c r="Q130" s="156"/>
      <c r="R130" s="157" t="e">
        <f>#REF!*P130</f>
        <v>#REF!</v>
      </c>
      <c r="S130" s="91">
        <f t="shared" si="38"/>
        <v>0</v>
      </c>
      <c r="T130" s="91"/>
      <c r="U130" s="91"/>
      <c r="V130" s="91">
        <f t="shared" si="46"/>
        <v>8</v>
      </c>
      <c r="W130" s="91"/>
      <c r="X130" s="91">
        <v>8</v>
      </c>
      <c r="Y130" s="58">
        <f t="shared" si="39"/>
        <v>100</v>
      </c>
      <c r="Z130" s="58">
        <f t="shared" si="39"/>
        <v>0</v>
      </c>
      <c r="AA130" s="58">
        <f t="shared" si="39"/>
        <v>100</v>
      </c>
      <c r="AB130" s="91"/>
      <c r="AC130" s="58" t="e">
        <f>#REF!*P130</f>
        <v>#REF!</v>
      </c>
      <c r="AD130" s="158">
        <f t="shared" si="47"/>
        <v>0</v>
      </c>
      <c r="AE130" s="58">
        <f t="shared" si="40"/>
        <v>0</v>
      </c>
      <c r="AF130" s="58" t="e">
        <f>#REF!*P130</f>
        <v>#REF!</v>
      </c>
      <c r="AG130" s="58">
        <f t="shared" si="48"/>
        <v>0</v>
      </c>
      <c r="AH130" s="58"/>
      <c r="AI130" s="58"/>
      <c r="AJ130" s="58">
        <f t="shared" si="41"/>
        <v>0</v>
      </c>
      <c r="AK130" s="58">
        <f t="shared" si="42"/>
        <v>0</v>
      </c>
      <c r="AL130" s="58">
        <f t="shared" si="42"/>
        <v>0</v>
      </c>
      <c r="AM130" s="159"/>
    </row>
    <row r="131" spans="1:39" ht="20.25" customHeight="1">
      <c r="A131" s="151">
        <v>86</v>
      </c>
      <c r="B131" s="186" t="s">
        <v>482</v>
      </c>
      <c r="C131" s="186"/>
      <c r="D131" s="153">
        <f t="shared" si="36"/>
        <v>0</v>
      </c>
      <c r="E131" s="161"/>
      <c r="F131" s="161"/>
      <c r="G131" s="154">
        <f t="shared" si="45"/>
        <v>16</v>
      </c>
      <c r="H131" s="154"/>
      <c r="I131" s="154">
        <v>16</v>
      </c>
      <c r="J131" s="182">
        <f t="shared" si="37"/>
        <v>0</v>
      </c>
      <c r="K131" s="161"/>
      <c r="L131" s="161"/>
      <c r="M131" s="155">
        <f t="shared" si="43"/>
        <v>16</v>
      </c>
      <c r="N131" s="155">
        <f>E131+H131+K131</f>
        <v>0</v>
      </c>
      <c r="O131" s="155">
        <f t="shared" si="44"/>
        <v>16</v>
      </c>
      <c r="P131" s="156">
        <v>0</v>
      </c>
      <c r="Q131" s="156"/>
      <c r="R131" s="157" t="e">
        <f>#REF!*P131</f>
        <v>#REF!</v>
      </c>
      <c r="S131" s="91">
        <f t="shared" si="38"/>
        <v>0</v>
      </c>
      <c r="T131" s="91"/>
      <c r="U131" s="91"/>
      <c r="V131" s="91">
        <f t="shared" si="46"/>
        <v>16</v>
      </c>
      <c r="W131" s="91"/>
      <c r="X131" s="91">
        <f>12+4</f>
        <v>16</v>
      </c>
      <c r="Y131" s="58">
        <f t="shared" si="39"/>
        <v>100</v>
      </c>
      <c r="Z131" s="58">
        <f t="shared" si="39"/>
        <v>0</v>
      </c>
      <c r="AA131" s="58">
        <f t="shared" si="39"/>
        <v>100</v>
      </c>
      <c r="AB131" s="91"/>
      <c r="AC131" s="58" t="e">
        <f>#REF!*P131</f>
        <v>#REF!</v>
      </c>
      <c r="AD131" s="158">
        <f t="shared" si="47"/>
        <v>0</v>
      </c>
      <c r="AE131" s="58">
        <f t="shared" si="40"/>
        <v>0</v>
      </c>
      <c r="AF131" s="58" t="e">
        <f>#REF!*P131</f>
        <v>#REF!</v>
      </c>
      <c r="AG131" s="58">
        <f t="shared" si="48"/>
        <v>0</v>
      </c>
      <c r="AH131" s="58"/>
      <c r="AI131" s="58"/>
      <c r="AJ131" s="58">
        <f t="shared" si="41"/>
        <v>0</v>
      </c>
      <c r="AK131" s="58">
        <f t="shared" si="42"/>
        <v>0</v>
      </c>
      <c r="AL131" s="58">
        <f t="shared" si="42"/>
        <v>0</v>
      </c>
      <c r="AM131" s="159"/>
    </row>
    <row r="132" spans="1:39" ht="36" customHeight="1">
      <c r="A132" s="151">
        <v>87</v>
      </c>
      <c r="B132" s="186" t="s">
        <v>483</v>
      </c>
      <c r="C132" s="186" t="s">
        <v>484</v>
      </c>
      <c r="D132" s="153">
        <f t="shared" si="36"/>
        <v>198</v>
      </c>
      <c r="E132" s="161"/>
      <c r="F132" s="161">
        <v>198</v>
      </c>
      <c r="G132" s="154">
        <f t="shared" si="45"/>
        <v>1500</v>
      </c>
      <c r="H132" s="154"/>
      <c r="I132" s="154">
        <v>1500</v>
      </c>
      <c r="J132" s="182">
        <f t="shared" si="37"/>
        <v>167</v>
      </c>
      <c r="K132" s="161"/>
      <c r="L132" s="161">
        <f>153+14</f>
        <v>167</v>
      </c>
      <c r="M132" s="155">
        <f t="shared" si="43"/>
        <v>1865</v>
      </c>
      <c r="N132" s="155">
        <f t="shared" si="44"/>
        <v>0</v>
      </c>
      <c r="O132" s="155">
        <f t="shared" si="44"/>
        <v>1865</v>
      </c>
      <c r="P132" s="156">
        <v>0</v>
      </c>
      <c r="Q132" s="156"/>
      <c r="R132" s="157" t="e">
        <f>#REF!*P132</f>
        <v>#REF!</v>
      </c>
      <c r="S132" s="91">
        <f t="shared" si="38"/>
        <v>458</v>
      </c>
      <c r="T132" s="91"/>
      <c r="U132" s="91">
        <f>444+14</f>
        <v>458</v>
      </c>
      <c r="V132" s="91">
        <f t="shared" si="46"/>
        <v>1658</v>
      </c>
      <c r="W132" s="91"/>
      <c r="X132" s="91">
        <f>192+6+30+72+120+18+198+6+6+60+252+120+78+42+444+14</f>
        <v>1658</v>
      </c>
      <c r="Y132" s="58">
        <f t="shared" si="39"/>
        <v>89</v>
      </c>
      <c r="Z132" s="58">
        <f t="shared" si="39"/>
        <v>0</v>
      </c>
      <c r="AA132" s="58">
        <f t="shared" si="39"/>
        <v>89</v>
      </c>
      <c r="AB132" s="91"/>
      <c r="AC132" s="58" t="e">
        <f>#REF!*P132</f>
        <v>#REF!</v>
      </c>
      <c r="AD132" s="158">
        <f t="shared" si="47"/>
        <v>0</v>
      </c>
      <c r="AE132" s="58">
        <f t="shared" si="40"/>
        <v>0</v>
      </c>
      <c r="AF132" s="58" t="e">
        <f>#REF!*P132</f>
        <v>#REF!</v>
      </c>
      <c r="AG132" s="58">
        <f t="shared" si="48"/>
        <v>0</v>
      </c>
      <c r="AH132" s="58"/>
      <c r="AI132" s="58"/>
      <c r="AJ132" s="58">
        <f t="shared" si="41"/>
        <v>207</v>
      </c>
      <c r="AK132" s="58">
        <f t="shared" si="42"/>
        <v>0</v>
      </c>
      <c r="AL132" s="58">
        <f t="shared" si="42"/>
        <v>207</v>
      </c>
      <c r="AM132" s="159"/>
    </row>
    <row r="133" spans="1:39" ht="19.5" customHeight="1">
      <c r="A133" s="151">
        <v>88</v>
      </c>
      <c r="B133" s="191" t="s">
        <v>485</v>
      </c>
      <c r="C133" s="191"/>
      <c r="D133" s="153">
        <f t="shared" si="36"/>
        <v>0</v>
      </c>
      <c r="E133" s="161"/>
      <c r="F133" s="161"/>
      <c r="G133" s="154">
        <f t="shared" si="45"/>
        <v>2</v>
      </c>
      <c r="H133" s="154"/>
      <c r="I133" s="154">
        <v>2</v>
      </c>
      <c r="J133" s="182">
        <f t="shared" si="37"/>
        <v>54</v>
      </c>
      <c r="K133" s="161"/>
      <c r="L133" s="161">
        <f>75-21</f>
        <v>54</v>
      </c>
      <c r="M133" s="155">
        <f t="shared" si="43"/>
        <v>56</v>
      </c>
      <c r="N133" s="155">
        <f t="shared" si="44"/>
        <v>0</v>
      </c>
      <c r="O133" s="155">
        <f t="shared" si="44"/>
        <v>56</v>
      </c>
      <c r="P133" s="156">
        <v>0</v>
      </c>
      <c r="Q133" s="156"/>
      <c r="R133" s="157" t="e">
        <f>#REF!*P133</f>
        <v>#REF!</v>
      </c>
      <c r="S133" s="91">
        <f t="shared" si="38"/>
        <v>0</v>
      </c>
      <c r="T133" s="91"/>
      <c r="U133" s="91"/>
      <c r="V133" s="91">
        <f t="shared" si="46"/>
        <v>56</v>
      </c>
      <c r="W133" s="91"/>
      <c r="X133" s="91">
        <f>54+2</f>
        <v>56</v>
      </c>
      <c r="Y133" s="58">
        <f t="shared" si="39"/>
        <v>100</v>
      </c>
      <c r="Z133" s="58">
        <f t="shared" si="39"/>
        <v>0</v>
      </c>
      <c r="AA133" s="58">
        <f t="shared" si="39"/>
        <v>100</v>
      </c>
      <c r="AB133" s="91"/>
      <c r="AC133" s="58" t="e">
        <f>#REF!*P133</f>
        <v>#REF!</v>
      </c>
      <c r="AD133" s="158">
        <f t="shared" si="47"/>
        <v>0</v>
      </c>
      <c r="AE133" s="58">
        <f t="shared" si="40"/>
        <v>0</v>
      </c>
      <c r="AF133" s="58" t="e">
        <f>#REF!*P133</f>
        <v>#REF!</v>
      </c>
      <c r="AG133" s="58">
        <f t="shared" si="48"/>
        <v>0</v>
      </c>
      <c r="AH133" s="58"/>
      <c r="AI133" s="58"/>
      <c r="AJ133" s="58">
        <f t="shared" si="41"/>
        <v>0</v>
      </c>
      <c r="AK133" s="58">
        <f t="shared" si="42"/>
        <v>0</v>
      </c>
      <c r="AL133" s="58">
        <f t="shared" si="42"/>
        <v>0</v>
      </c>
      <c r="AM133" s="159"/>
    </row>
    <row r="134" spans="1:39" ht="20.25" customHeight="1">
      <c r="A134" s="151">
        <v>89</v>
      </c>
      <c r="B134" s="186" t="s">
        <v>486</v>
      </c>
      <c r="C134" s="186" t="s">
        <v>350</v>
      </c>
      <c r="D134" s="153">
        <f t="shared" si="36"/>
        <v>0</v>
      </c>
      <c r="E134" s="161"/>
      <c r="F134" s="161"/>
      <c r="G134" s="154">
        <f t="shared" si="45"/>
        <v>38</v>
      </c>
      <c r="H134" s="154"/>
      <c r="I134" s="154">
        <v>38</v>
      </c>
      <c r="J134" s="182">
        <f t="shared" si="37"/>
        <v>5</v>
      </c>
      <c r="K134" s="161"/>
      <c r="L134" s="161">
        <v>5</v>
      </c>
      <c r="M134" s="155">
        <f t="shared" si="43"/>
        <v>43</v>
      </c>
      <c r="N134" s="155">
        <f t="shared" si="44"/>
        <v>0</v>
      </c>
      <c r="O134" s="155">
        <f t="shared" si="44"/>
        <v>43</v>
      </c>
      <c r="P134" s="156">
        <v>0</v>
      </c>
      <c r="Q134" s="156"/>
      <c r="R134" s="157" t="e">
        <f>#REF!*P134</f>
        <v>#REF!</v>
      </c>
      <c r="S134" s="91">
        <f t="shared" si="38"/>
        <v>0</v>
      </c>
      <c r="T134" s="91"/>
      <c r="U134" s="91"/>
      <c r="V134" s="91">
        <f t="shared" si="46"/>
        <v>43</v>
      </c>
      <c r="W134" s="91"/>
      <c r="X134" s="91">
        <f>12+18+6+6+1</f>
        <v>43</v>
      </c>
      <c r="Y134" s="58">
        <f t="shared" si="39"/>
        <v>100</v>
      </c>
      <c r="Z134" s="58">
        <f t="shared" si="39"/>
        <v>0</v>
      </c>
      <c r="AA134" s="58">
        <f t="shared" si="39"/>
        <v>100</v>
      </c>
      <c r="AB134" s="91"/>
      <c r="AC134" s="58" t="e">
        <f>#REF!*P134</f>
        <v>#REF!</v>
      </c>
      <c r="AD134" s="158">
        <f t="shared" si="47"/>
        <v>0</v>
      </c>
      <c r="AE134" s="58">
        <f t="shared" si="40"/>
        <v>0</v>
      </c>
      <c r="AF134" s="58" t="e">
        <f>#REF!*P134</f>
        <v>#REF!</v>
      </c>
      <c r="AG134" s="58">
        <f t="shared" si="48"/>
        <v>0</v>
      </c>
      <c r="AH134" s="58"/>
      <c r="AI134" s="58"/>
      <c r="AJ134" s="58">
        <f t="shared" si="41"/>
        <v>0</v>
      </c>
      <c r="AK134" s="58">
        <f t="shared" si="42"/>
        <v>0</v>
      </c>
      <c r="AL134" s="58">
        <f t="shared" si="42"/>
        <v>0</v>
      </c>
      <c r="AM134" s="159"/>
    </row>
    <row r="135" spans="1:39" ht="20.25" customHeight="1">
      <c r="A135" s="151">
        <v>90</v>
      </c>
      <c r="B135" s="186" t="s">
        <v>487</v>
      </c>
      <c r="C135" s="186"/>
      <c r="D135" s="153">
        <f t="shared" si="36"/>
        <v>0</v>
      </c>
      <c r="E135" s="161"/>
      <c r="F135" s="161"/>
      <c r="G135" s="154">
        <f t="shared" si="45"/>
        <v>2</v>
      </c>
      <c r="H135" s="154"/>
      <c r="I135" s="154">
        <v>2</v>
      </c>
      <c r="J135" s="182">
        <f t="shared" si="37"/>
        <v>0</v>
      </c>
      <c r="K135" s="161"/>
      <c r="L135" s="161"/>
      <c r="M135" s="155">
        <f t="shared" si="43"/>
        <v>2</v>
      </c>
      <c r="N135" s="155">
        <f t="shared" ref="N135:O149" si="49">E135+H135+K135</f>
        <v>0</v>
      </c>
      <c r="O135" s="155">
        <f t="shared" si="49"/>
        <v>2</v>
      </c>
      <c r="P135" s="156">
        <v>0</v>
      </c>
      <c r="Q135" s="156"/>
      <c r="R135" s="157" t="e">
        <f>#REF!*P135</f>
        <v>#REF!</v>
      </c>
      <c r="S135" s="91">
        <f t="shared" si="38"/>
        <v>0</v>
      </c>
      <c r="T135" s="91"/>
      <c r="U135" s="91"/>
      <c r="V135" s="91">
        <f t="shared" si="46"/>
        <v>2</v>
      </c>
      <c r="W135" s="91"/>
      <c r="X135" s="91">
        <v>2</v>
      </c>
      <c r="Y135" s="58">
        <f t="shared" si="39"/>
        <v>100</v>
      </c>
      <c r="Z135" s="58">
        <f t="shared" si="39"/>
        <v>0</v>
      </c>
      <c r="AA135" s="58">
        <f t="shared" si="39"/>
        <v>100</v>
      </c>
      <c r="AB135" s="91"/>
      <c r="AC135" s="58" t="e">
        <f>#REF!*P135</f>
        <v>#REF!</v>
      </c>
      <c r="AD135" s="158">
        <f t="shared" si="47"/>
        <v>0</v>
      </c>
      <c r="AE135" s="58">
        <f t="shared" si="40"/>
        <v>0</v>
      </c>
      <c r="AF135" s="58" t="e">
        <f>#REF!*P135</f>
        <v>#REF!</v>
      </c>
      <c r="AG135" s="58">
        <f t="shared" si="48"/>
        <v>0</v>
      </c>
      <c r="AH135" s="58"/>
      <c r="AI135" s="58"/>
      <c r="AJ135" s="58">
        <f t="shared" si="41"/>
        <v>0</v>
      </c>
      <c r="AK135" s="58">
        <f t="shared" si="42"/>
        <v>0</v>
      </c>
      <c r="AL135" s="58">
        <f t="shared" si="42"/>
        <v>0</v>
      </c>
      <c r="AM135" s="159"/>
    </row>
    <row r="136" spans="1:39" ht="20.25" customHeight="1">
      <c r="A136" s="151">
        <v>91</v>
      </c>
      <c r="B136" s="186" t="s">
        <v>488</v>
      </c>
      <c r="C136" s="186"/>
      <c r="D136" s="153">
        <f t="shared" si="36"/>
        <v>18</v>
      </c>
      <c r="E136" s="161"/>
      <c r="F136" s="161">
        <v>18</v>
      </c>
      <c r="G136" s="154">
        <f t="shared" si="45"/>
        <v>207</v>
      </c>
      <c r="H136" s="154"/>
      <c r="I136" s="154">
        <v>207</v>
      </c>
      <c r="J136" s="182">
        <f t="shared" si="37"/>
        <v>0</v>
      </c>
      <c r="K136" s="161"/>
      <c r="L136" s="161"/>
      <c r="M136" s="155">
        <f t="shared" si="43"/>
        <v>225</v>
      </c>
      <c r="N136" s="155">
        <f t="shared" si="49"/>
        <v>0</v>
      </c>
      <c r="O136" s="155">
        <f t="shared" si="49"/>
        <v>225</v>
      </c>
      <c r="P136" s="156">
        <v>0</v>
      </c>
      <c r="Q136" s="156"/>
      <c r="R136" s="157" t="e">
        <f>#REF!*P136</f>
        <v>#REF!</v>
      </c>
      <c r="S136" s="91">
        <f t="shared" si="38"/>
        <v>0</v>
      </c>
      <c r="T136" s="91"/>
      <c r="U136" s="91"/>
      <c r="V136" s="91">
        <f t="shared" si="46"/>
        <v>225</v>
      </c>
      <c r="W136" s="91"/>
      <c r="X136" s="91">
        <f>12+6+7+42+158</f>
        <v>225</v>
      </c>
      <c r="Y136" s="58">
        <f t="shared" si="39"/>
        <v>100</v>
      </c>
      <c r="Z136" s="58">
        <f t="shared" si="39"/>
        <v>0</v>
      </c>
      <c r="AA136" s="58">
        <f t="shared" si="39"/>
        <v>100</v>
      </c>
      <c r="AB136" s="91"/>
      <c r="AC136" s="58" t="e">
        <f>#REF!*P136</f>
        <v>#REF!</v>
      </c>
      <c r="AD136" s="158">
        <f t="shared" si="47"/>
        <v>0</v>
      </c>
      <c r="AE136" s="58">
        <f t="shared" si="40"/>
        <v>0</v>
      </c>
      <c r="AF136" s="58" t="e">
        <f>#REF!*P136</f>
        <v>#REF!</v>
      </c>
      <c r="AG136" s="58">
        <f t="shared" si="48"/>
        <v>0</v>
      </c>
      <c r="AH136" s="58"/>
      <c r="AI136" s="58"/>
      <c r="AJ136" s="58">
        <f t="shared" si="41"/>
        <v>0</v>
      </c>
      <c r="AK136" s="58">
        <f t="shared" si="42"/>
        <v>0</v>
      </c>
      <c r="AL136" s="58">
        <f t="shared" si="42"/>
        <v>0</v>
      </c>
      <c r="AM136" s="159"/>
    </row>
    <row r="137" spans="1:39" ht="20.25" customHeight="1">
      <c r="A137" s="151">
        <v>92</v>
      </c>
      <c r="B137" s="186" t="s">
        <v>489</v>
      </c>
      <c r="C137" s="186"/>
      <c r="D137" s="153">
        <f t="shared" si="36"/>
        <v>0</v>
      </c>
      <c r="E137" s="161"/>
      <c r="F137" s="161"/>
      <c r="G137" s="154">
        <f t="shared" si="45"/>
        <v>24</v>
      </c>
      <c r="H137" s="154"/>
      <c r="I137" s="154">
        <v>24</v>
      </c>
      <c r="J137" s="182">
        <f t="shared" si="37"/>
        <v>0</v>
      </c>
      <c r="K137" s="161"/>
      <c r="L137" s="161"/>
      <c r="M137" s="155">
        <f t="shared" si="43"/>
        <v>24</v>
      </c>
      <c r="N137" s="155">
        <f t="shared" si="49"/>
        <v>0</v>
      </c>
      <c r="O137" s="155">
        <f t="shared" si="49"/>
        <v>24</v>
      </c>
      <c r="P137" s="156">
        <v>0</v>
      </c>
      <c r="Q137" s="156"/>
      <c r="R137" s="157" t="e">
        <f>#REF!*P137</f>
        <v>#REF!</v>
      </c>
      <c r="S137" s="91">
        <f t="shared" si="38"/>
        <v>0</v>
      </c>
      <c r="T137" s="91"/>
      <c r="U137" s="91"/>
      <c r="V137" s="91">
        <f t="shared" si="46"/>
        <v>24</v>
      </c>
      <c r="W137" s="91"/>
      <c r="X137" s="192">
        <f>18+6</f>
        <v>24</v>
      </c>
      <c r="Y137" s="58">
        <f t="shared" si="39"/>
        <v>100</v>
      </c>
      <c r="Z137" s="58">
        <f t="shared" si="39"/>
        <v>0</v>
      </c>
      <c r="AA137" s="58">
        <f t="shared" si="39"/>
        <v>100</v>
      </c>
      <c r="AB137" s="91"/>
      <c r="AC137" s="58" t="e">
        <f>#REF!*P137</f>
        <v>#REF!</v>
      </c>
      <c r="AD137" s="158">
        <f t="shared" si="47"/>
        <v>0</v>
      </c>
      <c r="AE137" s="58">
        <f t="shared" si="40"/>
        <v>0</v>
      </c>
      <c r="AF137" s="58" t="e">
        <f>#REF!*P137</f>
        <v>#REF!</v>
      </c>
      <c r="AG137" s="58">
        <f t="shared" si="48"/>
        <v>0</v>
      </c>
      <c r="AH137" s="58"/>
      <c r="AI137" s="58"/>
      <c r="AJ137" s="58">
        <f t="shared" si="41"/>
        <v>0</v>
      </c>
      <c r="AK137" s="58">
        <f t="shared" si="42"/>
        <v>0</v>
      </c>
      <c r="AL137" s="58">
        <f t="shared" si="42"/>
        <v>0</v>
      </c>
      <c r="AM137" s="159"/>
    </row>
    <row r="138" spans="1:39" ht="20.25" customHeight="1">
      <c r="A138" s="151">
        <v>93</v>
      </c>
      <c r="B138" s="186" t="s">
        <v>490</v>
      </c>
      <c r="C138" s="186"/>
      <c r="D138" s="153">
        <f t="shared" si="36"/>
        <v>0</v>
      </c>
      <c r="E138" s="161"/>
      <c r="F138" s="161"/>
      <c r="G138" s="154">
        <f t="shared" si="45"/>
        <v>40</v>
      </c>
      <c r="H138" s="154"/>
      <c r="I138" s="154">
        <v>40</v>
      </c>
      <c r="J138" s="182">
        <f t="shared" si="37"/>
        <v>0</v>
      </c>
      <c r="K138" s="161"/>
      <c r="L138" s="161"/>
      <c r="M138" s="155">
        <f t="shared" si="43"/>
        <v>40</v>
      </c>
      <c r="N138" s="155">
        <f t="shared" si="49"/>
        <v>0</v>
      </c>
      <c r="O138" s="155">
        <f t="shared" si="49"/>
        <v>40</v>
      </c>
      <c r="P138" s="156">
        <v>0</v>
      </c>
      <c r="Q138" s="156"/>
      <c r="R138" s="157" t="e">
        <f>#REF!*P138</f>
        <v>#REF!</v>
      </c>
      <c r="S138" s="91">
        <f t="shared" si="38"/>
        <v>0</v>
      </c>
      <c r="T138" s="91"/>
      <c r="U138" s="91"/>
      <c r="V138" s="91">
        <f t="shared" si="46"/>
        <v>40</v>
      </c>
      <c r="W138" s="91"/>
      <c r="X138" s="91">
        <f>30+10</f>
        <v>40</v>
      </c>
      <c r="Y138" s="58">
        <f t="shared" si="39"/>
        <v>100</v>
      </c>
      <c r="Z138" s="58">
        <f t="shared" si="39"/>
        <v>0</v>
      </c>
      <c r="AA138" s="58">
        <f t="shared" si="39"/>
        <v>100</v>
      </c>
      <c r="AB138" s="91"/>
      <c r="AC138" s="58" t="e">
        <f>#REF!*P138</f>
        <v>#REF!</v>
      </c>
      <c r="AD138" s="158">
        <f t="shared" si="47"/>
        <v>0</v>
      </c>
      <c r="AE138" s="58">
        <f t="shared" si="40"/>
        <v>0</v>
      </c>
      <c r="AF138" s="58" t="e">
        <f>#REF!*P138</f>
        <v>#REF!</v>
      </c>
      <c r="AG138" s="58">
        <f t="shared" si="48"/>
        <v>0</v>
      </c>
      <c r="AH138" s="58"/>
      <c r="AI138" s="58"/>
      <c r="AJ138" s="58">
        <f t="shared" si="41"/>
        <v>0</v>
      </c>
      <c r="AK138" s="58">
        <f t="shared" si="42"/>
        <v>0</v>
      </c>
      <c r="AL138" s="58">
        <f t="shared" si="42"/>
        <v>0</v>
      </c>
      <c r="AM138" s="159"/>
    </row>
    <row r="139" spans="1:39" ht="20.25" customHeight="1">
      <c r="A139" s="151">
        <v>94</v>
      </c>
      <c r="B139" s="186" t="s">
        <v>491</v>
      </c>
      <c r="C139" s="186"/>
      <c r="D139" s="153">
        <f t="shared" si="36"/>
        <v>0</v>
      </c>
      <c r="E139" s="161"/>
      <c r="F139" s="161"/>
      <c r="G139" s="154">
        <f t="shared" si="45"/>
        <v>10</v>
      </c>
      <c r="H139" s="154"/>
      <c r="I139" s="154">
        <v>10</v>
      </c>
      <c r="J139" s="182">
        <f t="shared" si="37"/>
        <v>0</v>
      </c>
      <c r="K139" s="161"/>
      <c r="L139" s="161"/>
      <c r="M139" s="155">
        <f t="shared" si="43"/>
        <v>10</v>
      </c>
      <c r="N139" s="155">
        <f t="shared" si="49"/>
        <v>0</v>
      </c>
      <c r="O139" s="155">
        <f t="shared" si="49"/>
        <v>10</v>
      </c>
      <c r="P139" s="156">
        <v>0</v>
      </c>
      <c r="Q139" s="156"/>
      <c r="R139" s="157" t="e">
        <f>#REF!*P139</f>
        <v>#REF!</v>
      </c>
      <c r="S139" s="91">
        <f t="shared" si="38"/>
        <v>0</v>
      </c>
      <c r="T139" s="91"/>
      <c r="U139" s="91"/>
      <c r="V139" s="91">
        <f t="shared" si="46"/>
        <v>10</v>
      </c>
      <c r="W139" s="91"/>
      <c r="X139" s="91">
        <f>6+4</f>
        <v>10</v>
      </c>
      <c r="Y139" s="58">
        <f t="shared" si="39"/>
        <v>100</v>
      </c>
      <c r="Z139" s="58">
        <f t="shared" si="39"/>
        <v>0</v>
      </c>
      <c r="AA139" s="58">
        <f t="shared" si="39"/>
        <v>100</v>
      </c>
      <c r="AB139" s="91"/>
      <c r="AC139" s="58" t="e">
        <f>#REF!*P139</f>
        <v>#REF!</v>
      </c>
      <c r="AD139" s="158">
        <f t="shared" si="47"/>
        <v>0</v>
      </c>
      <c r="AE139" s="58">
        <f t="shared" si="40"/>
        <v>0</v>
      </c>
      <c r="AF139" s="58" t="e">
        <f>#REF!*P139</f>
        <v>#REF!</v>
      </c>
      <c r="AG139" s="58">
        <f t="shared" si="48"/>
        <v>0</v>
      </c>
      <c r="AH139" s="58"/>
      <c r="AI139" s="58"/>
      <c r="AJ139" s="58">
        <f t="shared" si="41"/>
        <v>0</v>
      </c>
      <c r="AK139" s="58">
        <f t="shared" si="42"/>
        <v>0</v>
      </c>
      <c r="AL139" s="58">
        <f t="shared" si="42"/>
        <v>0</v>
      </c>
      <c r="AM139" s="159"/>
    </row>
    <row r="140" spans="1:39" ht="20.25" customHeight="1">
      <c r="A140" s="151">
        <v>95</v>
      </c>
      <c r="B140" s="186" t="s">
        <v>492</v>
      </c>
      <c r="C140" s="186"/>
      <c r="D140" s="153">
        <f t="shared" si="36"/>
        <v>0</v>
      </c>
      <c r="E140" s="161"/>
      <c r="F140" s="161"/>
      <c r="G140" s="154">
        <f t="shared" si="45"/>
        <v>1</v>
      </c>
      <c r="H140" s="154"/>
      <c r="I140" s="154">
        <v>1</v>
      </c>
      <c r="J140" s="182">
        <f t="shared" si="37"/>
        <v>0</v>
      </c>
      <c r="K140" s="161"/>
      <c r="L140" s="161"/>
      <c r="M140" s="155">
        <f t="shared" si="43"/>
        <v>1</v>
      </c>
      <c r="N140" s="155">
        <f t="shared" si="49"/>
        <v>0</v>
      </c>
      <c r="O140" s="155">
        <f t="shared" si="49"/>
        <v>1</v>
      </c>
      <c r="P140" s="156">
        <v>0</v>
      </c>
      <c r="Q140" s="156"/>
      <c r="R140" s="157" t="e">
        <f>#REF!*P140</f>
        <v>#REF!</v>
      </c>
      <c r="S140" s="91">
        <f t="shared" si="38"/>
        <v>0</v>
      </c>
      <c r="T140" s="91"/>
      <c r="U140" s="91"/>
      <c r="V140" s="91">
        <f>W140+X140</f>
        <v>1</v>
      </c>
      <c r="W140" s="91"/>
      <c r="X140" s="91">
        <v>1</v>
      </c>
      <c r="Y140" s="58">
        <f t="shared" si="39"/>
        <v>100</v>
      </c>
      <c r="Z140" s="58">
        <f>IF(N140&gt;0,ROUND((W140/N140)*100,0),0)</f>
        <v>0</v>
      </c>
      <c r="AA140" s="58">
        <f t="shared" si="39"/>
        <v>100</v>
      </c>
      <c r="AB140" s="91"/>
      <c r="AC140" s="58" t="e">
        <f>#REF!*P140</f>
        <v>#REF!</v>
      </c>
      <c r="AD140" s="158">
        <f t="shared" si="47"/>
        <v>0</v>
      </c>
      <c r="AE140" s="58">
        <f t="shared" si="40"/>
        <v>0</v>
      </c>
      <c r="AF140" s="58" t="e">
        <f>#REF!*P140</f>
        <v>#REF!</v>
      </c>
      <c r="AG140" s="58">
        <f t="shared" si="48"/>
        <v>0</v>
      </c>
      <c r="AH140" s="58"/>
      <c r="AI140" s="58"/>
      <c r="AJ140" s="58">
        <f t="shared" si="41"/>
        <v>0</v>
      </c>
      <c r="AK140" s="58">
        <f t="shared" si="42"/>
        <v>0</v>
      </c>
      <c r="AL140" s="58">
        <f t="shared" si="42"/>
        <v>0</v>
      </c>
      <c r="AM140" s="159"/>
    </row>
    <row r="141" spans="1:39" ht="20.25" customHeight="1">
      <c r="A141" s="151">
        <v>96</v>
      </c>
      <c r="B141" s="186" t="s">
        <v>493</v>
      </c>
      <c r="C141" s="186"/>
      <c r="D141" s="153">
        <f t="shared" si="36"/>
        <v>0</v>
      </c>
      <c r="E141" s="161"/>
      <c r="F141" s="161"/>
      <c r="G141" s="154">
        <f t="shared" si="45"/>
        <v>37</v>
      </c>
      <c r="H141" s="154"/>
      <c r="I141" s="154">
        <v>37</v>
      </c>
      <c r="J141" s="182">
        <f t="shared" si="37"/>
        <v>0</v>
      </c>
      <c r="K141" s="161"/>
      <c r="L141" s="161"/>
      <c r="M141" s="155">
        <f t="shared" si="43"/>
        <v>37</v>
      </c>
      <c r="N141" s="155">
        <f t="shared" si="49"/>
        <v>0</v>
      </c>
      <c r="O141" s="155">
        <f t="shared" si="49"/>
        <v>37</v>
      </c>
      <c r="P141" s="156">
        <v>0</v>
      </c>
      <c r="Q141" s="156"/>
      <c r="R141" s="157" t="e">
        <f>#REF!*P141</f>
        <v>#REF!</v>
      </c>
      <c r="S141" s="91">
        <f t="shared" si="38"/>
        <v>0</v>
      </c>
      <c r="T141" s="91"/>
      <c r="U141" s="91"/>
      <c r="V141" s="91">
        <f t="shared" si="46"/>
        <v>37</v>
      </c>
      <c r="W141" s="91"/>
      <c r="X141" s="91">
        <f>12+18+7</f>
        <v>37</v>
      </c>
      <c r="Y141" s="58">
        <f t="shared" si="39"/>
        <v>100</v>
      </c>
      <c r="Z141" s="58">
        <f t="shared" si="39"/>
        <v>0</v>
      </c>
      <c r="AA141" s="58">
        <f t="shared" si="39"/>
        <v>100</v>
      </c>
      <c r="AB141" s="91"/>
      <c r="AC141" s="58" t="e">
        <f>#REF!*P141</f>
        <v>#REF!</v>
      </c>
      <c r="AD141" s="158">
        <f t="shared" si="47"/>
        <v>0</v>
      </c>
      <c r="AE141" s="58">
        <f t="shared" si="40"/>
        <v>0</v>
      </c>
      <c r="AF141" s="58" t="e">
        <f>#REF!*P141</f>
        <v>#REF!</v>
      </c>
      <c r="AG141" s="58">
        <f t="shared" si="48"/>
        <v>0</v>
      </c>
      <c r="AH141" s="58"/>
      <c r="AI141" s="58"/>
      <c r="AJ141" s="58">
        <f t="shared" si="41"/>
        <v>0</v>
      </c>
      <c r="AK141" s="58">
        <f t="shared" si="42"/>
        <v>0</v>
      </c>
      <c r="AL141" s="58">
        <f t="shared" si="42"/>
        <v>0</v>
      </c>
      <c r="AM141" s="159"/>
    </row>
    <row r="142" spans="1:39" ht="20.25" customHeight="1">
      <c r="A142" s="151">
        <v>97</v>
      </c>
      <c r="B142" s="186" t="s">
        <v>494</v>
      </c>
      <c r="C142" s="186" t="s">
        <v>350</v>
      </c>
      <c r="D142" s="153">
        <f t="shared" si="36"/>
        <v>0</v>
      </c>
      <c r="E142" s="161"/>
      <c r="F142" s="161"/>
      <c r="G142" s="154">
        <f t="shared" si="45"/>
        <v>700</v>
      </c>
      <c r="H142" s="154">
        <v>700</v>
      </c>
      <c r="I142" s="154"/>
      <c r="J142" s="182">
        <f t="shared" si="37"/>
        <v>100</v>
      </c>
      <c r="K142" s="161">
        <v>100</v>
      </c>
      <c r="L142" s="161"/>
      <c r="M142" s="155">
        <f t="shared" si="43"/>
        <v>800</v>
      </c>
      <c r="N142" s="155">
        <f t="shared" si="49"/>
        <v>800</v>
      </c>
      <c r="O142" s="155">
        <f t="shared" si="49"/>
        <v>0</v>
      </c>
      <c r="P142" s="156">
        <v>0</v>
      </c>
      <c r="Q142" s="156"/>
      <c r="R142" s="157" t="e">
        <f>#REF!*P142</f>
        <v>#REF!</v>
      </c>
      <c r="S142" s="91">
        <f t="shared" si="38"/>
        <v>0</v>
      </c>
      <c r="T142" s="91"/>
      <c r="U142" s="91"/>
      <c r="V142" s="91">
        <f t="shared" si="46"/>
        <v>800</v>
      </c>
      <c r="W142" s="91">
        <f>24+24+96+312+20+50+120+96+34+1+23</f>
        <v>800</v>
      </c>
      <c r="X142" s="91"/>
      <c r="Y142" s="58">
        <f t="shared" si="39"/>
        <v>100</v>
      </c>
      <c r="Z142" s="58">
        <f t="shared" si="39"/>
        <v>100</v>
      </c>
      <c r="AA142" s="58">
        <f t="shared" si="39"/>
        <v>0</v>
      </c>
      <c r="AB142" s="91">
        <f>24+24+96+382+120+96+34+1+23</f>
        <v>800</v>
      </c>
      <c r="AC142" s="58" t="e">
        <f>#REF!*P142</f>
        <v>#REF!</v>
      </c>
      <c r="AD142" s="158">
        <f t="shared" si="47"/>
        <v>100</v>
      </c>
      <c r="AE142" s="58">
        <f t="shared" si="40"/>
        <v>0</v>
      </c>
      <c r="AF142" s="58" t="e">
        <f>#REF!*P142</f>
        <v>#REF!</v>
      </c>
      <c r="AG142" s="58">
        <f t="shared" si="48"/>
        <v>0</v>
      </c>
      <c r="AH142" s="58"/>
      <c r="AI142" s="58"/>
      <c r="AJ142" s="58">
        <f t="shared" si="41"/>
        <v>0</v>
      </c>
      <c r="AK142" s="58">
        <f t="shared" si="42"/>
        <v>0</v>
      </c>
      <c r="AL142" s="58">
        <f t="shared" si="42"/>
        <v>0</v>
      </c>
      <c r="AM142" s="159"/>
    </row>
    <row r="143" spans="1:39" ht="20.25" customHeight="1">
      <c r="A143" s="151">
        <v>98</v>
      </c>
      <c r="B143" s="186" t="s">
        <v>495</v>
      </c>
      <c r="C143" s="186" t="s">
        <v>350</v>
      </c>
      <c r="D143" s="153">
        <f t="shared" si="36"/>
        <v>0</v>
      </c>
      <c r="E143" s="161"/>
      <c r="F143" s="161"/>
      <c r="G143" s="154">
        <f t="shared" si="45"/>
        <v>150</v>
      </c>
      <c r="H143" s="154">
        <v>150</v>
      </c>
      <c r="I143" s="154"/>
      <c r="J143" s="182">
        <f t="shared" si="37"/>
        <v>100</v>
      </c>
      <c r="K143" s="161">
        <v>100</v>
      </c>
      <c r="L143" s="161"/>
      <c r="M143" s="155">
        <f t="shared" si="43"/>
        <v>250</v>
      </c>
      <c r="N143" s="155">
        <f t="shared" si="49"/>
        <v>250</v>
      </c>
      <c r="O143" s="155">
        <f t="shared" si="49"/>
        <v>0</v>
      </c>
      <c r="P143" s="156">
        <v>0</v>
      </c>
      <c r="Q143" s="156"/>
      <c r="R143" s="157" t="e">
        <f>#REF!*P143</f>
        <v>#REF!</v>
      </c>
      <c r="S143" s="91">
        <f t="shared" si="38"/>
        <v>0</v>
      </c>
      <c r="T143" s="91"/>
      <c r="U143" s="91"/>
      <c r="V143" s="91">
        <f t="shared" si="46"/>
        <v>250</v>
      </c>
      <c r="W143" s="91">
        <f>192+58</f>
        <v>250</v>
      </c>
      <c r="X143" s="91"/>
      <c r="Y143" s="58">
        <f t="shared" si="39"/>
        <v>100</v>
      </c>
      <c r="Z143" s="58">
        <f t="shared" si="39"/>
        <v>100</v>
      </c>
      <c r="AA143" s="58">
        <f t="shared" si="39"/>
        <v>0</v>
      </c>
      <c r="AB143" s="91">
        <f>192+58</f>
        <v>250</v>
      </c>
      <c r="AC143" s="58" t="e">
        <f>#REF!*P143</f>
        <v>#REF!</v>
      </c>
      <c r="AD143" s="158">
        <f t="shared" si="47"/>
        <v>100</v>
      </c>
      <c r="AE143" s="58">
        <f t="shared" si="40"/>
        <v>0</v>
      </c>
      <c r="AF143" s="58" t="e">
        <f>#REF!*P143</f>
        <v>#REF!</v>
      </c>
      <c r="AG143" s="58">
        <f t="shared" si="48"/>
        <v>0</v>
      </c>
      <c r="AH143" s="58"/>
      <c r="AI143" s="58"/>
      <c r="AJ143" s="58">
        <f t="shared" si="41"/>
        <v>0</v>
      </c>
      <c r="AK143" s="58">
        <f t="shared" si="42"/>
        <v>0</v>
      </c>
      <c r="AL143" s="58">
        <f t="shared" si="42"/>
        <v>0</v>
      </c>
      <c r="AM143" s="159"/>
    </row>
    <row r="144" spans="1:39" ht="20.25" customHeight="1">
      <c r="A144" s="151">
        <v>99</v>
      </c>
      <c r="B144" s="186" t="s">
        <v>496</v>
      </c>
      <c r="C144" s="186" t="s">
        <v>350</v>
      </c>
      <c r="D144" s="153">
        <f t="shared" si="36"/>
        <v>0</v>
      </c>
      <c r="E144" s="161"/>
      <c r="F144" s="161"/>
      <c r="G144" s="154">
        <f t="shared" si="45"/>
        <v>1000</v>
      </c>
      <c r="H144" s="154">
        <v>1000</v>
      </c>
      <c r="I144" s="154"/>
      <c r="J144" s="182">
        <f t="shared" si="37"/>
        <v>150</v>
      </c>
      <c r="K144" s="161">
        <v>150</v>
      </c>
      <c r="L144" s="161"/>
      <c r="M144" s="155">
        <f t="shared" si="43"/>
        <v>1150</v>
      </c>
      <c r="N144" s="155">
        <f t="shared" si="49"/>
        <v>1150</v>
      </c>
      <c r="O144" s="155">
        <f t="shared" si="49"/>
        <v>0</v>
      </c>
      <c r="P144" s="156">
        <v>0</v>
      </c>
      <c r="Q144" s="156"/>
      <c r="R144" s="157" t="e">
        <f>#REF!*P144</f>
        <v>#REF!</v>
      </c>
      <c r="S144" s="91">
        <f t="shared" si="38"/>
        <v>0</v>
      </c>
      <c r="T144" s="91"/>
      <c r="U144" s="91"/>
      <c r="V144" s="91">
        <f t="shared" si="46"/>
        <v>1150</v>
      </c>
      <c r="W144" s="91">
        <f>24+120+192+118+528+96+48+24</f>
        <v>1150</v>
      </c>
      <c r="X144" s="91"/>
      <c r="Y144" s="58">
        <f t="shared" si="39"/>
        <v>100</v>
      </c>
      <c r="Z144" s="58">
        <f t="shared" si="39"/>
        <v>100</v>
      </c>
      <c r="AA144" s="58">
        <f t="shared" si="39"/>
        <v>0</v>
      </c>
      <c r="AB144" s="91">
        <f>24+120+192+118+528+96+48+24</f>
        <v>1150</v>
      </c>
      <c r="AC144" s="58" t="e">
        <f>#REF!*P144</f>
        <v>#REF!</v>
      </c>
      <c r="AD144" s="158">
        <f t="shared" si="47"/>
        <v>100</v>
      </c>
      <c r="AE144" s="58">
        <f t="shared" si="40"/>
        <v>0</v>
      </c>
      <c r="AF144" s="58" t="e">
        <f>#REF!*P144</f>
        <v>#REF!</v>
      </c>
      <c r="AG144" s="58">
        <f t="shared" si="48"/>
        <v>0</v>
      </c>
      <c r="AH144" s="58"/>
      <c r="AI144" s="58"/>
      <c r="AJ144" s="58">
        <f t="shared" si="41"/>
        <v>0</v>
      </c>
      <c r="AK144" s="58">
        <f t="shared" si="42"/>
        <v>0</v>
      </c>
      <c r="AL144" s="58">
        <f t="shared" si="42"/>
        <v>0</v>
      </c>
      <c r="AM144" s="159"/>
    </row>
    <row r="145" spans="1:39" ht="20.25" customHeight="1">
      <c r="A145" s="151">
        <v>100</v>
      </c>
      <c r="B145" s="186" t="s">
        <v>497</v>
      </c>
      <c r="C145" s="186" t="s">
        <v>374</v>
      </c>
      <c r="D145" s="153">
        <f t="shared" si="36"/>
        <v>0</v>
      </c>
      <c r="E145" s="161"/>
      <c r="F145" s="161"/>
      <c r="G145" s="154">
        <f t="shared" si="45"/>
        <v>0</v>
      </c>
      <c r="H145" s="154"/>
      <c r="I145" s="154"/>
      <c r="J145" s="182">
        <f t="shared" si="37"/>
        <v>400</v>
      </c>
      <c r="K145" s="161">
        <v>400</v>
      </c>
      <c r="L145" s="161"/>
      <c r="M145" s="155">
        <f t="shared" si="43"/>
        <v>400</v>
      </c>
      <c r="N145" s="155">
        <f t="shared" si="49"/>
        <v>400</v>
      </c>
      <c r="O145" s="155">
        <f t="shared" si="49"/>
        <v>0</v>
      </c>
      <c r="P145" s="156">
        <v>0</v>
      </c>
      <c r="Q145" s="156"/>
      <c r="R145" s="157" t="e">
        <f>#REF!*P145</f>
        <v>#REF!</v>
      </c>
      <c r="S145" s="91">
        <f t="shared" si="38"/>
        <v>144</v>
      </c>
      <c r="T145" s="91">
        <v>144</v>
      </c>
      <c r="U145" s="91"/>
      <c r="V145" s="91">
        <f t="shared" si="46"/>
        <v>144</v>
      </c>
      <c r="W145" s="91">
        <f>144</f>
        <v>144</v>
      </c>
      <c r="X145" s="91"/>
      <c r="Y145" s="58">
        <f t="shared" si="39"/>
        <v>36</v>
      </c>
      <c r="Z145" s="58">
        <f t="shared" si="39"/>
        <v>36</v>
      </c>
      <c r="AA145" s="58">
        <f t="shared" si="39"/>
        <v>0</v>
      </c>
      <c r="AB145" s="91"/>
      <c r="AC145" s="58" t="e">
        <f>#REF!*P145</f>
        <v>#REF!</v>
      </c>
      <c r="AD145" s="158">
        <f t="shared" si="47"/>
        <v>0</v>
      </c>
      <c r="AE145" s="58">
        <f t="shared" si="40"/>
        <v>144</v>
      </c>
      <c r="AF145" s="58" t="e">
        <f>#REF!*P145</f>
        <v>#REF!</v>
      </c>
      <c r="AG145" s="58">
        <f t="shared" si="48"/>
        <v>0</v>
      </c>
      <c r="AH145" s="58"/>
      <c r="AI145" s="58"/>
      <c r="AJ145" s="58">
        <f t="shared" si="41"/>
        <v>256</v>
      </c>
      <c r="AK145" s="58">
        <f t="shared" si="42"/>
        <v>256</v>
      </c>
      <c r="AL145" s="58">
        <f t="shared" si="42"/>
        <v>0</v>
      </c>
      <c r="AM145" s="159"/>
    </row>
    <row r="146" spans="1:39" ht="20.25" customHeight="1">
      <c r="A146" s="151">
        <v>101</v>
      </c>
      <c r="B146" s="186" t="s">
        <v>498</v>
      </c>
      <c r="C146" s="186" t="s">
        <v>350</v>
      </c>
      <c r="D146" s="153">
        <f t="shared" si="36"/>
        <v>0</v>
      </c>
      <c r="E146" s="161"/>
      <c r="F146" s="161"/>
      <c r="G146" s="154">
        <f t="shared" si="45"/>
        <v>1</v>
      </c>
      <c r="H146" s="154">
        <v>1</v>
      </c>
      <c r="I146" s="154"/>
      <c r="J146" s="182">
        <f t="shared" si="37"/>
        <v>1300</v>
      </c>
      <c r="K146" s="161">
        <v>1300</v>
      </c>
      <c r="L146" s="161"/>
      <c r="M146" s="155">
        <f t="shared" si="43"/>
        <v>1301</v>
      </c>
      <c r="N146" s="155">
        <f t="shared" si="49"/>
        <v>1301</v>
      </c>
      <c r="O146" s="155">
        <f t="shared" si="49"/>
        <v>0</v>
      </c>
      <c r="P146" s="156">
        <v>0</v>
      </c>
      <c r="Q146" s="156"/>
      <c r="R146" s="157" t="e">
        <f>#REF!*P146</f>
        <v>#REF!</v>
      </c>
      <c r="S146" s="91">
        <f t="shared" si="38"/>
        <v>112</v>
      </c>
      <c r="T146" s="91">
        <f>112</f>
        <v>112</v>
      </c>
      <c r="U146" s="91"/>
      <c r="V146" s="91">
        <f t="shared" si="46"/>
        <v>800</v>
      </c>
      <c r="W146" s="91">
        <f>32+16+40+296+248+56+112</f>
        <v>800</v>
      </c>
      <c r="X146" s="91"/>
      <c r="Y146" s="58">
        <f t="shared" si="39"/>
        <v>61</v>
      </c>
      <c r="Z146" s="58">
        <f t="shared" si="39"/>
        <v>61</v>
      </c>
      <c r="AA146" s="58">
        <f t="shared" si="39"/>
        <v>0</v>
      </c>
      <c r="AB146" s="91">
        <f>32+16+40+296+248+56</f>
        <v>688</v>
      </c>
      <c r="AC146" s="58" t="e">
        <f>#REF!*P146</f>
        <v>#REF!</v>
      </c>
      <c r="AD146" s="158">
        <f t="shared" si="47"/>
        <v>53</v>
      </c>
      <c r="AE146" s="58">
        <f t="shared" si="40"/>
        <v>112</v>
      </c>
      <c r="AF146" s="58" t="e">
        <f>#REF!*P146</f>
        <v>#REF!</v>
      </c>
      <c r="AG146" s="58">
        <f t="shared" si="48"/>
        <v>0</v>
      </c>
      <c r="AH146" s="58"/>
      <c r="AI146" s="58"/>
      <c r="AJ146" s="58">
        <f t="shared" si="41"/>
        <v>501</v>
      </c>
      <c r="AK146" s="58">
        <f t="shared" si="42"/>
        <v>501</v>
      </c>
      <c r="AL146" s="58">
        <f t="shared" si="42"/>
        <v>0</v>
      </c>
      <c r="AM146" s="159"/>
    </row>
    <row r="147" spans="1:39" ht="20.25" customHeight="1">
      <c r="A147" s="151">
        <v>103</v>
      </c>
      <c r="B147" s="186" t="s">
        <v>499</v>
      </c>
      <c r="C147" s="186" t="s">
        <v>350</v>
      </c>
      <c r="D147" s="153">
        <f t="shared" si="36"/>
        <v>0</v>
      </c>
      <c r="E147" s="161"/>
      <c r="F147" s="161"/>
      <c r="G147" s="154">
        <f t="shared" si="45"/>
        <v>0</v>
      </c>
      <c r="H147" s="154"/>
      <c r="I147" s="154"/>
      <c r="J147" s="182">
        <f t="shared" si="37"/>
        <v>500</v>
      </c>
      <c r="K147" s="161">
        <f>499+1</f>
        <v>500</v>
      </c>
      <c r="L147" s="161"/>
      <c r="M147" s="155">
        <f t="shared" si="43"/>
        <v>500</v>
      </c>
      <c r="N147" s="155">
        <f t="shared" si="49"/>
        <v>500</v>
      </c>
      <c r="O147" s="155">
        <f t="shared" si="49"/>
        <v>0</v>
      </c>
      <c r="P147" s="156">
        <v>0</v>
      </c>
      <c r="Q147" s="156"/>
      <c r="R147" s="157" t="e">
        <f>#REF!*P147</f>
        <v>#REF!</v>
      </c>
      <c r="S147" s="91">
        <f t="shared" si="38"/>
        <v>0</v>
      </c>
      <c r="T147" s="91"/>
      <c r="U147" s="91"/>
      <c r="V147" s="91">
        <f t="shared" si="46"/>
        <v>393</v>
      </c>
      <c r="W147" s="91">
        <f>1+40+160+112+80</f>
        <v>393</v>
      </c>
      <c r="X147" s="91"/>
      <c r="Y147" s="58">
        <f t="shared" si="39"/>
        <v>79</v>
      </c>
      <c r="Z147" s="58">
        <f t="shared" si="39"/>
        <v>79</v>
      </c>
      <c r="AA147" s="58">
        <f t="shared" si="39"/>
        <v>0</v>
      </c>
      <c r="AB147" s="91">
        <f>1+40+160+112+80</f>
        <v>393</v>
      </c>
      <c r="AC147" s="58" t="e">
        <f>#REF!*P147</f>
        <v>#REF!</v>
      </c>
      <c r="AD147" s="158">
        <f t="shared" si="47"/>
        <v>79</v>
      </c>
      <c r="AE147" s="58">
        <f t="shared" si="40"/>
        <v>0</v>
      </c>
      <c r="AF147" s="58" t="e">
        <f>#REF!*P147</f>
        <v>#REF!</v>
      </c>
      <c r="AG147" s="58">
        <f t="shared" si="48"/>
        <v>0</v>
      </c>
      <c r="AH147" s="58"/>
      <c r="AI147" s="58"/>
      <c r="AJ147" s="58">
        <f t="shared" si="41"/>
        <v>107</v>
      </c>
      <c r="AK147" s="58">
        <f t="shared" si="42"/>
        <v>107</v>
      </c>
      <c r="AL147" s="58">
        <f t="shared" si="42"/>
        <v>0</v>
      </c>
      <c r="AM147" s="159"/>
    </row>
    <row r="148" spans="1:39" ht="20.25" customHeight="1">
      <c r="A148" s="151">
        <v>104</v>
      </c>
      <c r="B148" s="186" t="s">
        <v>499</v>
      </c>
      <c r="C148" s="186" t="s">
        <v>381</v>
      </c>
      <c r="D148" s="153">
        <f t="shared" si="36"/>
        <v>0</v>
      </c>
      <c r="E148" s="161"/>
      <c r="F148" s="161"/>
      <c r="G148" s="154">
        <f t="shared" si="45"/>
        <v>1000</v>
      </c>
      <c r="H148" s="154">
        <v>1000</v>
      </c>
      <c r="I148" s="154"/>
      <c r="J148" s="182">
        <f t="shared" si="37"/>
        <v>0</v>
      </c>
      <c r="K148" s="161"/>
      <c r="L148" s="161"/>
      <c r="M148" s="155">
        <f t="shared" si="43"/>
        <v>1000</v>
      </c>
      <c r="N148" s="155">
        <f t="shared" si="49"/>
        <v>1000</v>
      </c>
      <c r="O148" s="155">
        <f t="shared" si="49"/>
        <v>0</v>
      </c>
      <c r="P148" s="156">
        <v>0</v>
      </c>
      <c r="Q148" s="156"/>
      <c r="R148" s="157" t="e">
        <f>#REF!*P148</f>
        <v>#REF!</v>
      </c>
      <c r="S148" s="91">
        <f t="shared" si="38"/>
        <v>0</v>
      </c>
      <c r="T148" s="91"/>
      <c r="U148" s="91"/>
      <c r="V148" s="91">
        <f t="shared" si="46"/>
        <v>1000</v>
      </c>
      <c r="W148" s="91">
        <f>120+168+208+232+40+48+40+8+145-9</f>
        <v>1000</v>
      </c>
      <c r="X148" s="91"/>
      <c r="Y148" s="58">
        <f t="shared" ref="Y148:AA149" si="50">IF(M148&gt;0,ROUND((V148/M148)*100,0),0)</f>
        <v>100</v>
      </c>
      <c r="Z148" s="58">
        <f t="shared" si="50"/>
        <v>100</v>
      </c>
      <c r="AA148" s="58">
        <f t="shared" si="50"/>
        <v>0</v>
      </c>
      <c r="AB148" s="91">
        <f>120+168+208+232+40+232</f>
        <v>1000</v>
      </c>
      <c r="AC148" s="58" t="e">
        <f>#REF!*P148</f>
        <v>#REF!</v>
      </c>
      <c r="AD148" s="158">
        <f t="shared" si="47"/>
        <v>100</v>
      </c>
      <c r="AE148" s="79">
        <f t="shared" si="40"/>
        <v>0</v>
      </c>
      <c r="AF148" s="58" t="e">
        <f>#REF!*P148</f>
        <v>#REF!</v>
      </c>
      <c r="AG148" s="58">
        <f t="shared" si="48"/>
        <v>0</v>
      </c>
      <c r="AH148" s="58"/>
      <c r="AI148" s="58"/>
      <c r="AJ148" s="58">
        <f t="shared" si="41"/>
        <v>0</v>
      </c>
      <c r="AK148" s="58">
        <f t="shared" ref="AK148:AL149" si="51">N148-W148</f>
        <v>0</v>
      </c>
      <c r="AL148" s="58">
        <f t="shared" si="51"/>
        <v>0</v>
      </c>
      <c r="AM148" s="159"/>
    </row>
    <row r="149" spans="1:39" ht="20.25" customHeight="1">
      <c r="A149" s="151">
        <v>105</v>
      </c>
      <c r="B149" s="186" t="s">
        <v>499</v>
      </c>
      <c r="C149" s="186"/>
      <c r="D149" s="153">
        <f t="shared" si="36"/>
        <v>0</v>
      </c>
      <c r="E149" s="161"/>
      <c r="F149" s="161"/>
      <c r="G149" s="154">
        <f t="shared" si="45"/>
        <v>9</v>
      </c>
      <c r="H149" s="154">
        <v>9</v>
      </c>
      <c r="I149" s="154"/>
      <c r="J149" s="182">
        <f t="shared" si="37"/>
        <v>0</v>
      </c>
      <c r="K149" s="161"/>
      <c r="L149" s="161"/>
      <c r="M149" s="155">
        <f t="shared" si="43"/>
        <v>9</v>
      </c>
      <c r="N149" s="155">
        <f t="shared" si="49"/>
        <v>9</v>
      </c>
      <c r="O149" s="155">
        <f t="shared" si="49"/>
        <v>0</v>
      </c>
      <c r="P149" s="156">
        <v>0</v>
      </c>
      <c r="Q149" s="156"/>
      <c r="R149" s="157" t="e">
        <f>#REF!*P149</f>
        <v>#REF!</v>
      </c>
      <c r="S149" s="91">
        <f t="shared" si="38"/>
        <v>0</v>
      </c>
      <c r="T149" s="91"/>
      <c r="U149" s="91"/>
      <c r="V149" s="91">
        <f t="shared" si="46"/>
        <v>9</v>
      </c>
      <c r="W149" s="91">
        <v>9</v>
      </c>
      <c r="X149" s="91"/>
      <c r="Y149" s="58">
        <f t="shared" si="50"/>
        <v>100</v>
      </c>
      <c r="Z149" s="58">
        <f t="shared" si="50"/>
        <v>100</v>
      </c>
      <c r="AA149" s="58">
        <f t="shared" si="50"/>
        <v>0</v>
      </c>
      <c r="AB149" s="91">
        <f>9</f>
        <v>9</v>
      </c>
      <c r="AC149" s="58" t="e">
        <f>#REF!*P149</f>
        <v>#REF!</v>
      </c>
      <c r="AD149" s="158">
        <f t="shared" si="47"/>
        <v>100</v>
      </c>
      <c r="AE149" s="79">
        <f t="shared" si="40"/>
        <v>0</v>
      </c>
      <c r="AF149" s="58" t="e">
        <f>#REF!*P149</f>
        <v>#REF!</v>
      </c>
      <c r="AG149" s="58">
        <f t="shared" si="48"/>
        <v>0</v>
      </c>
      <c r="AH149" s="58"/>
      <c r="AI149" s="58"/>
      <c r="AJ149" s="58">
        <f t="shared" si="41"/>
        <v>0</v>
      </c>
      <c r="AK149" s="58">
        <f t="shared" si="51"/>
        <v>0</v>
      </c>
      <c r="AL149" s="58">
        <f t="shared" si="51"/>
        <v>0</v>
      </c>
      <c r="AM149" s="159"/>
    </row>
    <row r="150" spans="1:39" ht="20.25" customHeight="1">
      <c r="A150" s="51"/>
      <c r="B150" s="193" t="s">
        <v>500</v>
      </c>
      <c r="C150" s="194"/>
      <c r="D150" s="174">
        <f t="shared" ref="D150:O150" si="52">SUM(D46:D149)</f>
        <v>7039</v>
      </c>
      <c r="E150" s="174">
        <f t="shared" si="52"/>
        <v>5395</v>
      </c>
      <c r="F150" s="174">
        <f t="shared" si="52"/>
        <v>1644</v>
      </c>
      <c r="G150" s="174">
        <f t="shared" si="52"/>
        <v>30458</v>
      </c>
      <c r="H150" s="174">
        <f t="shared" si="52"/>
        <v>24301</v>
      </c>
      <c r="I150" s="174">
        <f t="shared" si="52"/>
        <v>6157</v>
      </c>
      <c r="J150" s="174">
        <f t="shared" si="52"/>
        <v>4801</v>
      </c>
      <c r="K150" s="174">
        <f t="shared" si="52"/>
        <v>3611</v>
      </c>
      <c r="L150" s="174">
        <f t="shared" si="52"/>
        <v>1190</v>
      </c>
      <c r="M150" s="194">
        <f t="shared" si="52"/>
        <v>42298</v>
      </c>
      <c r="N150" s="175">
        <f t="shared" si="52"/>
        <v>33307</v>
      </c>
      <c r="O150" s="175">
        <f t="shared" si="52"/>
        <v>8991</v>
      </c>
      <c r="P150" s="156"/>
      <c r="Q150" s="176"/>
      <c r="R150" s="177" t="e">
        <f t="shared" ref="R150:X150" si="53">SUM(R46:R149)</f>
        <v>#REF!</v>
      </c>
      <c r="S150" s="178">
        <f t="shared" si="53"/>
        <v>873</v>
      </c>
      <c r="T150" s="178">
        <f t="shared" si="53"/>
        <v>286</v>
      </c>
      <c r="U150" s="178">
        <f t="shared" si="53"/>
        <v>587</v>
      </c>
      <c r="V150" s="178">
        <f t="shared" si="53"/>
        <v>40951</v>
      </c>
      <c r="W150" s="178">
        <f t="shared" si="53"/>
        <v>32227</v>
      </c>
      <c r="X150" s="178">
        <f t="shared" si="53"/>
        <v>8724</v>
      </c>
      <c r="Y150" s="58">
        <f>IF(M150&gt;0,ROUND((V150/M150)*100,0),0)</f>
        <v>97</v>
      </c>
      <c r="Z150" s="58">
        <f>IF(N150&gt;0,ROUND((W150/N150)*100,0),0)</f>
        <v>97</v>
      </c>
      <c r="AA150" s="58">
        <f>IF(O150&gt;0,ROUND((X150/O150)*100,0),0)</f>
        <v>97</v>
      </c>
      <c r="AB150" s="195">
        <f>SUM(AB46:AB149)</f>
        <v>31941</v>
      </c>
      <c r="AC150" s="195" t="e">
        <f>SUM(AC46:AC149)</f>
        <v>#REF!</v>
      </c>
      <c r="AD150" s="158">
        <f>IF(N150&gt;0,ROUND((AB150/N150)*100,0),0)</f>
        <v>96</v>
      </c>
      <c r="AE150" s="195">
        <f t="shared" ref="AE150:AL150" si="54">SUM(AE46:AE149)</f>
        <v>286</v>
      </c>
      <c r="AF150" s="195" t="e">
        <f t="shared" si="54"/>
        <v>#REF!</v>
      </c>
      <c r="AG150" s="195">
        <f t="shared" si="54"/>
        <v>0</v>
      </c>
      <c r="AH150" s="195">
        <f t="shared" si="54"/>
        <v>0</v>
      </c>
      <c r="AI150" s="195">
        <f t="shared" si="54"/>
        <v>0</v>
      </c>
      <c r="AJ150" s="195">
        <f t="shared" si="54"/>
        <v>1347</v>
      </c>
      <c r="AK150" s="195">
        <f t="shared" si="54"/>
        <v>1080</v>
      </c>
      <c r="AL150" s="195">
        <f t="shared" si="54"/>
        <v>267</v>
      </c>
      <c r="AM150" s="159"/>
    </row>
    <row r="151" spans="1:39" ht="20.25" customHeight="1">
      <c r="A151" s="196"/>
      <c r="B151" s="197"/>
      <c r="C151" s="198"/>
      <c r="D151" s="199"/>
      <c r="E151" s="199"/>
      <c r="F151" s="199"/>
      <c r="G151" s="199"/>
      <c r="H151" s="199"/>
      <c r="I151" s="199"/>
      <c r="J151" s="199"/>
      <c r="K151" s="199"/>
      <c r="L151" s="199"/>
      <c r="M151" s="200"/>
      <c r="N151" s="155"/>
      <c r="O151" s="155"/>
      <c r="P151" s="179"/>
      <c r="Q151" s="201"/>
      <c r="R151" s="58"/>
      <c r="S151" s="58"/>
      <c r="T151" s="58"/>
      <c r="U151" s="58"/>
      <c r="V151" s="58"/>
      <c r="W151" s="58"/>
      <c r="X151" s="58"/>
      <c r="Y151" s="58"/>
      <c r="Z151" s="58"/>
      <c r="AA151" s="58"/>
      <c r="AB151" s="58"/>
      <c r="AC151" s="58"/>
      <c r="AD151" s="58"/>
      <c r="AE151" s="58"/>
      <c r="AF151" s="178"/>
      <c r="AG151" s="178"/>
      <c r="AH151" s="178"/>
      <c r="AI151" s="178"/>
      <c r="AJ151" s="181">
        <f xml:space="preserve"> IF($W$4&gt;0,AJ150/$W$4,0)</f>
        <v>1347</v>
      </c>
      <c r="AK151" s="181">
        <f xml:space="preserve"> IF($W$4&gt;0,AK150/$W$4,0)</f>
        <v>1080</v>
      </c>
      <c r="AL151" s="181">
        <f xml:space="preserve"> IF($W$4&gt;0,AL150/$W$4,0)</f>
        <v>267</v>
      </c>
      <c r="AM151" s="159"/>
    </row>
    <row r="152" spans="1:39" ht="20.25" customHeight="1">
      <c r="A152" s="202" t="s">
        <v>501</v>
      </c>
      <c r="B152" s="203"/>
      <c r="C152" s="204"/>
      <c r="D152" s="205"/>
      <c r="E152" s="205"/>
      <c r="F152" s="205"/>
      <c r="G152" s="205"/>
      <c r="H152" s="205"/>
      <c r="I152" s="205"/>
      <c r="J152" s="205"/>
      <c r="K152" s="205"/>
      <c r="L152" s="205"/>
      <c r="M152" s="206">
        <f>M43+M150</f>
        <v>122909</v>
      </c>
      <c r="N152" s="207">
        <f>N43+N150</f>
        <v>104306</v>
      </c>
      <c r="O152" s="207">
        <f>O43+O150</f>
        <v>18603</v>
      </c>
      <c r="P152" s="208"/>
      <c r="Q152" s="209"/>
      <c r="R152" s="207" t="e">
        <f t="shared" ref="R152:W152" si="55">R43+R150</f>
        <v>#REF!</v>
      </c>
      <c r="S152" s="210">
        <f t="shared" si="55"/>
        <v>2265</v>
      </c>
      <c r="T152" s="210">
        <f t="shared" si="55"/>
        <v>1414</v>
      </c>
      <c r="U152" s="210">
        <f t="shared" si="55"/>
        <v>851</v>
      </c>
      <c r="V152" s="210">
        <f t="shared" si="55"/>
        <v>120318</v>
      </c>
      <c r="W152" s="210">
        <f t="shared" si="55"/>
        <v>102214</v>
      </c>
      <c r="X152" s="210">
        <f>X43+X150</f>
        <v>18104</v>
      </c>
      <c r="Y152" s="58">
        <f>IF(M152&gt;0,ROUND((V152/M152)*100,0),0)</f>
        <v>98</v>
      </c>
      <c r="Z152" s="58">
        <f>IF(N152&gt;0,ROUND((W152/N152)*100,0),0)</f>
        <v>98</v>
      </c>
      <c r="AA152" s="58">
        <f>IF(O152&gt;0,ROUND((X152/O152)*100,0),0)</f>
        <v>97</v>
      </c>
      <c r="AB152" s="195">
        <f>AB43+AB150</f>
        <v>100872</v>
      </c>
      <c r="AC152" s="195" t="e">
        <f>AC43+AC150</f>
        <v>#REF!</v>
      </c>
      <c r="AD152" s="158">
        <f>IF(N152&gt;0,ROUND((AB152/N152)*100,0),0)</f>
        <v>97</v>
      </c>
      <c r="AE152" s="195">
        <f t="shared" ref="AE152:AL152" si="56">AE43+AE150</f>
        <v>1342</v>
      </c>
      <c r="AF152" s="195" t="e">
        <f t="shared" si="56"/>
        <v>#REF!</v>
      </c>
      <c r="AG152" s="195">
        <f t="shared" si="56"/>
        <v>0</v>
      </c>
      <c r="AH152" s="195">
        <f t="shared" si="56"/>
        <v>0</v>
      </c>
      <c r="AI152" s="195">
        <f t="shared" si="56"/>
        <v>0</v>
      </c>
      <c r="AJ152" s="195">
        <f t="shared" si="56"/>
        <v>2591</v>
      </c>
      <c r="AK152" s="195">
        <f t="shared" si="56"/>
        <v>2092</v>
      </c>
      <c r="AL152" s="195">
        <f t="shared" si="56"/>
        <v>499</v>
      </c>
      <c r="AM152" s="159"/>
    </row>
    <row r="153" spans="1:39" ht="20.25" customHeight="1">
      <c r="A153" s="147"/>
      <c r="B153" s="51"/>
      <c r="C153" s="145"/>
      <c r="D153" s="211"/>
      <c r="E153" s="211"/>
      <c r="F153" s="211"/>
      <c r="G153" s="211"/>
      <c r="H153" s="211"/>
      <c r="I153" s="211"/>
      <c r="J153" s="211"/>
      <c r="K153" s="211"/>
      <c r="L153" s="211"/>
      <c r="M153" s="212"/>
      <c r="N153" s="155"/>
      <c r="O153" s="155"/>
      <c r="P153" s="179"/>
      <c r="Q153" s="201"/>
      <c r="R153" s="58"/>
      <c r="S153" s="58"/>
      <c r="T153" s="58"/>
      <c r="U153" s="58"/>
      <c r="V153" s="58"/>
      <c r="W153" s="58"/>
      <c r="X153" s="58"/>
      <c r="Y153" s="58"/>
      <c r="Z153" s="58"/>
      <c r="AA153" s="58"/>
      <c r="AB153" s="58"/>
      <c r="AC153" s="58"/>
      <c r="AD153" s="58"/>
      <c r="AE153" s="58"/>
      <c r="AF153" s="178"/>
      <c r="AG153" s="178"/>
      <c r="AH153" s="178"/>
      <c r="AI153" s="178"/>
      <c r="AJ153" s="181">
        <f xml:space="preserve"> IF($W$4&gt;0,AJ152/$W$4,0)</f>
        <v>2591</v>
      </c>
      <c r="AK153" s="181">
        <f xml:space="preserve"> IF($W$4&gt;0,AK152/$W$4,0)</f>
        <v>2092</v>
      </c>
      <c r="AL153" s="181">
        <f xml:space="preserve"> IF($W$4&gt;0,AL152/$W$4,0)</f>
        <v>499</v>
      </c>
      <c r="AM153" s="159"/>
    </row>
    <row r="154" spans="1:39" ht="17.25" customHeight="1">
      <c r="A154" s="146" t="s">
        <v>502</v>
      </c>
      <c r="B154" s="51"/>
      <c r="C154" s="51"/>
      <c r="D154" s="153"/>
      <c r="E154" s="153"/>
      <c r="F154" s="153"/>
      <c r="G154" s="153"/>
      <c r="H154" s="153"/>
      <c r="I154" s="153"/>
      <c r="J154" s="153"/>
      <c r="K154" s="153"/>
      <c r="L154" s="153"/>
      <c r="M154" s="155"/>
      <c r="N154" s="155"/>
      <c r="O154" s="155"/>
      <c r="P154" s="179"/>
      <c r="Q154" s="201"/>
      <c r="R154" s="58"/>
      <c r="S154" s="58"/>
      <c r="T154" s="58"/>
      <c r="U154" s="58"/>
      <c r="V154" s="58"/>
      <c r="W154" s="58"/>
      <c r="X154" s="58"/>
      <c r="Y154" s="58"/>
      <c r="Z154" s="58"/>
      <c r="AA154" s="58"/>
      <c r="AB154" s="58"/>
      <c r="AC154" s="58"/>
      <c r="AD154" s="58"/>
      <c r="AE154" s="58"/>
      <c r="AF154" s="178"/>
      <c r="AG154" s="178"/>
      <c r="AH154" s="178"/>
      <c r="AI154" s="178"/>
      <c r="AJ154" s="178"/>
      <c r="AK154" s="178"/>
      <c r="AL154" s="178"/>
      <c r="AM154" s="159"/>
    </row>
    <row r="155" spans="1:39" ht="20.25" customHeight="1">
      <c r="A155" s="151">
        <v>1</v>
      </c>
      <c r="B155" s="152" t="s">
        <v>503</v>
      </c>
      <c r="C155" s="186"/>
      <c r="D155" s="153">
        <f t="shared" ref="D155:D158" si="57">F155+E155</f>
        <v>0</v>
      </c>
      <c r="E155" s="161"/>
      <c r="F155" s="161"/>
      <c r="G155" s="154">
        <f t="shared" ref="G155" si="58">H155+I155</f>
        <v>3</v>
      </c>
      <c r="H155" s="154"/>
      <c r="I155" s="154">
        <v>3</v>
      </c>
      <c r="J155" s="182">
        <f t="shared" ref="J155:J158" si="59">K155+L155</f>
        <v>0</v>
      </c>
      <c r="K155" s="161"/>
      <c r="L155" s="161"/>
      <c r="M155" s="155">
        <f t="shared" ref="M155:M158" si="60">N155+O155</f>
        <v>3</v>
      </c>
      <c r="N155" s="155">
        <f t="shared" ref="N155:O158" si="61">E155+H155+K155</f>
        <v>0</v>
      </c>
      <c r="O155" s="155">
        <f t="shared" si="61"/>
        <v>3</v>
      </c>
      <c r="P155" s="156">
        <v>0</v>
      </c>
      <c r="Q155" s="187"/>
      <c r="R155" s="155" t="e">
        <f>#REF!*P155</f>
        <v>#REF!</v>
      </c>
      <c r="S155" s="91">
        <f t="shared" ref="S155:S158" si="62">T155+U155</f>
        <v>0</v>
      </c>
      <c r="T155" s="91"/>
      <c r="U155" s="91"/>
      <c r="V155" s="91">
        <f t="shared" ref="V155:V158" si="63">W155+X155</f>
        <v>3</v>
      </c>
      <c r="W155" s="91"/>
      <c r="X155" s="91">
        <f>3</f>
        <v>3</v>
      </c>
      <c r="Y155" s="58">
        <f t="shared" ref="Y155:AA159" si="64">IF(M155&gt;0,ROUND((V155/M155)*100,0),0)</f>
        <v>100</v>
      </c>
      <c r="Z155" s="58">
        <f t="shared" si="64"/>
        <v>0</v>
      </c>
      <c r="AA155" s="58">
        <f t="shared" si="64"/>
        <v>100</v>
      </c>
      <c r="AB155" s="57"/>
      <c r="AC155" s="58" t="e">
        <f>#REF!*P155</f>
        <v>#REF!</v>
      </c>
      <c r="AD155" s="158">
        <f t="shared" ref="AD155:AD158" si="65">IF(M155&gt;0,ROUND((AB155/M155)*100,0),0)</f>
        <v>0</v>
      </c>
      <c r="AE155" s="58">
        <f t="shared" ref="AE155:AE158" si="66">W155-AB155</f>
        <v>0</v>
      </c>
      <c r="AF155" s="58" t="e">
        <f>#REF!*P155</f>
        <v>#REF!</v>
      </c>
      <c r="AG155" s="58">
        <f t="shared" ref="AG155:AG158" si="67">AH155+AI155</f>
        <v>0</v>
      </c>
      <c r="AH155" s="58"/>
      <c r="AI155" s="58"/>
      <c r="AJ155" s="58">
        <f t="shared" ref="AJ155:AJ158" si="68">AK155+AL155</f>
        <v>0</v>
      </c>
      <c r="AK155" s="58">
        <f t="shared" ref="AK155:AL158" si="69">N155-W155</f>
        <v>0</v>
      </c>
      <c r="AL155" s="58">
        <f t="shared" si="69"/>
        <v>0</v>
      </c>
      <c r="AM155" s="159"/>
    </row>
    <row r="156" spans="1:39" ht="20.25" customHeight="1">
      <c r="A156" s="151">
        <v>2</v>
      </c>
      <c r="B156" s="152" t="s">
        <v>504</v>
      </c>
      <c r="C156" s="152"/>
      <c r="D156" s="153">
        <f t="shared" si="57"/>
        <v>0</v>
      </c>
      <c r="E156" s="153"/>
      <c r="F156" s="153"/>
      <c r="G156" s="154">
        <f>H156+I156</f>
        <v>8</v>
      </c>
      <c r="H156" s="153"/>
      <c r="I156" s="153">
        <v>8</v>
      </c>
      <c r="J156" s="182">
        <f t="shared" si="59"/>
        <v>0</v>
      </c>
      <c r="K156" s="153"/>
      <c r="L156" s="153"/>
      <c r="M156" s="155">
        <f t="shared" si="60"/>
        <v>8</v>
      </c>
      <c r="N156" s="155">
        <f t="shared" si="61"/>
        <v>0</v>
      </c>
      <c r="O156" s="155">
        <f t="shared" si="61"/>
        <v>8</v>
      </c>
      <c r="P156" s="156">
        <v>0</v>
      </c>
      <c r="Q156" s="183"/>
      <c r="R156" s="155" t="e">
        <f>#REF!*P156</f>
        <v>#REF!</v>
      </c>
      <c r="S156" s="91">
        <f t="shared" si="62"/>
        <v>0</v>
      </c>
      <c r="T156" s="91"/>
      <c r="U156" s="91"/>
      <c r="V156" s="91">
        <f t="shared" si="63"/>
        <v>8</v>
      </c>
      <c r="W156" s="91"/>
      <c r="X156" s="91">
        <v>8</v>
      </c>
      <c r="Y156" s="58">
        <f t="shared" si="64"/>
        <v>100</v>
      </c>
      <c r="Z156" s="58">
        <f t="shared" si="64"/>
        <v>0</v>
      </c>
      <c r="AA156" s="58">
        <f t="shared" si="64"/>
        <v>100</v>
      </c>
      <c r="AB156" s="57"/>
      <c r="AC156" s="58" t="e">
        <f>#REF!*P156</f>
        <v>#REF!</v>
      </c>
      <c r="AD156" s="158">
        <f t="shared" si="65"/>
        <v>0</v>
      </c>
      <c r="AE156" s="58">
        <f t="shared" si="66"/>
        <v>0</v>
      </c>
      <c r="AF156" s="58" t="e">
        <f>#REF!*P156</f>
        <v>#REF!</v>
      </c>
      <c r="AG156" s="58">
        <f t="shared" si="67"/>
        <v>0</v>
      </c>
      <c r="AH156" s="58"/>
      <c r="AI156" s="58"/>
      <c r="AJ156" s="58">
        <f t="shared" si="68"/>
        <v>0</v>
      </c>
      <c r="AK156" s="58">
        <f t="shared" si="69"/>
        <v>0</v>
      </c>
      <c r="AL156" s="58">
        <f t="shared" si="69"/>
        <v>0</v>
      </c>
      <c r="AM156" s="159"/>
    </row>
    <row r="157" spans="1:39" ht="20.25" customHeight="1">
      <c r="A157" s="151">
        <v>3</v>
      </c>
      <c r="B157" s="152" t="s">
        <v>505</v>
      </c>
      <c r="C157" s="152"/>
      <c r="D157" s="153">
        <f t="shared" si="57"/>
        <v>33</v>
      </c>
      <c r="E157" s="153"/>
      <c r="F157" s="153">
        <v>33</v>
      </c>
      <c r="G157" s="154">
        <f t="shared" ref="G157:G158" si="70">H157+I157</f>
        <v>0</v>
      </c>
      <c r="H157" s="153"/>
      <c r="I157" s="153"/>
      <c r="J157" s="182">
        <f t="shared" si="59"/>
        <v>0</v>
      </c>
      <c r="K157" s="153"/>
      <c r="L157" s="153"/>
      <c r="M157" s="155">
        <f t="shared" si="60"/>
        <v>33</v>
      </c>
      <c r="N157" s="155">
        <f t="shared" si="61"/>
        <v>0</v>
      </c>
      <c r="O157" s="155">
        <f t="shared" si="61"/>
        <v>33</v>
      </c>
      <c r="P157" s="156">
        <v>0</v>
      </c>
      <c r="Q157" s="183"/>
      <c r="R157" s="155" t="e">
        <f>#REF!*P157</f>
        <v>#REF!</v>
      </c>
      <c r="S157" s="91">
        <f t="shared" si="62"/>
        <v>0</v>
      </c>
      <c r="T157" s="91"/>
      <c r="U157" s="91"/>
      <c r="V157" s="91">
        <f t="shared" si="63"/>
        <v>33</v>
      </c>
      <c r="W157" s="91"/>
      <c r="X157" s="91">
        <v>33</v>
      </c>
      <c r="Y157" s="58">
        <f t="shared" si="64"/>
        <v>100</v>
      </c>
      <c r="Z157" s="58">
        <f t="shared" si="64"/>
        <v>0</v>
      </c>
      <c r="AA157" s="58">
        <f t="shared" si="64"/>
        <v>100</v>
      </c>
      <c r="AB157" s="57"/>
      <c r="AC157" s="58" t="e">
        <f>#REF!*P157</f>
        <v>#REF!</v>
      </c>
      <c r="AD157" s="158">
        <f t="shared" si="65"/>
        <v>0</v>
      </c>
      <c r="AE157" s="58">
        <f t="shared" si="66"/>
        <v>0</v>
      </c>
      <c r="AF157" s="58" t="e">
        <f>#REF!*P157</f>
        <v>#REF!</v>
      </c>
      <c r="AG157" s="58">
        <f t="shared" si="67"/>
        <v>0</v>
      </c>
      <c r="AH157" s="58"/>
      <c r="AI157" s="58"/>
      <c r="AJ157" s="58">
        <f t="shared" si="68"/>
        <v>0</v>
      </c>
      <c r="AK157" s="58">
        <f t="shared" si="69"/>
        <v>0</v>
      </c>
      <c r="AL157" s="58">
        <f t="shared" si="69"/>
        <v>0</v>
      </c>
      <c r="AM157" s="159"/>
    </row>
    <row r="158" spans="1:39" ht="20.25" customHeight="1">
      <c r="A158" s="151">
        <v>4</v>
      </c>
      <c r="B158" s="152" t="s">
        <v>506</v>
      </c>
      <c r="C158" s="152"/>
      <c r="D158" s="153">
        <f t="shared" si="57"/>
        <v>12</v>
      </c>
      <c r="E158" s="153"/>
      <c r="F158" s="153">
        <v>12</v>
      </c>
      <c r="G158" s="154">
        <f t="shared" si="70"/>
        <v>0</v>
      </c>
      <c r="H158" s="153"/>
      <c r="I158" s="153"/>
      <c r="J158" s="182">
        <f t="shared" si="59"/>
        <v>0</v>
      </c>
      <c r="K158" s="153"/>
      <c r="L158" s="153"/>
      <c r="M158" s="155">
        <f t="shared" si="60"/>
        <v>12</v>
      </c>
      <c r="N158" s="155">
        <f t="shared" si="61"/>
        <v>0</v>
      </c>
      <c r="O158" s="155">
        <f t="shared" si="61"/>
        <v>12</v>
      </c>
      <c r="P158" s="156">
        <v>0</v>
      </c>
      <c r="Q158" s="183"/>
      <c r="R158" s="155" t="e">
        <f>#REF!*P158</f>
        <v>#REF!</v>
      </c>
      <c r="S158" s="91">
        <f t="shared" si="62"/>
        <v>0</v>
      </c>
      <c r="T158" s="91"/>
      <c r="U158" s="91"/>
      <c r="V158" s="91">
        <f t="shared" si="63"/>
        <v>12</v>
      </c>
      <c r="W158" s="91"/>
      <c r="X158" s="91">
        <v>12</v>
      </c>
      <c r="Y158" s="58">
        <f t="shared" si="64"/>
        <v>100</v>
      </c>
      <c r="Z158" s="58">
        <f t="shared" si="64"/>
        <v>0</v>
      </c>
      <c r="AA158" s="58">
        <f t="shared" si="64"/>
        <v>100</v>
      </c>
      <c r="AB158" s="57"/>
      <c r="AC158" s="58" t="e">
        <f>#REF!*P158</f>
        <v>#REF!</v>
      </c>
      <c r="AD158" s="158">
        <f t="shared" si="65"/>
        <v>0</v>
      </c>
      <c r="AE158" s="58">
        <f t="shared" si="66"/>
        <v>0</v>
      </c>
      <c r="AF158" s="58" t="e">
        <f>#REF!*P158</f>
        <v>#REF!</v>
      </c>
      <c r="AG158" s="58">
        <f t="shared" si="67"/>
        <v>0</v>
      </c>
      <c r="AH158" s="58"/>
      <c r="AI158" s="58"/>
      <c r="AJ158" s="58">
        <f t="shared" si="68"/>
        <v>0</v>
      </c>
      <c r="AK158" s="58">
        <f t="shared" si="69"/>
        <v>0</v>
      </c>
      <c r="AL158" s="58">
        <f t="shared" si="69"/>
        <v>0</v>
      </c>
      <c r="AM158" s="159"/>
    </row>
    <row r="159" spans="1:39" ht="21" customHeight="1">
      <c r="A159" s="51"/>
      <c r="B159" s="173" t="s">
        <v>507</v>
      </c>
      <c r="C159" s="173"/>
      <c r="D159" s="213">
        <f t="shared" ref="D159:O159" si="71">SUM(D155:D158)</f>
        <v>45</v>
      </c>
      <c r="E159" s="213">
        <f t="shared" si="71"/>
        <v>0</v>
      </c>
      <c r="F159" s="213">
        <f t="shared" si="71"/>
        <v>45</v>
      </c>
      <c r="G159" s="213">
        <f t="shared" si="71"/>
        <v>11</v>
      </c>
      <c r="H159" s="213">
        <f t="shared" si="71"/>
        <v>0</v>
      </c>
      <c r="I159" s="213">
        <f t="shared" si="71"/>
        <v>11</v>
      </c>
      <c r="J159" s="213">
        <f t="shared" si="71"/>
        <v>0</v>
      </c>
      <c r="K159" s="213">
        <f t="shared" si="71"/>
        <v>0</v>
      </c>
      <c r="L159" s="213">
        <f t="shared" si="71"/>
        <v>0</v>
      </c>
      <c r="M159" s="175">
        <f t="shared" si="71"/>
        <v>56</v>
      </c>
      <c r="N159" s="175">
        <f t="shared" si="71"/>
        <v>0</v>
      </c>
      <c r="O159" s="175">
        <f t="shared" si="71"/>
        <v>56</v>
      </c>
      <c r="P159" s="208"/>
      <c r="Q159" s="209"/>
      <c r="R159" s="177" t="e">
        <f>SUM(#REF!)</f>
        <v>#REF!</v>
      </c>
      <c r="S159" s="195">
        <f t="shared" ref="S159:X159" si="72">SUM(S155:S158)</f>
        <v>0</v>
      </c>
      <c r="T159" s="195">
        <f t="shared" si="72"/>
        <v>0</v>
      </c>
      <c r="U159" s="195">
        <f t="shared" si="72"/>
        <v>0</v>
      </c>
      <c r="V159" s="195">
        <f t="shared" si="72"/>
        <v>56</v>
      </c>
      <c r="W159" s="195">
        <f t="shared" si="72"/>
        <v>0</v>
      </c>
      <c r="X159" s="214">
        <f t="shared" si="72"/>
        <v>56</v>
      </c>
      <c r="Y159" s="58">
        <f t="shared" si="64"/>
        <v>100</v>
      </c>
      <c r="Z159" s="58">
        <f t="shared" si="64"/>
        <v>0</v>
      </c>
      <c r="AA159" s="58">
        <f t="shared" si="64"/>
        <v>100</v>
      </c>
      <c r="AB159" s="195">
        <f>SUM(AB155:AB158)</f>
        <v>0</v>
      </c>
      <c r="AC159" s="195" t="e">
        <f>SUM(#REF!)</f>
        <v>#REF!</v>
      </c>
      <c r="AD159" s="158">
        <f>IF(N159&gt;0,ROUND((AB159/N159)*100,0),0)</f>
        <v>0</v>
      </c>
      <c r="AE159" s="195">
        <f t="shared" ref="AE159:AL159" si="73">SUM(AE155:AE158)</f>
        <v>0</v>
      </c>
      <c r="AF159" s="195" t="e">
        <f t="shared" si="73"/>
        <v>#REF!</v>
      </c>
      <c r="AG159" s="195">
        <f t="shared" si="73"/>
        <v>0</v>
      </c>
      <c r="AH159" s="195">
        <f t="shared" si="73"/>
        <v>0</v>
      </c>
      <c r="AI159" s="195">
        <f t="shared" si="73"/>
        <v>0</v>
      </c>
      <c r="AJ159" s="195">
        <f t="shared" si="73"/>
        <v>0</v>
      </c>
      <c r="AK159" s="195">
        <f t="shared" si="73"/>
        <v>0</v>
      </c>
      <c r="AL159" s="195">
        <f t="shared" si="73"/>
        <v>0</v>
      </c>
      <c r="AM159" s="159"/>
    </row>
    <row r="160" spans="1:39" ht="20.25" customHeight="1">
      <c r="A160" s="146" t="s">
        <v>508</v>
      </c>
      <c r="B160" s="215"/>
      <c r="C160" s="216"/>
      <c r="D160" s="217"/>
      <c r="E160" s="217"/>
      <c r="F160" s="217"/>
      <c r="G160" s="217"/>
      <c r="H160" s="217"/>
      <c r="I160" s="217"/>
      <c r="J160" s="217"/>
      <c r="K160" s="217"/>
      <c r="L160" s="217"/>
      <c r="M160" s="207"/>
      <c r="N160" s="207"/>
      <c r="O160" s="207"/>
      <c r="P160" s="208"/>
      <c r="Q160" s="209"/>
      <c r="R160" s="177"/>
      <c r="S160" s="195"/>
      <c r="T160" s="195"/>
      <c r="U160" s="195"/>
      <c r="V160" s="195"/>
      <c r="W160" s="195"/>
      <c r="X160" s="195"/>
      <c r="Y160" s="58"/>
      <c r="Z160" s="58"/>
      <c r="AA160" s="58"/>
      <c r="AB160" s="58"/>
      <c r="AC160" s="58"/>
      <c r="AD160" s="58"/>
      <c r="AE160" s="195"/>
      <c r="AF160" s="195"/>
      <c r="AG160" s="195"/>
      <c r="AH160" s="195"/>
      <c r="AI160" s="195"/>
      <c r="AJ160" s="195"/>
      <c r="AK160" s="195"/>
      <c r="AL160" s="195"/>
      <c r="AM160" s="159"/>
    </row>
    <row r="161" spans="1:39" s="225" customFormat="1" ht="20.25" customHeight="1">
      <c r="A161" s="218">
        <v>1</v>
      </c>
      <c r="B161" s="160"/>
      <c r="C161" s="160"/>
      <c r="D161" s="161"/>
      <c r="E161" s="161"/>
      <c r="F161" s="161"/>
      <c r="G161" s="161"/>
      <c r="H161" s="161"/>
      <c r="I161" s="161"/>
      <c r="J161" s="161"/>
      <c r="K161" s="161"/>
      <c r="L161" s="161"/>
      <c r="M161" s="219">
        <f t="shared" ref="M161" si="74">N161+O161</f>
        <v>0</v>
      </c>
      <c r="N161" s="219"/>
      <c r="O161" s="219"/>
      <c r="P161" s="220"/>
      <c r="Q161" s="183"/>
      <c r="R161" s="221">
        <f t="shared" ref="R161" si="75">M161*P161</f>
        <v>0</v>
      </c>
      <c r="S161" s="222">
        <f t="shared" ref="S161" si="76">T161+U161</f>
        <v>0</v>
      </c>
      <c r="T161" s="222"/>
      <c r="U161" s="222"/>
      <c r="V161" s="222">
        <f t="shared" ref="V161" si="77">W161+X161</f>
        <v>0</v>
      </c>
      <c r="W161" s="222"/>
      <c r="X161" s="222"/>
      <c r="Y161" s="71">
        <f t="shared" ref="Y161:AA162" si="78">IF(M161&gt;0,ROUND((V161/M161)*100,0),0)</f>
        <v>0</v>
      </c>
      <c r="Z161" s="71">
        <f t="shared" si="78"/>
        <v>0</v>
      </c>
      <c r="AA161" s="71">
        <f t="shared" si="78"/>
        <v>0</v>
      </c>
      <c r="AB161" s="222"/>
      <c r="AC161" s="71" t="e">
        <f>#REF!*P161</f>
        <v>#REF!</v>
      </c>
      <c r="AD161" s="223">
        <f t="shared" ref="AD161" si="79">IF(M161&gt;0,ROUND((AB161/M161)*100,0),0)</f>
        <v>0</v>
      </c>
      <c r="AE161" s="71">
        <f t="shared" ref="AE161" si="80">W161-AB161</f>
        <v>0</v>
      </c>
      <c r="AF161" s="71" t="e">
        <f>#REF!*P161</f>
        <v>#REF!</v>
      </c>
      <c r="AG161" s="71">
        <f t="shared" ref="AG161" si="81">AH161+AI161</f>
        <v>0</v>
      </c>
      <c r="AH161" s="71"/>
      <c r="AI161" s="71"/>
      <c r="AJ161" s="71">
        <f t="shared" ref="AJ161" si="82">AK161+AL161</f>
        <v>0</v>
      </c>
      <c r="AK161" s="71">
        <f t="shared" ref="AK161:AL161" si="83">N161-W161</f>
        <v>0</v>
      </c>
      <c r="AL161" s="71">
        <f t="shared" si="83"/>
        <v>0</v>
      </c>
      <c r="AM161" s="224"/>
    </row>
    <row r="162" spans="1:39" s="230" customFormat="1" ht="20.25" customHeight="1">
      <c r="A162" s="173"/>
      <c r="B162" s="193" t="s">
        <v>509</v>
      </c>
      <c r="C162" s="226"/>
      <c r="D162" s="227"/>
      <c r="E162" s="227"/>
      <c r="F162" s="227"/>
      <c r="G162" s="227"/>
      <c r="H162" s="227"/>
      <c r="I162" s="227"/>
      <c r="J162" s="227"/>
      <c r="K162" s="227"/>
      <c r="L162" s="227"/>
      <c r="M162" s="207">
        <f t="shared" ref="M162:W162" si="84">SUM(M161:M161)</f>
        <v>0</v>
      </c>
      <c r="N162" s="207">
        <f t="shared" si="84"/>
        <v>0</v>
      </c>
      <c r="O162" s="207">
        <f t="shared" si="84"/>
        <v>0</v>
      </c>
      <c r="P162" s="207">
        <f t="shared" si="84"/>
        <v>0</v>
      </c>
      <c r="Q162" s="207">
        <f t="shared" si="84"/>
        <v>0</v>
      </c>
      <c r="R162" s="207">
        <f t="shared" si="84"/>
        <v>0</v>
      </c>
      <c r="S162" s="195">
        <f t="shared" si="84"/>
        <v>0</v>
      </c>
      <c r="T162" s="195">
        <f t="shared" si="84"/>
        <v>0</v>
      </c>
      <c r="U162" s="195">
        <f t="shared" si="84"/>
        <v>0</v>
      </c>
      <c r="V162" s="195">
        <f t="shared" si="84"/>
        <v>0</v>
      </c>
      <c r="W162" s="195">
        <f t="shared" si="84"/>
        <v>0</v>
      </c>
      <c r="X162" s="195"/>
      <c r="Y162" s="228">
        <f t="shared" si="78"/>
        <v>0</v>
      </c>
      <c r="Z162" s="228">
        <f t="shared" si="78"/>
        <v>0</v>
      </c>
      <c r="AA162" s="228">
        <f t="shared" si="78"/>
        <v>0</v>
      </c>
      <c r="AB162" s="195">
        <f>SUM(AB161:AB161)</f>
        <v>0</v>
      </c>
      <c r="AC162" s="195" t="e">
        <f>SUM(AC161:AC161)</f>
        <v>#REF!</v>
      </c>
      <c r="AD162" s="178">
        <f>IF(N162&gt;0,ROUND((AB162/N162)*100,0),0)</f>
        <v>0</v>
      </c>
      <c r="AE162" s="195">
        <f t="shared" ref="AE162:AL162" si="85">SUM(AE161:AE161)</f>
        <v>0</v>
      </c>
      <c r="AF162" s="195" t="e">
        <f t="shared" si="85"/>
        <v>#REF!</v>
      </c>
      <c r="AG162" s="195">
        <f t="shared" si="85"/>
        <v>0</v>
      </c>
      <c r="AH162" s="195">
        <f t="shared" si="85"/>
        <v>0</v>
      </c>
      <c r="AI162" s="195">
        <f t="shared" si="85"/>
        <v>0</v>
      </c>
      <c r="AJ162" s="195">
        <f t="shared" si="85"/>
        <v>0</v>
      </c>
      <c r="AK162" s="195">
        <f t="shared" si="85"/>
        <v>0</v>
      </c>
      <c r="AL162" s="195">
        <f t="shared" si="85"/>
        <v>0</v>
      </c>
      <c r="AM162" s="229"/>
    </row>
    <row r="163" spans="1:39" ht="20.25" customHeight="1">
      <c r="A163" s="146" t="s">
        <v>510</v>
      </c>
      <c r="B163" s="215"/>
      <c r="C163" s="216"/>
      <c r="D163" s="217"/>
      <c r="E163" s="217"/>
      <c r="F163" s="217"/>
      <c r="G163" s="217"/>
      <c r="H163" s="217"/>
      <c r="I163" s="217"/>
      <c r="J163" s="217"/>
      <c r="K163" s="217"/>
      <c r="L163" s="217"/>
      <c r="M163" s="207"/>
      <c r="N163" s="207"/>
      <c r="O163" s="207"/>
      <c r="P163" s="208"/>
      <c r="Q163" s="209"/>
      <c r="R163" s="177"/>
      <c r="S163" s="195"/>
      <c r="T163" s="195"/>
      <c r="U163" s="195"/>
      <c r="V163" s="195"/>
      <c r="W163" s="195"/>
      <c r="X163" s="195"/>
      <c r="Y163" s="58"/>
      <c r="Z163" s="58"/>
      <c r="AA163" s="58"/>
      <c r="AB163" s="58"/>
      <c r="AC163" s="58"/>
      <c r="AD163" s="58"/>
      <c r="AE163" s="195"/>
      <c r="AF163" s="195"/>
      <c r="AG163" s="195"/>
      <c r="AH163" s="195"/>
      <c r="AI163" s="195"/>
      <c r="AJ163" s="195"/>
      <c r="AK163" s="195"/>
      <c r="AL163" s="195"/>
      <c r="AM163" s="159"/>
    </row>
    <row r="164" spans="1:39" s="225" customFormat="1" ht="20.25" customHeight="1">
      <c r="A164" s="218">
        <v>1</v>
      </c>
      <c r="B164" s="160" t="s">
        <v>511</v>
      </c>
      <c r="C164" s="231" t="s">
        <v>512</v>
      </c>
      <c r="D164" s="153">
        <f t="shared" ref="D164:D176" si="86">F164+E164</f>
        <v>0</v>
      </c>
      <c r="E164" s="182"/>
      <c r="F164" s="182"/>
      <c r="G164" s="154">
        <f>H164+I164</f>
        <v>0</v>
      </c>
      <c r="H164" s="154"/>
      <c r="I164" s="154"/>
      <c r="J164" s="182">
        <f>K164+L164</f>
        <v>2</v>
      </c>
      <c r="K164" s="182">
        <v>2</v>
      </c>
      <c r="L164" s="182"/>
      <c r="M164" s="155">
        <f t="shared" ref="M164:M176" si="87">N164+O164</f>
        <v>2</v>
      </c>
      <c r="N164" s="155">
        <f>E164+H164+K164</f>
        <v>2</v>
      </c>
      <c r="O164" s="155">
        <f t="shared" ref="O164:O176" si="88">F164+I164+L164</f>
        <v>0</v>
      </c>
      <c r="P164" s="156">
        <v>0</v>
      </c>
      <c r="Q164" s="156"/>
      <c r="R164" s="157" t="e">
        <f>#REF!*P164</f>
        <v>#REF!</v>
      </c>
      <c r="S164" s="91">
        <f>T164+U164</f>
        <v>0</v>
      </c>
      <c r="T164" s="91"/>
      <c r="U164" s="91"/>
      <c r="V164" s="91">
        <f t="shared" ref="V164:V176" si="89">W164+X164</f>
        <v>0</v>
      </c>
      <c r="W164" s="91"/>
      <c r="X164" s="91"/>
      <c r="Y164" s="58">
        <f>IF(M164&gt;0,ROUND((V164/M164)*100,0),0)</f>
        <v>0</v>
      </c>
      <c r="Z164" s="58">
        <f>IF(N164&gt;0,ROUND((W164/N164)*100,0),0)</f>
        <v>0</v>
      </c>
      <c r="AA164" s="58">
        <f t="shared" ref="AA164:AA175" si="90">IF(O164&gt;0,ROUND((X164/O164)*100,0),0)</f>
        <v>0</v>
      </c>
      <c r="AB164" s="70"/>
      <c r="AC164" s="71" t="e">
        <f>#REF!*P164</f>
        <v>#REF!</v>
      </c>
      <c r="AD164" s="158">
        <f t="shared" ref="AD164" si="91">IF(M164&gt;0,ROUND((AB164/M164)*100,0),0)</f>
        <v>0</v>
      </c>
      <c r="AE164" s="71">
        <f t="shared" ref="AE164" si="92">W164-AB164</f>
        <v>0</v>
      </c>
      <c r="AF164" s="71" t="e">
        <f>#REF!*P164</f>
        <v>#REF!</v>
      </c>
      <c r="AG164" s="58">
        <f t="shared" ref="AG164" si="93">AH164+AI164</f>
        <v>0</v>
      </c>
      <c r="AH164" s="71"/>
      <c r="AI164" s="71"/>
      <c r="AJ164" s="58">
        <f t="shared" ref="AJ164" si="94">AK164+AL164</f>
        <v>2</v>
      </c>
      <c r="AK164" s="58">
        <f t="shared" ref="AK164:AL176" si="95">N164-W164</f>
        <v>2</v>
      </c>
      <c r="AL164" s="58">
        <f>O164-X164</f>
        <v>0</v>
      </c>
      <c r="AM164" s="224"/>
    </row>
    <row r="165" spans="1:39" s="225" customFormat="1" ht="20.25" customHeight="1">
      <c r="A165" s="218">
        <v>2</v>
      </c>
      <c r="B165" s="160" t="s">
        <v>513</v>
      </c>
      <c r="C165" s="231" t="s">
        <v>514</v>
      </c>
      <c r="D165" s="153">
        <f t="shared" si="86"/>
        <v>100</v>
      </c>
      <c r="E165" s="182">
        <v>100</v>
      </c>
      <c r="F165" s="182"/>
      <c r="G165" s="154">
        <f t="shared" ref="G165:G170" si="96">H165+I165</f>
        <v>0</v>
      </c>
      <c r="H165" s="154"/>
      <c r="I165" s="154"/>
      <c r="J165" s="182">
        <f t="shared" ref="J165:J176" si="97">K165+L165</f>
        <v>0</v>
      </c>
      <c r="K165" s="182"/>
      <c r="L165" s="182"/>
      <c r="M165" s="155">
        <f t="shared" si="87"/>
        <v>100</v>
      </c>
      <c r="N165" s="155">
        <f t="shared" ref="N165:N176" si="98">E165+H165+K165</f>
        <v>100</v>
      </c>
      <c r="O165" s="155">
        <f t="shared" si="88"/>
        <v>0</v>
      </c>
      <c r="P165" s="156"/>
      <c r="Q165" s="176"/>
      <c r="R165" s="157"/>
      <c r="S165" s="91">
        <f t="shared" ref="S165:S176" si="99">T165+U165</f>
        <v>0</v>
      </c>
      <c r="T165" s="222"/>
      <c r="U165" s="222"/>
      <c r="V165" s="91">
        <f t="shared" si="89"/>
        <v>100</v>
      </c>
      <c r="W165" s="222">
        <f>100</f>
        <v>100</v>
      </c>
      <c r="X165" s="222"/>
      <c r="Y165" s="58">
        <f>IF(M165&gt;0,ROUND((V165/M165)*100,0),0)</f>
        <v>100</v>
      </c>
      <c r="Z165" s="58">
        <f t="shared" ref="Z165:Z175" si="100">IF(N165&gt;0,ROUND((W165/N165)*100,0),0)</f>
        <v>100</v>
      </c>
      <c r="AA165" s="58">
        <f t="shared" si="90"/>
        <v>0</v>
      </c>
      <c r="AB165" s="70"/>
      <c r="AC165" s="71"/>
      <c r="AD165" s="158"/>
      <c r="AE165" s="71"/>
      <c r="AF165" s="71"/>
      <c r="AG165" s="58"/>
      <c r="AH165" s="71"/>
      <c r="AI165" s="71"/>
      <c r="AJ165" s="58"/>
      <c r="AK165" s="58"/>
      <c r="AL165" s="58"/>
      <c r="AM165" s="224"/>
    </row>
    <row r="166" spans="1:39" s="225" customFormat="1" ht="20.25" customHeight="1">
      <c r="A166" s="218">
        <v>3</v>
      </c>
      <c r="B166" s="160" t="s">
        <v>515</v>
      </c>
      <c r="C166" s="231" t="s">
        <v>516</v>
      </c>
      <c r="D166" s="153">
        <f t="shared" si="86"/>
        <v>30</v>
      </c>
      <c r="E166" s="182">
        <v>30</v>
      </c>
      <c r="F166" s="182"/>
      <c r="G166" s="154">
        <f t="shared" si="96"/>
        <v>0</v>
      </c>
      <c r="H166" s="154"/>
      <c r="I166" s="154"/>
      <c r="J166" s="182">
        <f t="shared" si="97"/>
        <v>0</v>
      </c>
      <c r="K166" s="182"/>
      <c r="L166" s="182"/>
      <c r="M166" s="155">
        <f t="shared" si="87"/>
        <v>30</v>
      </c>
      <c r="N166" s="155">
        <f t="shared" si="98"/>
        <v>30</v>
      </c>
      <c r="O166" s="155">
        <f t="shared" si="88"/>
        <v>0</v>
      </c>
      <c r="P166" s="156">
        <v>0</v>
      </c>
      <c r="Q166" s="176"/>
      <c r="R166" s="157" t="e">
        <f>#REF!*P166</f>
        <v>#REF!</v>
      </c>
      <c r="S166" s="91">
        <f t="shared" si="99"/>
        <v>0</v>
      </c>
      <c r="T166" s="222"/>
      <c r="U166" s="222"/>
      <c r="V166" s="91">
        <f t="shared" si="89"/>
        <v>30</v>
      </c>
      <c r="W166" s="222">
        <f>20+10</f>
        <v>30</v>
      </c>
      <c r="X166" s="222"/>
      <c r="Y166" s="58">
        <f>IF(M166&gt;0,ROUND((V166/M166)*100,0),0)</f>
        <v>100</v>
      </c>
      <c r="Z166" s="58">
        <f t="shared" si="100"/>
        <v>100</v>
      </c>
      <c r="AA166" s="58">
        <f t="shared" si="90"/>
        <v>0</v>
      </c>
      <c r="AB166" s="70">
        <f>20+10</f>
        <v>30</v>
      </c>
      <c r="AC166" s="71" t="e">
        <f>#REF!*P166</f>
        <v>#REF!</v>
      </c>
      <c r="AD166" s="158">
        <f>IF(M166&gt;0,ROUND((AB166/M166)*100,0),0)</f>
        <v>100</v>
      </c>
      <c r="AE166" s="71">
        <f t="shared" ref="AE166:AE176" si="101">W166-AB166</f>
        <v>0</v>
      </c>
      <c r="AF166" s="71" t="e">
        <f>#REF!*P166</f>
        <v>#REF!</v>
      </c>
      <c r="AG166" s="58">
        <f t="shared" ref="AG166:AG176" si="102">AH166+AI166</f>
        <v>0</v>
      </c>
      <c r="AH166" s="71"/>
      <c r="AI166" s="71"/>
      <c r="AJ166" s="58">
        <f t="shared" ref="AJ166:AJ176" si="103">AK166+AL166</f>
        <v>0</v>
      </c>
      <c r="AK166" s="58">
        <f t="shared" ref="AK166:AL175" si="104">N166-W166</f>
        <v>0</v>
      </c>
      <c r="AL166" s="58">
        <f t="shared" si="104"/>
        <v>0</v>
      </c>
      <c r="AM166" s="224"/>
    </row>
    <row r="167" spans="1:39" s="225" customFormat="1" ht="20.25" customHeight="1">
      <c r="A167" s="218">
        <v>4</v>
      </c>
      <c r="B167" s="160" t="s">
        <v>517</v>
      </c>
      <c r="C167" s="231" t="s">
        <v>514</v>
      </c>
      <c r="D167" s="153">
        <f t="shared" si="86"/>
        <v>40</v>
      </c>
      <c r="E167" s="182">
        <v>40</v>
      </c>
      <c r="F167" s="182"/>
      <c r="G167" s="154">
        <f t="shared" si="96"/>
        <v>0</v>
      </c>
      <c r="H167" s="154"/>
      <c r="I167" s="154"/>
      <c r="J167" s="182">
        <f t="shared" si="97"/>
        <v>0</v>
      </c>
      <c r="K167" s="182"/>
      <c r="L167" s="182"/>
      <c r="M167" s="155">
        <f t="shared" si="87"/>
        <v>40</v>
      </c>
      <c r="N167" s="155">
        <f t="shared" si="98"/>
        <v>40</v>
      </c>
      <c r="O167" s="155">
        <f t="shared" si="88"/>
        <v>0</v>
      </c>
      <c r="P167" s="156">
        <v>0</v>
      </c>
      <c r="Q167" s="176"/>
      <c r="R167" s="157" t="e">
        <f>#REF!*P167</f>
        <v>#REF!</v>
      </c>
      <c r="S167" s="91">
        <f t="shared" si="99"/>
        <v>0</v>
      </c>
      <c r="T167" s="222"/>
      <c r="U167" s="222"/>
      <c r="V167" s="91">
        <f t="shared" si="89"/>
        <v>40</v>
      </c>
      <c r="W167" s="222">
        <f>10+10+20</f>
        <v>40</v>
      </c>
      <c r="X167" s="222"/>
      <c r="Y167" s="58">
        <f>IF(M167&gt;0,ROUND((V167/M167)*100,0),0)</f>
        <v>100</v>
      </c>
      <c r="Z167" s="58">
        <f t="shared" si="100"/>
        <v>100</v>
      </c>
      <c r="AA167" s="58">
        <f t="shared" si="90"/>
        <v>0</v>
      </c>
      <c r="AB167" s="70">
        <f>10+10+20</f>
        <v>40</v>
      </c>
      <c r="AC167" s="71" t="e">
        <f>#REF!*P167</f>
        <v>#REF!</v>
      </c>
      <c r="AD167" s="158">
        <f t="shared" ref="AD167:AD176" si="105">IF(M167&gt;0,ROUND((AB167/M167)*100,0),0)</f>
        <v>100</v>
      </c>
      <c r="AE167" s="71">
        <f t="shared" si="101"/>
        <v>0</v>
      </c>
      <c r="AF167" s="71" t="e">
        <f>#REF!*P167</f>
        <v>#REF!</v>
      </c>
      <c r="AG167" s="58">
        <f t="shared" si="102"/>
        <v>0</v>
      </c>
      <c r="AH167" s="71"/>
      <c r="AI167" s="71"/>
      <c r="AJ167" s="58">
        <f t="shared" si="103"/>
        <v>0</v>
      </c>
      <c r="AK167" s="58">
        <f t="shared" si="104"/>
        <v>0</v>
      </c>
      <c r="AL167" s="58">
        <f t="shared" si="104"/>
        <v>0</v>
      </c>
      <c r="AM167" s="224"/>
    </row>
    <row r="168" spans="1:39" s="225" customFormat="1" ht="20.25" customHeight="1">
      <c r="A168" s="218">
        <v>5</v>
      </c>
      <c r="B168" s="160" t="s">
        <v>518</v>
      </c>
      <c r="C168" s="231" t="s">
        <v>514</v>
      </c>
      <c r="D168" s="153">
        <f t="shared" si="86"/>
        <v>187</v>
      </c>
      <c r="E168" s="182">
        <v>187</v>
      </c>
      <c r="F168" s="182"/>
      <c r="G168" s="154">
        <f t="shared" si="96"/>
        <v>0</v>
      </c>
      <c r="H168" s="154"/>
      <c r="I168" s="154"/>
      <c r="J168" s="182">
        <f t="shared" si="97"/>
        <v>0</v>
      </c>
      <c r="K168" s="182"/>
      <c r="L168" s="182"/>
      <c r="M168" s="155">
        <f t="shared" si="87"/>
        <v>187</v>
      </c>
      <c r="N168" s="155">
        <f t="shared" si="98"/>
        <v>187</v>
      </c>
      <c r="O168" s="155">
        <f t="shared" si="88"/>
        <v>0</v>
      </c>
      <c r="P168" s="156">
        <v>0</v>
      </c>
      <c r="Q168" s="176"/>
      <c r="R168" s="157" t="e">
        <f>#REF!*P168</f>
        <v>#REF!</v>
      </c>
      <c r="S168" s="91">
        <f t="shared" si="99"/>
        <v>20</v>
      </c>
      <c r="T168" s="222">
        <v>20</v>
      </c>
      <c r="U168" s="222"/>
      <c r="V168" s="91">
        <f t="shared" si="89"/>
        <v>77</v>
      </c>
      <c r="W168" s="222">
        <f>50+7+20</f>
        <v>77</v>
      </c>
      <c r="X168" s="222"/>
      <c r="Y168" s="58">
        <f t="shared" ref="Y168:AA176" si="106">IF(M168&gt;0,ROUND((V168/M168)*100,0),0)</f>
        <v>41</v>
      </c>
      <c r="Z168" s="58">
        <f t="shared" si="100"/>
        <v>41</v>
      </c>
      <c r="AA168" s="58">
        <f t="shared" si="90"/>
        <v>0</v>
      </c>
      <c r="AB168" s="70">
        <f>50+7</f>
        <v>57</v>
      </c>
      <c r="AC168" s="71" t="e">
        <f>#REF!*P168</f>
        <v>#REF!</v>
      </c>
      <c r="AD168" s="158">
        <f t="shared" si="105"/>
        <v>30</v>
      </c>
      <c r="AE168" s="71">
        <f t="shared" si="101"/>
        <v>20</v>
      </c>
      <c r="AF168" s="71" t="e">
        <f>#REF!*P168</f>
        <v>#REF!</v>
      </c>
      <c r="AG168" s="58">
        <f t="shared" si="102"/>
        <v>0</v>
      </c>
      <c r="AH168" s="71"/>
      <c r="AI168" s="71"/>
      <c r="AJ168" s="58">
        <f t="shared" si="103"/>
        <v>110</v>
      </c>
      <c r="AK168" s="58">
        <f t="shared" si="104"/>
        <v>110</v>
      </c>
      <c r="AL168" s="58">
        <f t="shared" si="104"/>
        <v>0</v>
      </c>
      <c r="AM168" s="224"/>
    </row>
    <row r="169" spans="1:39" s="225" customFormat="1" ht="20.25" customHeight="1">
      <c r="A169" s="218">
        <v>6</v>
      </c>
      <c r="B169" s="160" t="s">
        <v>519</v>
      </c>
      <c r="C169" s="231" t="s">
        <v>514</v>
      </c>
      <c r="D169" s="153">
        <f t="shared" si="86"/>
        <v>60</v>
      </c>
      <c r="E169" s="182">
        <v>60</v>
      </c>
      <c r="F169" s="182"/>
      <c r="G169" s="154">
        <f t="shared" si="96"/>
        <v>0</v>
      </c>
      <c r="H169" s="154"/>
      <c r="I169" s="154"/>
      <c r="J169" s="182">
        <f t="shared" si="97"/>
        <v>0</v>
      </c>
      <c r="K169" s="182"/>
      <c r="L169" s="182"/>
      <c r="M169" s="155">
        <f t="shared" si="87"/>
        <v>60</v>
      </c>
      <c r="N169" s="155">
        <f t="shared" si="98"/>
        <v>60</v>
      </c>
      <c r="O169" s="155">
        <f t="shared" si="88"/>
        <v>0</v>
      </c>
      <c r="P169" s="156">
        <v>0</v>
      </c>
      <c r="Q169" s="176"/>
      <c r="R169" s="157" t="e">
        <f>#REF!*P169</f>
        <v>#REF!</v>
      </c>
      <c r="S169" s="91">
        <f t="shared" si="99"/>
        <v>0</v>
      </c>
      <c r="T169" s="222"/>
      <c r="U169" s="222"/>
      <c r="V169" s="91">
        <f t="shared" si="89"/>
        <v>60</v>
      </c>
      <c r="W169" s="222">
        <v>60</v>
      </c>
      <c r="X169" s="222"/>
      <c r="Y169" s="58">
        <f t="shared" si="106"/>
        <v>100</v>
      </c>
      <c r="Z169" s="58">
        <f t="shared" si="100"/>
        <v>100</v>
      </c>
      <c r="AA169" s="58">
        <f t="shared" si="90"/>
        <v>0</v>
      </c>
      <c r="AB169" s="70">
        <v>60</v>
      </c>
      <c r="AC169" s="71" t="e">
        <f>#REF!*P169</f>
        <v>#REF!</v>
      </c>
      <c r="AD169" s="158">
        <f t="shared" si="105"/>
        <v>100</v>
      </c>
      <c r="AE169" s="71">
        <f t="shared" si="101"/>
        <v>0</v>
      </c>
      <c r="AF169" s="71" t="e">
        <f>#REF!*P169</f>
        <v>#REF!</v>
      </c>
      <c r="AG169" s="58">
        <f t="shared" si="102"/>
        <v>0</v>
      </c>
      <c r="AH169" s="71"/>
      <c r="AI169" s="71"/>
      <c r="AJ169" s="58">
        <f t="shared" si="103"/>
        <v>0</v>
      </c>
      <c r="AK169" s="58">
        <f t="shared" si="104"/>
        <v>0</v>
      </c>
      <c r="AL169" s="58">
        <f t="shared" si="104"/>
        <v>0</v>
      </c>
      <c r="AM169" s="224"/>
    </row>
    <row r="170" spans="1:39" s="225" customFormat="1" ht="20.25" customHeight="1">
      <c r="A170" s="218">
        <v>7</v>
      </c>
      <c r="B170" s="160" t="s">
        <v>520</v>
      </c>
      <c r="C170" s="231"/>
      <c r="D170" s="153">
        <f t="shared" si="86"/>
        <v>311</v>
      </c>
      <c r="E170" s="182">
        <v>311</v>
      </c>
      <c r="F170" s="182"/>
      <c r="G170" s="154">
        <f t="shared" si="96"/>
        <v>0</v>
      </c>
      <c r="H170" s="154"/>
      <c r="I170" s="154"/>
      <c r="J170" s="182">
        <f t="shared" si="97"/>
        <v>0</v>
      </c>
      <c r="K170" s="182"/>
      <c r="L170" s="182"/>
      <c r="M170" s="155">
        <f t="shared" si="87"/>
        <v>311</v>
      </c>
      <c r="N170" s="155">
        <f t="shared" si="98"/>
        <v>311</v>
      </c>
      <c r="O170" s="155">
        <f t="shared" si="88"/>
        <v>0</v>
      </c>
      <c r="P170" s="156">
        <v>0</v>
      </c>
      <c r="Q170" s="176"/>
      <c r="R170" s="157" t="e">
        <f>#REF!*P170</f>
        <v>#REF!</v>
      </c>
      <c r="S170" s="91">
        <f t="shared" si="99"/>
        <v>0</v>
      </c>
      <c r="T170" s="222"/>
      <c r="U170" s="222"/>
      <c r="V170" s="91">
        <f t="shared" si="89"/>
        <v>0</v>
      </c>
      <c r="W170" s="222"/>
      <c r="X170" s="222"/>
      <c r="Y170" s="58">
        <f t="shared" si="106"/>
        <v>0</v>
      </c>
      <c r="Z170" s="58">
        <f t="shared" si="100"/>
        <v>0</v>
      </c>
      <c r="AA170" s="58">
        <f t="shared" si="90"/>
        <v>0</v>
      </c>
      <c r="AB170" s="70"/>
      <c r="AC170" s="71" t="e">
        <f>#REF!*P170</f>
        <v>#REF!</v>
      </c>
      <c r="AD170" s="158">
        <f t="shared" si="105"/>
        <v>0</v>
      </c>
      <c r="AE170" s="71">
        <f t="shared" si="101"/>
        <v>0</v>
      </c>
      <c r="AF170" s="71" t="e">
        <f>#REF!*P170</f>
        <v>#REF!</v>
      </c>
      <c r="AG170" s="58">
        <f t="shared" si="102"/>
        <v>0</v>
      </c>
      <c r="AH170" s="71"/>
      <c r="AI170" s="71"/>
      <c r="AJ170" s="58">
        <f t="shared" si="103"/>
        <v>311</v>
      </c>
      <c r="AK170" s="58">
        <f t="shared" si="104"/>
        <v>311</v>
      </c>
      <c r="AL170" s="58">
        <f t="shared" si="104"/>
        <v>0</v>
      </c>
      <c r="AM170" s="224"/>
    </row>
    <row r="171" spans="1:39" s="225" customFormat="1" ht="30" customHeight="1">
      <c r="A171" s="218">
        <v>8</v>
      </c>
      <c r="B171" s="160" t="s">
        <v>521</v>
      </c>
      <c r="C171" s="160" t="s">
        <v>522</v>
      </c>
      <c r="D171" s="153">
        <f t="shared" si="86"/>
        <v>322</v>
      </c>
      <c r="E171" s="153">
        <v>322</v>
      </c>
      <c r="F171" s="153"/>
      <c r="G171" s="154">
        <f t="shared" ref="G171:G176" si="107">H171+I171</f>
        <v>0</v>
      </c>
      <c r="H171" s="153"/>
      <c r="I171" s="153"/>
      <c r="J171" s="182">
        <f t="shared" si="97"/>
        <v>0</v>
      </c>
      <c r="K171" s="153"/>
      <c r="L171" s="153"/>
      <c r="M171" s="155">
        <f t="shared" si="87"/>
        <v>322</v>
      </c>
      <c r="N171" s="155">
        <f t="shared" si="98"/>
        <v>322</v>
      </c>
      <c r="O171" s="155">
        <f t="shared" si="88"/>
        <v>0</v>
      </c>
      <c r="P171" s="156">
        <v>0</v>
      </c>
      <c r="Q171" s="176"/>
      <c r="R171" s="157" t="e">
        <f>#REF!*P171</f>
        <v>#REF!</v>
      </c>
      <c r="S171" s="91">
        <f t="shared" si="99"/>
        <v>0</v>
      </c>
      <c r="T171" s="222"/>
      <c r="U171" s="222"/>
      <c r="V171" s="91">
        <f t="shared" si="89"/>
        <v>0</v>
      </c>
      <c r="W171" s="222"/>
      <c r="X171" s="222"/>
      <c r="Y171" s="58">
        <f t="shared" si="106"/>
        <v>0</v>
      </c>
      <c r="Z171" s="58">
        <f t="shared" si="100"/>
        <v>0</v>
      </c>
      <c r="AA171" s="58">
        <f t="shared" si="90"/>
        <v>0</v>
      </c>
      <c r="AB171" s="70"/>
      <c r="AC171" s="71" t="e">
        <f>#REF!*P171</f>
        <v>#REF!</v>
      </c>
      <c r="AD171" s="158">
        <f t="shared" si="105"/>
        <v>0</v>
      </c>
      <c r="AE171" s="71">
        <f t="shared" si="101"/>
        <v>0</v>
      </c>
      <c r="AF171" s="71" t="e">
        <f>#REF!*P171</f>
        <v>#REF!</v>
      </c>
      <c r="AG171" s="58">
        <f t="shared" si="102"/>
        <v>0</v>
      </c>
      <c r="AH171" s="71"/>
      <c r="AI171" s="71"/>
      <c r="AJ171" s="58">
        <f t="shared" si="103"/>
        <v>322</v>
      </c>
      <c r="AK171" s="58">
        <f t="shared" si="104"/>
        <v>322</v>
      </c>
      <c r="AL171" s="58">
        <f t="shared" si="104"/>
        <v>0</v>
      </c>
      <c r="AM171" s="224"/>
    </row>
    <row r="172" spans="1:39" s="225" customFormat="1" ht="30" customHeight="1">
      <c r="A172" s="218">
        <v>9</v>
      </c>
      <c r="B172" s="160" t="s">
        <v>523</v>
      </c>
      <c r="C172" s="160"/>
      <c r="D172" s="153">
        <f t="shared" si="86"/>
        <v>0</v>
      </c>
      <c r="E172" s="153"/>
      <c r="F172" s="153"/>
      <c r="G172" s="154">
        <f t="shared" si="107"/>
        <v>0</v>
      </c>
      <c r="H172" s="153"/>
      <c r="I172" s="153"/>
      <c r="J172" s="182">
        <f t="shared" si="97"/>
        <v>72</v>
      </c>
      <c r="K172" s="153">
        <v>72</v>
      </c>
      <c r="L172" s="153"/>
      <c r="M172" s="155">
        <f t="shared" si="87"/>
        <v>72</v>
      </c>
      <c r="N172" s="155">
        <f t="shared" si="98"/>
        <v>72</v>
      </c>
      <c r="O172" s="155">
        <f t="shared" si="88"/>
        <v>0</v>
      </c>
      <c r="P172" s="156">
        <v>0</v>
      </c>
      <c r="Q172" s="176"/>
      <c r="R172" s="157" t="e">
        <f>#REF!*P172</f>
        <v>#REF!</v>
      </c>
      <c r="S172" s="91">
        <f t="shared" si="99"/>
        <v>0</v>
      </c>
      <c r="T172" s="222"/>
      <c r="U172" s="222"/>
      <c r="V172" s="91">
        <f t="shared" si="89"/>
        <v>72</v>
      </c>
      <c r="W172" s="222">
        <v>72</v>
      </c>
      <c r="X172" s="222"/>
      <c r="Y172" s="58">
        <f t="shared" si="106"/>
        <v>100</v>
      </c>
      <c r="Z172" s="58">
        <f t="shared" si="100"/>
        <v>100</v>
      </c>
      <c r="AA172" s="58">
        <f t="shared" si="90"/>
        <v>0</v>
      </c>
      <c r="AB172" s="70">
        <v>72</v>
      </c>
      <c r="AC172" s="71" t="e">
        <f>#REF!*P172</f>
        <v>#REF!</v>
      </c>
      <c r="AD172" s="158">
        <f t="shared" si="105"/>
        <v>100</v>
      </c>
      <c r="AE172" s="71">
        <f t="shared" si="101"/>
        <v>0</v>
      </c>
      <c r="AF172" s="71" t="e">
        <f>#REF!*P172</f>
        <v>#REF!</v>
      </c>
      <c r="AG172" s="58">
        <f t="shared" si="102"/>
        <v>0</v>
      </c>
      <c r="AH172" s="71"/>
      <c r="AI172" s="71"/>
      <c r="AJ172" s="58">
        <f t="shared" si="103"/>
        <v>0</v>
      </c>
      <c r="AK172" s="58">
        <f t="shared" si="104"/>
        <v>0</v>
      </c>
      <c r="AL172" s="58">
        <f t="shared" si="104"/>
        <v>0</v>
      </c>
      <c r="AM172" s="224"/>
    </row>
    <row r="173" spans="1:39" s="225" customFormat="1" ht="30" customHeight="1">
      <c r="A173" s="218">
        <v>10</v>
      </c>
      <c r="B173" s="160" t="s">
        <v>524</v>
      </c>
      <c r="C173" s="160" t="s">
        <v>525</v>
      </c>
      <c r="D173" s="153">
        <f t="shared" si="86"/>
        <v>0</v>
      </c>
      <c r="E173" s="153"/>
      <c r="F173" s="153"/>
      <c r="G173" s="154">
        <f t="shared" si="107"/>
        <v>0</v>
      </c>
      <c r="H173" s="153"/>
      <c r="I173" s="153"/>
      <c r="J173" s="182">
        <f t="shared" si="97"/>
        <v>1100</v>
      </c>
      <c r="K173" s="153">
        <v>1100</v>
      </c>
      <c r="L173" s="153"/>
      <c r="M173" s="155">
        <f t="shared" si="87"/>
        <v>1100</v>
      </c>
      <c r="N173" s="155">
        <f t="shared" si="98"/>
        <v>1100</v>
      </c>
      <c r="O173" s="155">
        <f t="shared" si="88"/>
        <v>0</v>
      </c>
      <c r="P173" s="156">
        <v>0</v>
      </c>
      <c r="Q173" s="176"/>
      <c r="R173" s="157" t="e">
        <f>#REF!*P173</f>
        <v>#REF!</v>
      </c>
      <c r="S173" s="91">
        <f t="shared" si="99"/>
        <v>0</v>
      </c>
      <c r="T173" s="222"/>
      <c r="U173" s="222"/>
      <c r="V173" s="91">
        <f t="shared" si="89"/>
        <v>1100</v>
      </c>
      <c r="W173" s="222">
        <f>36+178+72+180+36+180+288+130</f>
        <v>1100</v>
      </c>
      <c r="X173" s="222"/>
      <c r="Y173" s="58">
        <f t="shared" si="106"/>
        <v>100</v>
      </c>
      <c r="Z173" s="58">
        <f t="shared" si="100"/>
        <v>100</v>
      </c>
      <c r="AA173" s="58">
        <f t="shared" si="90"/>
        <v>0</v>
      </c>
      <c r="AB173" s="70">
        <f>36+178+72+180+36+180+288+130</f>
        <v>1100</v>
      </c>
      <c r="AC173" s="71" t="e">
        <f>#REF!*P173</f>
        <v>#REF!</v>
      </c>
      <c r="AD173" s="158">
        <f t="shared" si="105"/>
        <v>100</v>
      </c>
      <c r="AE173" s="71">
        <f t="shared" si="101"/>
        <v>0</v>
      </c>
      <c r="AF173" s="71" t="e">
        <f>#REF!*P173</f>
        <v>#REF!</v>
      </c>
      <c r="AG173" s="58">
        <f t="shared" si="102"/>
        <v>0</v>
      </c>
      <c r="AH173" s="71"/>
      <c r="AI173" s="71"/>
      <c r="AJ173" s="58">
        <f t="shared" si="103"/>
        <v>0</v>
      </c>
      <c r="AK173" s="58">
        <f t="shared" si="104"/>
        <v>0</v>
      </c>
      <c r="AL173" s="58">
        <f t="shared" si="104"/>
        <v>0</v>
      </c>
      <c r="AM173" s="224"/>
    </row>
    <row r="174" spans="1:39" s="225" customFormat="1" ht="30" customHeight="1">
      <c r="A174" s="218">
        <v>11</v>
      </c>
      <c r="B174" s="160" t="s">
        <v>524</v>
      </c>
      <c r="C174" s="160"/>
      <c r="D174" s="153">
        <f t="shared" si="86"/>
        <v>0</v>
      </c>
      <c r="E174" s="153"/>
      <c r="F174" s="153"/>
      <c r="G174" s="154">
        <f t="shared" si="107"/>
        <v>0</v>
      </c>
      <c r="H174" s="153"/>
      <c r="I174" s="153"/>
      <c r="J174" s="182">
        <f t="shared" si="97"/>
        <v>1357</v>
      </c>
      <c r="K174" s="153">
        <v>1357</v>
      </c>
      <c r="L174" s="153"/>
      <c r="M174" s="155">
        <f t="shared" si="87"/>
        <v>1357</v>
      </c>
      <c r="N174" s="155">
        <f t="shared" si="98"/>
        <v>1357</v>
      </c>
      <c r="O174" s="155">
        <f t="shared" si="88"/>
        <v>0</v>
      </c>
      <c r="P174" s="156">
        <v>0</v>
      </c>
      <c r="Q174" s="176"/>
      <c r="R174" s="157" t="e">
        <f>#REF!*P174</f>
        <v>#REF!</v>
      </c>
      <c r="S174" s="91">
        <f t="shared" si="99"/>
        <v>0</v>
      </c>
      <c r="T174" s="222"/>
      <c r="U174" s="222"/>
      <c r="V174" s="91">
        <f t="shared" si="89"/>
        <v>504</v>
      </c>
      <c r="W174" s="222">
        <f>36+324+72+72</f>
        <v>504</v>
      </c>
      <c r="X174" s="222"/>
      <c r="Y174" s="58">
        <f t="shared" si="106"/>
        <v>37</v>
      </c>
      <c r="Z174" s="58">
        <f t="shared" si="100"/>
        <v>37</v>
      </c>
      <c r="AA174" s="58">
        <f t="shared" si="90"/>
        <v>0</v>
      </c>
      <c r="AB174" s="70">
        <f>36+324+72+72</f>
        <v>504</v>
      </c>
      <c r="AC174" s="71" t="e">
        <f>#REF!*P174</f>
        <v>#REF!</v>
      </c>
      <c r="AD174" s="158">
        <f t="shared" si="105"/>
        <v>37</v>
      </c>
      <c r="AE174" s="71">
        <f t="shared" si="101"/>
        <v>0</v>
      </c>
      <c r="AF174" s="71" t="e">
        <f>#REF!*P174</f>
        <v>#REF!</v>
      </c>
      <c r="AG174" s="58">
        <f t="shared" si="102"/>
        <v>0</v>
      </c>
      <c r="AH174" s="71"/>
      <c r="AI174" s="71"/>
      <c r="AJ174" s="58">
        <f t="shared" si="103"/>
        <v>853</v>
      </c>
      <c r="AK174" s="58">
        <f t="shared" si="104"/>
        <v>853</v>
      </c>
      <c r="AL174" s="58">
        <f t="shared" si="104"/>
        <v>0</v>
      </c>
      <c r="AM174" s="224"/>
    </row>
    <row r="175" spans="1:39" s="225" customFormat="1" ht="30" customHeight="1">
      <c r="A175" s="218">
        <v>12</v>
      </c>
      <c r="B175" s="160" t="s">
        <v>526</v>
      </c>
      <c r="C175" s="160" t="s">
        <v>527</v>
      </c>
      <c r="D175" s="153">
        <f t="shared" si="86"/>
        <v>0</v>
      </c>
      <c r="E175" s="153"/>
      <c r="F175" s="153"/>
      <c r="G175" s="154">
        <f t="shared" si="107"/>
        <v>0</v>
      </c>
      <c r="H175" s="153"/>
      <c r="I175" s="153"/>
      <c r="J175" s="182">
        <f t="shared" si="97"/>
        <v>571</v>
      </c>
      <c r="K175" s="153">
        <v>571</v>
      </c>
      <c r="L175" s="153"/>
      <c r="M175" s="155">
        <f t="shared" si="87"/>
        <v>571</v>
      </c>
      <c r="N175" s="155">
        <f t="shared" si="98"/>
        <v>571</v>
      </c>
      <c r="O175" s="155">
        <f t="shared" si="88"/>
        <v>0</v>
      </c>
      <c r="P175" s="156">
        <v>0</v>
      </c>
      <c r="Q175" s="176"/>
      <c r="R175" s="157" t="e">
        <f>#REF!*P175</f>
        <v>#REF!</v>
      </c>
      <c r="S175" s="91">
        <f t="shared" si="99"/>
        <v>540</v>
      </c>
      <c r="T175" s="222">
        <v>540</v>
      </c>
      <c r="U175" s="222"/>
      <c r="V175" s="91">
        <f t="shared" si="89"/>
        <v>540</v>
      </c>
      <c r="W175" s="222">
        <f>540</f>
        <v>540</v>
      </c>
      <c r="X175" s="222"/>
      <c r="Y175" s="58">
        <f t="shared" si="106"/>
        <v>95</v>
      </c>
      <c r="Z175" s="58">
        <f t="shared" si="100"/>
        <v>95</v>
      </c>
      <c r="AA175" s="58">
        <f t="shared" si="90"/>
        <v>0</v>
      </c>
      <c r="AB175" s="70"/>
      <c r="AC175" s="71" t="e">
        <f>#REF!*P175</f>
        <v>#REF!</v>
      </c>
      <c r="AD175" s="158">
        <f t="shared" si="105"/>
        <v>0</v>
      </c>
      <c r="AE175" s="71">
        <f t="shared" si="101"/>
        <v>540</v>
      </c>
      <c r="AF175" s="71" t="e">
        <f>#REF!*P175</f>
        <v>#REF!</v>
      </c>
      <c r="AG175" s="58">
        <f t="shared" si="102"/>
        <v>0</v>
      </c>
      <c r="AH175" s="71"/>
      <c r="AI175" s="71"/>
      <c r="AJ175" s="58">
        <f t="shared" si="103"/>
        <v>31</v>
      </c>
      <c r="AK175" s="58">
        <f t="shared" si="104"/>
        <v>31</v>
      </c>
      <c r="AL175" s="58">
        <f t="shared" si="104"/>
        <v>0</v>
      </c>
      <c r="AM175" s="224"/>
    </row>
    <row r="176" spans="1:39" s="225" customFormat="1" ht="30" customHeight="1">
      <c r="A176" s="218">
        <v>12</v>
      </c>
      <c r="B176" s="160" t="s">
        <v>526</v>
      </c>
      <c r="C176" s="160" t="s">
        <v>388</v>
      </c>
      <c r="D176" s="153">
        <f t="shared" si="86"/>
        <v>0</v>
      </c>
      <c r="E176" s="153"/>
      <c r="F176" s="153"/>
      <c r="G176" s="154">
        <f t="shared" si="107"/>
        <v>0</v>
      </c>
      <c r="H176" s="153"/>
      <c r="I176" s="153"/>
      <c r="J176" s="182">
        <f t="shared" si="97"/>
        <v>36</v>
      </c>
      <c r="K176" s="153">
        <v>36</v>
      </c>
      <c r="L176" s="153"/>
      <c r="M176" s="155">
        <f t="shared" si="87"/>
        <v>36</v>
      </c>
      <c r="N176" s="155">
        <f t="shared" si="98"/>
        <v>36</v>
      </c>
      <c r="O176" s="155">
        <f t="shared" si="88"/>
        <v>0</v>
      </c>
      <c r="P176" s="156">
        <v>0</v>
      </c>
      <c r="Q176" s="176"/>
      <c r="R176" s="157" t="e">
        <f>#REF!*P176</f>
        <v>#REF!</v>
      </c>
      <c r="S176" s="91">
        <f t="shared" si="99"/>
        <v>36</v>
      </c>
      <c r="T176" s="222">
        <v>36</v>
      </c>
      <c r="U176" s="222"/>
      <c r="V176" s="91">
        <f t="shared" si="89"/>
        <v>36</v>
      </c>
      <c r="W176" s="222">
        <v>36</v>
      </c>
      <c r="X176" s="222"/>
      <c r="Y176" s="58">
        <f t="shared" si="106"/>
        <v>100</v>
      </c>
      <c r="Z176" s="58">
        <f t="shared" si="106"/>
        <v>100</v>
      </c>
      <c r="AA176" s="58">
        <f t="shared" si="106"/>
        <v>0</v>
      </c>
      <c r="AB176" s="70"/>
      <c r="AC176" s="71" t="e">
        <f>#REF!*P176</f>
        <v>#REF!</v>
      </c>
      <c r="AD176" s="158">
        <f t="shared" si="105"/>
        <v>0</v>
      </c>
      <c r="AE176" s="71">
        <f t="shared" si="101"/>
        <v>36</v>
      </c>
      <c r="AF176" s="71" t="e">
        <f>#REF!*P176</f>
        <v>#REF!</v>
      </c>
      <c r="AG176" s="58">
        <f t="shared" si="102"/>
        <v>0</v>
      </c>
      <c r="AH176" s="71"/>
      <c r="AI176" s="71"/>
      <c r="AJ176" s="58">
        <f t="shared" si="103"/>
        <v>0</v>
      </c>
      <c r="AK176" s="58">
        <f t="shared" si="95"/>
        <v>0</v>
      </c>
      <c r="AL176" s="58">
        <f t="shared" si="95"/>
        <v>0</v>
      </c>
      <c r="AM176" s="224"/>
    </row>
    <row r="177" spans="1:39" ht="20.25" customHeight="1">
      <c r="A177" s="51"/>
      <c r="B177" s="193" t="s">
        <v>528</v>
      </c>
      <c r="C177" s="232"/>
      <c r="D177" s="233"/>
      <c r="E177" s="233"/>
      <c r="F177" s="233"/>
      <c r="G177" s="233"/>
      <c r="H177" s="233"/>
      <c r="I177" s="233"/>
      <c r="J177" s="233"/>
      <c r="K177" s="233"/>
      <c r="L177" s="233"/>
      <c r="M177" s="206">
        <f>SUM(M164:M176)</f>
        <v>4188</v>
      </c>
      <c r="N177" s="206">
        <f>SUM(N164:N176)</f>
        <v>4188</v>
      </c>
      <c r="O177" s="206">
        <f>SUM(O164:O176)</f>
        <v>0</v>
      </c>
      <c r="P177" s="208"/>
      <c r="Q177" s="209"/>
      <c r="R177" s="157" t="e">
        <f>#REF!*P177</f>
        <v>#REF!</v>
      </c>
      <c r="S177" s="195">
        <f t="shared" ref="S177:AK177" si="108">SUM(S164:S176)</f>
        <v>596</v>
      </c>
      <c r="T177" s="195">
        <f t="shared" si="108"/>
        <v>596</v>
      </c>
      <c r="U177" s="195">
        <f t="shared" si="108"/>
        <v>0</v>
      </c>
      <c r="V177" s="195">
        <f t="shared" si="108"/>
        <v>2559</v>
      </c>
      <c r="W177" s="195">
        <f t="shared" si="108"/>
        <v>2559</v>
      </c>
      <c r="X177" s="195">
        <f t="shared" si="108"/>
        <v>0</v>
      </c>
      <c r="Y177" s="195">
        <f t="shared" si="108"/>
        <v>873</v>
      </c>
      <c r="Z177" s="195">
        <f t="shared" si="108"/>
        <v>873</v>
      </c>
      <c r="AA177" s="195">
        <f t="shared" si="108"/>
        <v>0</v>
      </c>
      <c r="AB177" s="195">
        <f t="shared" si="108"/>
        <v>1863</v>
      </c>
      <c r="AC177" s="195" t="e">
        <f t="shared" si="108"/>
        <v>#REF!</v>
      </c>
      <c r="AD177" s="195">
        <f t="shared" si="108"/>
        <v>567</v>
      </c>
      <c r="AE177" s="195">
        <f t="shared" si="108"/>
        <v>596</v>
      </c>
      <c r="AF177" s="195" t="e">
        <f t="shared" si="108"/>
        <v>#REF!</v>
      </c>
      <c r="AG177" s="195">
        <f t="shared" si="108"/>
        <v>0</v>
      </c>
      <c r="AH177" s="195">
        <f t="shared" si="108"/>
        <v>0</v>
      </c>
      <c r="AI177" s="195">
        <f t="shared" si="108"/>
        <v>0</v>
      </c>
      <c r="AJ177" s="195">
        <f t="shared" si="108"/>
        <v>1629</v>
      </c>
      <c r="AK177" s="195">
        <f t="shared" si="108"/>
        <v>1629</v>
      </c>
      <c r="AL177" s="195">
        <f>SUM(AL164:AL164)</f>
        <v>0</v>
      </c>
      <c r="AM177" s="159"/>
    </row>
    <row r="178" spans="1:39" ht="21.75" customHeight="1">
      <c r="A178" s="51"/>
      <c r="B178" s="234" t="s">
        <v>529</v>
      </c>
      <c r="C178" s="235"/>
      <c r="D178" s="236">
        <f t="shared" ref="D178:X178" si="109">D43+D150+D159+D162+D177</f>
        <v>9172</v>
      </c>
      <c r="E178" s="236">
        <f t="shared" si="109"/>
        <v>6415</v>
      </c>
      <c r="F178" s="236">
        <f t="shared" si="109"/>
        <v>2757</v>
      </c>
      <c r="G178" s="236">
        <f t="shared" si="109"/>
        <v>103972</v>
      </c>
      <c r="H178" s="236">
        <f t="shared" si="109"/>
        <v>89863</v>
      </c>
      <c r="I178" s="236">
        <f t="shared" si="109"/>
        <v>14109</v>
      </c>
      <c r="J178" s="236">
        <f t="shared" si="109"/>
        <v>9821</v>
      </c>
      <c r="K178" s="236">
        <f t="shared" si="109"/>
        <v>8028</v>
      </c>
      <c r="L178" s="236">
        <f t="shared" si="109"/>
        <v>1793</v>
      </c>
      <c r="M178" s="235">
        <f>M43+M150+M159+M162+M177</f>
        <v>127153</v>
      </c>
      <c r="N178" s="237">
        <f t="shared" si="109"/>
        <v>108494</v>
      </c>
      <c r="O178" s="237">
        <f t="shared" si="109"/>
        <v>18659</v>
      </c>
      <c r="P178" s="237">
        <f t="shared" si="109"/>
        <v>0</v>
      </c>
      <c r="Q178" s="237">
        <f t="shared" si="109"/>
        <v>0</v>
      </c>
      <c r="R178" s="237" t="e">
        <f t="shared" si="109"/>
        <v>#REF!</v>
      </c>
      <c r="S178" s="238">
        <f t="shared" si="109"/>
        <v>2861</v>
      </c>
      <c r="T178" s="238">
        <f t="shared" si="109"/>
        <v>2010</v>
      </c>
      <c r="U178" s="238">
        <f t="shared" si="109"/>
        <v>851</v>
      </c>
      <c r="V178" s="238">
        <f t="shared" si="109"/>
        <v>122933</v>
      </c>
      <c r="W178" s="238">
        <f t="shared" si="109"/>
        <v>104773</v>
      </c>
      <c r="X178" s="238">
        <f t="shared" si="109"/>
        <v>18160</v>
      </c>
      <c r="Y178" s="58">
        <f t="shared" ref="Y178:AA178" si="110">IF(M178&gt;0,ROUND((V178/M178)*100,0),0)</f>
        <v>97</v>
      </c>
      <c r="Z178" s="58">
        <f t="shared" si="110"/>
        <v>97</v>
      </c>
      <c r="AA178" s="58">
        <f t="shared" si="110"/>
        <v>97</v>
      </c>
      <c r="AB178" s="238">
        <f>AB43+AB150+AB159+AB162+AB177</f>
        <v>102735</v>
      </c>
      <c r="AC178" s="238" t="e">
        <f>AC43+AC150+AC159+AC162+AC177</f>
        <v>#REF!</v>
      </c>
      <c r="AD178" s="158">
        <f>IF(N178&gt;0,ROUND((AB178/N178)*100,0),0)</f>
        <v>95</v>
      </c>
      <c r="AE178" s="238">
        <f t="shared" ref="AE178:AL178" si="111">AE43+AE150+AE159+AE162+AE177</f>
        <v>1938</v>
      </c>
      <c r="AF178" s="238" t="e">
        <f t="shared" si="111"/>
        <v>#REF!</v>
      </c>
      <c r="AG178" s="238">
        <f t="shared" si="111"/>
        <v>0</v>
      </c>
      <c r="AH178" s="238">
        <f t="shared" si="111"/>
        <v>0</v>
      </c>
      <c r="AI178" s="238">
        <f t="shared" si="111"/>
        <v>0</v>
      </c>
      <c r="AJ178" s="238">
        <f t="shared" si="111"/>
        <v>4220</v>
      </c>
      <c r="AK178" s="238">
        <f t="shared" si="111"/>
        <v>3721</v>
      </c>
      <c r="AL178" s="238">
        <f t="shared" si="111"/>
        <v>499</v>
      </c>
      <c r="AM178" s="159"/>
    </row>
  </sheetData>
  <protectedRanges>
    <protectedRange sqref="P6:S6 P179:U1048576 P7:U7 V159:X159 P1:U5 S162:U162 P138:R144 P43:X43 P44:U46 AE43:AL43 P47:R136 T47:U136 S47:S144 P147:R147 S147:S148 P145:U145 P146:S146 T138:U147 P148:U161 P40:U42 P9:U38 P163:U176" name="Диапазон1_3"/>
    <protectedRange sqref="P39:U39" name="Диапазон1_3_1"/>
  </protectedRanges>
  <autoFilter ref="A8:AN178"/>
  <mergeCells count="47">
    <mergeCell ref="F5:F7"/>
    <mergeCell ref="S3:T3"/>
    <mergeCell ref="W3:X3"/>
    <mergeCell ref="Y3:AB3"/>
    <mergeCell ref="AD3:AE3"/>
    <mergeCell ref="S4:T4"/>
    <mergeCell ref="W4:X4"/>
    <mergeCell ref="Y4:AB4"/>
    <mergeCell ref="AD4:AE4"/>
    <mergeCell ref="A5:A7"/>
    <mergeCell ref="B5:B7"/>
    <mergeCell ref="C5:C7"/>
    <mergeCell ref="D5:D7"/>
    <mergeCell ref="E5:E7"/>
    <mergeCell ref="X6:X7"/>
    <mergeCell ref="Y6:Y7"/>
    <mergeCell ref="Z6:Z7"/>
    <mergeCell ref="AA6:AA7"/>
    <mergeCell ref="G5:G7"/>
    <mergeCell ref="H5:H7"/>
    <mergeCell ref="I5:I7"/>
    <mergeCell ref="J5:J7"/>
    <mergeCell ref="K5:K7"/>
    <mergeCell ref="L5:L7"/>
    <mergeCell ref="AB5:AE5"/>
    <mergeCell ref="AF5:AF7"/>
    <mergeCell ref="AG5:AI5"/>
    <mergeCell ref="AJ5:AL5"/>
    <mergeCell ref="M6:M7"/>
    <mergeCell ref="N6:N7"/>
    <mergeCell ref="O6:O7"/>
    <mergeCell ref="T6:T7"/>
    <mergeCell ref="U6:U7"/>
    <mergeCell ref="W6:W7"/>
    <mergeCell ref="M5:O5"/>
    <mergeCell ref="P5:P7"/>
    <mergeCell ref="R5:R7"/>
    <mergeCell ref="S5:U5"/>
    <mergeCell ref="V5:X5"/>
    <mergeCell ref="Y5:AA5"/>
    <mergeCell ref="AL6:AL7"/>
    <mergeCell ref="AB6:AB7"/>
    <mergeCell ref="AD6:AD7"/>
    <mergeCell ref="AE6:AE7"/>
    <mergeCell ref="AG6:AG7"/>
    <mergeCell ref="AJ6:AJ7"/>
    <mergeCell ref="AK6:AK7"/>
  </mergeCells>
  <conditionalFormatting sqref="AD161:AD162 Y161:AA162 AD152 Y152:AA152 Y155:AA159 AD155:AD159 AD11:AD42 Y11:AA42">
    <cfRule type="cellIs" dxfId="400" priority="17" stopIfTrue="1" operator="between">
      <formula>$AD$4</formula>
      <formula>100</formula>
    </cfRule>
    <cfRule type="cellIs" dxfId="399" priority="18" stopIfTrue="1" operator="between">
      <formula>0</formula>
      <formula>$AD$4</formula>
    </cfRule>
  </conditionalFormatting>
  <conditionalFormatting sqref="Y178:AA178 AD178 AD46:AD150 Y46:AA150 AD164:AD176 Y164:AA176">
    <cfRule type="cellIs" dxfId="398" priority="14" stopIfTrue="1" operator="greaterThanOrEqual">
      <formula>100</formula>
    </cfRule>
    <cfRule type="cellIs" dxfId="397" priority="15" stopIfTrue="1" operator="between">
      <formula>$AD$4</formula>
      <formula>100</formula>
    </cfRule>
    <cfRule type="cellIs" dxfId="396" priority="16" stopIfTrue="1" operator="between">
      <formula>0</formula>
      <formula>$AD$4</formula>
    </cfRule>
  </conditionalFormatting>
  <conditionalFormatting sqref="AD161:AD162 Y161:AA162 AD152 Y152:AA152 AD155:AD159 Y155:AA159 AD11:AD43 Y11:AA43">
    <cfRule type="cellIs" dxfId="395" priority="13" stopIfTrue="1" operator="greaterThanOrEqual">
      <formula>100</formula>
    </cfRule>
  </conditionalFormatting>
  <conditionalFormatting sqref="A11 A161 A155:A158 A13:A42 A164:A176">
    <cfRule type="expression" dxfId="394" priority="12" stopIfTrue="1">
      <formula>OR(($M11=0),($Y11&gt;=100))</formula>
    </cfRule>
  </conditionalFormatting>
  <conditionalFormatting sqref="A12 A14 A16 A18 A20 A22 A24 A27 A29 A31 A34 A36:A37 A40:A41">
    <cfRule type="expression" dxfId="393" priority="11" stopIfTrue="1">
      <formula>OR(($M12=0),($Y12&gt;=100))</formula>
    </cfRule>
  </conditionalFormatting>
  <conditionalFormatting sqref="Y43:AA43 AD43">
    <cfRule type="cellIs" dxfId="392" priority="9" stopIfTrue="1" operator="between">
      <formula>$T$4</formula>
      <formula>100</formula>
    </cfRule>
    <cfRule type="cellIs" dxfId="391" priority="10" stopIfTrue="1" operator="between">
      <formula>0</formula>
      <formula>$T$4</formula>
    </cfRule>
  </conditionalFormatting>
  <conditionalFormatting sqref="Y43:AA43">
    <cfRule type="cellIs" dxfId="390" priority="6" stopIfTrue="1" operator="greaterThanOrEqual">
      <formula>100</formula>
    </cfRule>
    <cfRule type="cellIs" dxfId="389" priority="7" stopIfTrue="1" operator="between">
      <formula>$T$4</formula>
      <formula>100</formula>
    </cfRule>
    <cfRule type="cellIs" dxfId="388" priority="8" stopIfTrue="1" operator="between">
      <formula>0</formula>
      <formula>$T$4</formula>
    </cfRule>
  </conditionalFormatting>
  <conditionalFormatting sqref="A33">
    <cfRule type="expression" dxfId="387" priority="5" stopIfTrue="1">
      <formula>OR(($M33=0),($Y33&gt;=100))</formula>
    </cfRule>
  </conditionalFormatting>
  <conditionalFormatting sqref="Y39:AA39 AD39">
    <cfRule type="cellIs" dxfId="386" priority="3" stopIfTrue="1" operator="between">
      <formula>$AD$4</formula>
      <formula>100</formula>
    </cfRule>
    <cfRule type="cellIs" dxfId="385" priority="4" stopIfTrue="1" operator="between">
      <formula>0</formula>
      <formula>$AD$4</formula>
    </cfRule>
  </conditionalFormatting>
  <conditionalFormatting sqref="Y39:AA39 AD39">
    <cfRule type="cellIs" dxfId="384" priority="2" stopIfTrue="1" operator="greaterThanOrEqual">
      <formula>100</formula>
    </cfRule>
  </conditionalFormatting>
  <conditionalFormatting sqref="A39">
    <cfRule type="expression" dxfId="383" priority="1" stopIfTrue="1">
      <formula>OR(($M39=0),($Y39&gt;=100))</formula>
    </cfRule>
  </conditionalFormatting>
  <pageMargins left="0.19685039370078741" right="0" top="0" bottom="0" header="0" footer="0"/>
  <pageSetup paperSize="9" scale="86" fitToHeight="0" orientation="landscape" r:id="rId1"/>
  <colBreaks count="2" manualBreakCount="2">
    <brk id="38" max="34" man="1"/>
    <brk id="44" max="1048575" man="1"/>
  </colBreaks>
</worksheet>
</file>

<file path=xl/worksheets/sheet2.xml><?xml version="1.0" encoding="utf-8"?>
<worksheet xmlns="http://schemas.openxmlformats.org/spreadsheetml/2006/main" xmlns:r="http://schemas.openxmlformats.org/officeDocument/2006/relationships">
  <sheetPr filterMode="1">
    <pageSetUpPr fitToPage="1"/>
  </sheetPr>
  <dimension ref="A1:U286"/>
  <sheetViews>
    <sheetView zoomScale="85" zoomScaleNormal="85" workbookViewId="0">
      <pane ySplit="7" topLeftCell="A8" activePane="bottomLeft" state="frozen"/>
      <selection pane="bottomLeft" activeCell="B52" sqref="B52"/>
    </sheetView>
  </sheetViews>
  <sheetFormatPr defaultColWidth="9.140625" defaultRowHeight="5.65" customHeight="1"/>
  <cols>
    <col min="1" max="1" width="4.5703125" style="117" customWidth="1"/>
    <col min="2" max="2" width="83.5703125" style="7" customWidth="1"/>
    <col min="3" max="3" width="23.42578125" style="7" customWidth="1"/>
    <col min="4" max="4" width="9.5703125" style="7" customWidth="1"/>
    <col min="5" max="5" width="12.5703125" style="7" hidden="1" customWidth="1"/>
    <col min="6" max="6" width="11.140625" style="7" hidden="1" customWidth="1"/>
    <col min="7" max="7" width="11.5703125" style="7" hidden="1" customWidth="1"/>
    <col min="8" max="8" width="10.140625" style="7" hidden="1" customWidth="1"/>
    <col min="9" max="9" width="11.140625" style="7" customWidth="1"/>
    <col min="10" max="10" width="9.42578125" style="7" customWidth="1"/>
    <col min="11" max="11" width="9.28515625" style="7" customWidth="1"/>
    <col min="12" max="12" width="12.140625" style="7" customWidth="1"/>
    <col min="13" max="13" width="11.140625" style="7" customWidth="1"/>
    <col min="14" max="14" width="9.42578125" style="7" customWidth="1"/>
    <col min="15" max="15" width="13.28515625" style="7" hidden="1" customWidth="1"/>
    <col min="16" max="16" width="13.42578125" style="119" customWidth="1"/>
    <col min="17" max="17" width="10.42578125" style="7" customWidth="1"/>
    <col min="18" max="18" width="11.7109375" style="7" hidden="1" customWidth="1"/>
    <col min="19" max="19" width="10.42578125" style="7" hidden="1" customWidth="1"/>
    <col min="20" max="20" width="11.5703125" style="7" customWidth="1"/>
    <col min="21" max="21" width="10.28515625" style="7" customWidth="1"/>
    <col min="22" max="16384" width="9.140625" style="7"/>
  </cols>
  <sheetData>
    <row r="1" spans="1:21" ht="15">
      <c r="A1" s="1"/>
      <c r="B1" s="2"/>
      <c r="C1" s="2"/>
      <c r="D1" s="3"/>
      <c r="E1" s="4"/>
      <c r="F1" s="4"/>
      <c r="G1" s="4" t="s">
        <v>0</v>
      </c>
      <c r="H1" s="4"/>
      <c r="I1" s="4"/>
      <c r="J1" s="4"/>
      <c r="K1" s="4"/>
      <c r="L1" s="5"/>
      <c r="M1" s="5"/>
      <c r="N1" s="2"/>
      <c r="O1" s="2"/>
      <c r="P1" s="6"/>
      <c r="Q1" s="2"/>
      <c r="R1" s="2"/>
      <c r="S1" s="2"/>
      <c r="T1" s="2"/>
    </row>
    <row r="2" spans="1:21" ht="15">
      <c r="A2" s="1"/>
      <c r="B2" s="8" t="s">
        <v>1</v>
      </c>
      <c r="C2" s="8"/>
      <c r="D2" s="4" t="s">
        <v>2</v>
      </c>
      <c r="E2" s="9"/>
      <c r="F2" s="9"/>
      <c r="G2" s="4"/>
      <c r="H2" s="4"/>
      <c r="I2" s="4"/>
      <c r="J2" s="4"/>
      <c r="K2" s="4"/>
      <c r="L2" s="5"/>
      <c r="M2" s="5"/>
      <c r="N2" s="5"/>
      <c r="O2" s="5"/>
      <c r="P2" s="6"/>
      <c r="Q2" s="2"/>
      <c r="R2" s="2"/>
      <c r="S2" s="2"/>
      <c r="T2" s="2"/>
    </row>
    <row r="3" spans="1:21" ht="60.75" customHeight="1">
      <c r="A3" s="10"/>
      <c r="B3" s="11">
        <v>45625</v>
      </c>
      <c r="C3" s="12"/>
      <c r="D3" s="13"/>
      <c r="E3" s="13"/>
      <c r="F3" s="13"/>
      <c r="G3" s="14" t="s">
        <v>3</v>
      </c>
      <c r="H3" s="14" t="s">
        <v>3</v>
      </c>
      <c r="I3" s="15" t="s">
        <v>4</v>
      </c>
      <c r="J3" s="15" t="s">
        <v>5</v>
      </c>
      <c r="K3" s="15" t="s">
        <v>6</v>
      </c>
      <c r="L3" s="16" t="s">
        <v>7</v>
      </c>
      <c r="M3" s="17"/>
      <c r="N3" s="17"/>
      <c r="O3" s="13"/>
      <c r="P3" s="16" t="s">
        <v>8</v>
      </c>
      <c r="Q3" s="13"/>
      <c r="R3" s="13"/>
      <c r="S3" s="13"/>
      <c r="T3" s="13"/>
    </row>
    <row r="4" spans="1:21" ht="15.75">
      <c r="A4" s="10"/>
      <c r="B4" s="18"/>
      <c r="C4" s="13"/>
      <c r="D4" s="13"/>
      <c r="E4" s="13"/>
      <c r="F4" s="13"/>
      <c r="G4" s="19" t="s">
        <v>9</v>
      </c>
      <c r="H4" s="19"/>
      <c r="I4" s="20">
        <v>21</v>
      </c>
      <c r="J4" s="21">
        <v>20</v>
      </c>
      <c r="K4" s="20">
        <f>I4-J4</f>
        <v>1</v>
      </c>
      <c r="L4" s="22">
        <f>IF(I4&gt;0,ROUND((J4/I4)*100,0),0)</f>
        <v>95</v>
      </c>
      <c r="M4" s="17"/>
      <c r="N4" s="17"/>
      <c r="O4" s="13"/>
      <c r="P4" s="22">
        <f>IF(I4&gt;0,ROUND((J4/I4)*100,0),0)</f>
        <v>95</v>
      </c>
      <c r="Q4" s="13"/>
      <c r="R4" s="13"/>
      <c r="S4" s="13"/>
      <c r="T4" s="13"/>
    </row>
    <row r="5" spans="1:21" ht="61.5" customHeight="1">
      <c r="A5" s="317" t="s">
        <v>10</v>
      </c>
      <c r="B5" s="319" t="s">
        <v>11</v>
      </c>
      <c r="C5" s="23" t="s">
        <v>12</v>
      </c>
      <c r="D5" s="321" t="s">
        <v>13</v>
      </c>
      <c r="E5" s="323" t="s">
        <v>14</v>
      </c>
      <c r="F5" s="24" t="s">
        <v>15</v>
      </c>
      <c r="G5" s="323" t="s">
        <v>16</v>
      </c>
      <c r="H5" s="25" t="s">
        <v>17</v>
      </c>
      <c r="I5" s="25" t="s">
        <v>18</v>
      </c>
      <c r="J5" s="293" t="s">
        <v>19</v>
      </c>
      <c r="K5" s="293" t="s">
        <v>20</v>
      </c>
      <c r="L5" s="293" t="s">
        <v>21</v>
      </c>
      <c r="M5" s="25" t="s">
        <v>22</v>
      </c>
      <c r="N5" s="293" t="s">
        <v>23</v>
      </c>
      <c r="O5" s="293" t="s">
        <v>24</v>
      </c>
      <c r="P5" s="313" t="s">
        <v>25</v>
      </c>
      <c r="Q5" s="25" t="s">
        <v>26</v>
      </c>
      <c r="R5" s="315" t="s">
        <v>27</v>
      </c>
      <c r="S5" s="26" t="s">
        <v>28</v>
      </c>
      <c r="T5" s="27" t="s">
        <v>29</v>
      </c>
      <c r="U5" s="256" t="s">
        <v>30</v>
      </c>
    </row>
    <row r="6" spans="1:21" ht="14.25" customHeight="1">
      <c r="A6" s="318"/>
      <c r="B6" s="320"/>
      <c r="C6" s="28"/>
      <c r="D6" s="322"/>
      <c r="E6" s="324"/>
      <c r="F6" s="29"/>
      <c r="G6" s="324"/>
      <c r="H6" s="30">
        <v>45231</v>
      </c>
      <c r="I6" s="31">
        <v>45624</v>
      </c>
      <c r="J6" s="312"/>
      <c r="K6" s="312"/>
      <c r="L6" s="312"/>
      <c r="M6" s="30">
        <f>I6</f>
        <v>45624</v>
      </c>
      <c r="N6" s="312"/>
      <c r="O6" s="312"/>
      <c r="P6" s="314"/>
      <c r="Q6" s="30">
        <f>B3</f>
        <v>45625</v>
      </c>
      <c r="R6" s="316"/>
      <c r="S6" s="32">
        <f>B3</f>
        <v>45625</v>
      </c>
      <c r="T6" s="33">
        <f>Q6</f>
        <v>45625</v>
      </c>
      <c r="U6" s="311"/>
    </row>
    <row r="7" spans="1:21" ht="14.25">
      <c r="A7" s="34">
        <v>1</v>
      </c>
      <c r="B7" s="34">
        <v>2</v>
      </c>
      <c r="C7" s="34">
        <v>3</v>
      </c>
      <c r="D7" s="35">
        <v>4</v>
      </c>
      <c r="E7" s="36">
        <v>5</v>
      </c>
      <c r="F7" s="36">
        <v>6</v>
      </c>
      <c r="G7" s="36">
        <v>7</v>
      </c>
      <c r="H7" s="34">
        <v>8</v>
      </c>
      <c r="I7" s="34">
        <v>9</v>
      </c>
      <c r="J7" s="34">
        <v>10</v>
      </c>
      <c r="K7" s="34">
        <v>11</v>
      </c>
      <c r="L7" s="34">
        <v>12</v>
      </c>
      <c r="M7" s="34"/>
      <c r="N7" s="34">
        <v>14</v>
      </c>
      <c r="O7" s="34">
        <v>15</v>
      </c>
      <c r="P7" s="37">
        <v>16</v>
      </c>
      <c r="Q7" s="34">
        <v>17</v>
      </c>
      <c r="R7" s="34">
        <v>18</v>
      </c>
      <c r="S7" s="38"/>
      <c r="T7" s="39">
        <v>19</v>
      </c>
      <c r="U7" s="40">
        <v>20</v>
      </c>
    </row>
    <row r="8" spans="1:21" ht="19.5" hidden="1" customHeight="1">
      <c r="A8" s="41" t="s">
        <v>31</v>
      </c>
      <c r="B8" s="42"/>
      <c r="C8" s="42"/>
      <c r="D8" s="43"/>
      <c r="E8" s="43"/>
      <c r="F8" s="44"/>
      <c r="G8" s="45"/>
      <c r="H8" s="46"/>
      <c r="I8" s="46"/>
      <c r="J8" s="46"/>
      <c r="K8" s="46"/>
      <c r="L8" s="46"/>
      <c r="M8" s="46"/>
      <c r="N8" s="46"/>
      <c r="O8" s="46"/>
      <c r="P8" s="47"/>
      <c r="Q8" s="46"/>
      <c r="R8" s="46"/>
      <c r="S8" s="46"/>
      <c r="T8" s="46"/>
      <c r="U8" s="48"/>
    </row>
    <row r="9" spans="1:21" ht="18" hidden="1" customHeight="1">
      <c r="A9" s="49">
        <f>SUBTOTAL(103,$B$9:B9)</f>
        <v>0</v>
      </c>
      <c r="B9" s="50" t="s">
        <v>32</v>
      </c>
      <c r="C9" s="51" t="s">
        <v>33</v>
      </c>
      <c r="D9" s="52"/>
      <c r="E9" s="53">
        <v>0</v>
      </c>
      <c r="F9" s="54"/>
      <c r="G9" s="55">
        <v>0</v>
      </c>
      <c r="H9" s="56"/>
      <c r="I9" s="57"/>
      <c r="J9" s="57"/>
      <c r="K9" s="58">
        <f t="shared" ref="K9:K57" si="0">H9+J9</f>
        <v>0</v>
      </c>
      <c r="L9" s="59">
        <f t="shared" ref="L9:L57" si="1">IF(D9&gt;0,ROUND((K9/D9)*100,0),0)</f>
        <v>0</v>
      </c>
      <c r="M9" s="57"/>
      <c r="N9" s="57"/>
      <c r="O9" s="58">
        <f t="shared" ref="O9:O57" si="2">N9*E9</f>
        <v>0</v>
      </c>
      <c r="P9" s="60">
        <f t="shared" ref="P9:P57" si="3">IF(D9&gt;0,ROUND((N9/D9)*100,0),0)</f>
        <v>0</v>
      </c>
      <c r="Q9" s="58">
        <f t="shared" ref="Q9:Q57" si="4">K9-N9</f>
        <v>0</v>
      </c>
      <c r="R9" s="58">
        <v>0</v>
      </c>
      <c r="S9" s="58"/>
      <c r="T9" s="58"/>
      <c r="U9" s="61">
        <v>0</v>
      </c>
    </row>
    <row r="10" spans="1:21" ht="18" hidden="1" customHeight="1">
      <c r="A10" s="49">
        <f>SUBTOTAL(103,$B$9:B10)</f>
        <v>0</v>
      </c>
      <c r="B10" s="50" t="s">
        <v>34</v>
      </c>
      <c r="C10" s="51" t="s">
        <v>33</v>
      </c>
      <c r="D10" s="52"/>
      <c r="E10" s="53">
        <v>0</v>
      </c>
      <c r="F10" s="54"/>
      <c r="G10" s="55">
        <f>D10*E10</f>
        <v>0</v>
      </c>
      <c r="H10" s="56"/>
      <c r="I10" s="57"/>
      <c r="J10" s="57"/>
      <c r="K10" s="58">
        <f>H10+J10</f>
        <v>0</v>
      </c>
      <c r="L10" s="59">
        <f>IF(D10&gt;0,ROUND((K10/D10)*100,0),0)</f>
        <v>0</v>
      </c>
      <c r="M10" s="57"/>
      <c r="N10" s="57"/>
      <c r="O10" s="58">
        <f t="shared" si="2"/>
        <v>0</v>
      </c>
      <c r="P10" s="60">
        <f>IF(D10&gt;0,ROUND((N10/D10)*100,0),0)</f>
        <v>0</v>
      </c>
      <c r="Q10" s="58">
        <f>K10-N10</f>
        <v>0</v>
      </c>
      <c r="R10" s="58">
        <f>Q10*E10</f>
        <v>0</v>
      </c>
      <c r="S10" s="58"/>
      <c r="T10" s="58"/>
      <c r="U10" s="61">
        <f>D10-K10</f>
        <v>0</v>
      </c>
    </row>
    <row r="11" spans="1:21" ht="18" hidden="1" customHeight="1">
      <c r="A11" s="49">
        <f>SUBTOTAL(103,$B$9:B11)</f>
        <v>0</v>
      </c>
      <c r="B11" s="50" t="s">
        <v>35</v>
      </c>
      <c r="C11" s="51" t="s">
        <v>33</v>
      </c>
      <c r="D11" s="52"/>
      <c r="E11" s="53">
        <v>0</v>
      </c>
      <c r="F11" s="54"/>
      <c r="G11" s="55">
        <f>D11*E11</f>
        <v>0</v>
      </c>
      <c r="H11" s="56"/>
      <c r="I11" s="57"/>
      <c r="J11" s="57"/>
      <c r="K11" s="58">
        <f>H11+J11</f>
        <v>0</v>
      </c>
      <c r="L11" s="59">
        <f>IF(D11&gt;0,ROUND((K11/D11)*100,0),0)</f>
        <v>0</v>
      </c>
      <c r="M11" s="57"/>
      <c r="N11" s="57"/>
      <c r="O11" s="58">
        <f t="shared" si="2"/>
        <v>0</v>
      </c>
      <c r="P11" s="60">
        <f>IF(D11&gt;0,ROUND((N11/D11)*100,0),0)</f>
        <v>0</v>
      </c>
      <c r="Q11" s="58">
        <f>K11-N11</f>
        <v>0</v>
      </c>
      <c r="R11" s="58">
        <f>Q11*E11</f>
        <v>0</v>
      </c>
      <c r="S11" s="58"/>
      <c r="T11" s="58"/>
      <c r="U11" s="61">
        <f>D11-K11</f>
        <v>0</v>
      </c>
    </row>
    <row r="12" spans="1:21" ht="18" customHeight="1">
      <c r="A12" s="49">
        <f>SUBTOTAL(103,$B$9:B12)</f>
        <v>1</v>
      </c>
      <c r="B12" s="62" t="s">
        <v>36</v>
      </c>
      <c r="C12" s="51" t="s">
        <v>37</v>
      </c>
      <c r="D12" s="63">
        <v>1</v>
      </c>
      <c r="E12" s="53">
        <v>0</v>
      </c>
      <c r="F12" s="64"/>
      <c r="G12" s="55">
        <f t="shared" ref="G12:G57" si="5">D12*E12</f>
        <v>0</v>
      </c>
      <c r="H12" s="56"/>
      <c r="I12" s="57"/>
      <c r="J12" s="57">
        <v>1</v>
      </c>
      <c r="K12" s="58">
        <f t="shared" ref="K12:K15" si="6">H12+J12</f>
        <v>1</v>
      </c>
      <c r="L12" s="59">
        <f t="shared" ref="L12:L15" si="7">IF(D12&gt;0,ROUND((K12/D12)*100,0),0)</f>
        <v>100</v>
      </c>
      <c r="M12" s="57"/>
      <c r="N12" s="57">
        <v>1</v>
      </c>
      <c r="O12" s="58">
        <f t="shared" si="2"/>
        <v>0</v>
      </c>
      <c r="P12" s="60">
        <f t="shared" ref="P12:P15" si="8">IF(D12&gt;0,ROUND((N12/D12)*100,0),0)</f>
        <v>100</v>
      </c>
      <c r="Q12" s="58">
        <f t="shared" ref="Q12:Q15" si="9">K12-N12</f>
        <v>0</v>
      </c>
      <c r="R12" s="58">
        <f t="shared" ref="R12:R57" si="10">Q12*E12</f>
        <v>0</v>
      </c>
      <c r="S12" s="58"/>
      <c r="T12" s="58"/>
      <c r="U12" s="65">
        <f t="shared" ref="U12:U57" si="11">D12-K12</f>
        <v>0</v>
      </c>
    </row>
    <row r="13" spans="1:21" s="75" customFormat="1" ht="18" customHeight="1">
      <c r="A13" s="49">
        <f>SUBTOTAL(103,$B$9:B13)</f>
        <v>2</v>
      </c>
      <c r="B13" s="50" t="s">
        <v>38</v>
      </c>
      <c r="C13" s="51" t="s">
        <v>37</v>
      </c>
      <c r="D13" s="66">
        <v>1</v>
      </c>
      <c r="E13" s="53">
        <v>0</v>
      </c>
      <c r="F13" s="67"/>
      <c r="G13" s="68">
        <f t="shared" si="5"/>
        <v>0</v>
      </c>
      <c r="H13" s="69"/>
      <c r="I13" s="70"/>
      <c r="J13" s="70">
        <v>1</v>
      </c>
      <c r="K13" s="71">
        <f t="shared" si="6"/>
        <v>1</v>
      </c>
      <c r="L13" s="72">
        <f t="shared" si="7"/>
        <v>100</v>
      </c>
      <c r="M13" s="70"/>
      <c r="N13" s="70">
        <v>1</v>
      </c>
      <c r="O13" s="58">
        <f t="shared" si="2"/>
        <v>0</v>
      </c>
      <c r="P13" s="73">
        <f t="shared" si="8"/>
        <v>100</v>
      </c>
      <c r="Q13" s="71">
        <f t="shared" si="9"/>
        <v>0</v>
      </c>
      <c r="R13" s="71">
        <f t="shared" si="10"/>
        <v>0</v>
      </c>
      <c r="S13" s="71"/>
      <c r="T13" s="71"/>
      <c r="U13" s="74">
        <f t="shared" si="11"/>
        <v>0</v>
      </c>
    </row>
    <row r="14" spans="1:21" s="75" customFormat="1" ht="18" customHeight="1">
      <c r="A14" s="49">
        <f>SUBTOTAL(103,$B$9:B14)</f>
        <v>3</v>
      </c>
      <c r="B14" s="50" t="s">
        <v>39</v>
      </c>
      <c r="C14" s="51" t="s">
        <v>37</v>
      </c>
      <c r="D14" s="66">
        <v>3</v>
      </c>
      <c r="E14" s="53">
        <v>0</v>
      </c>
      <c r="F14" s="67"/>
      <c r="G14" s="68">
        <f t="shared" si="5"/>
        <v>0</v>
      </c>
      <c r="H14" s="69"/>
      <c r="I14" s="70"/>
      <c r="J14" s="70">
        <v>3</v>
      </c>
      <c r="K14" s="71">
        <f t="shared" si="6"/>
        <v>3</v>
      </c>
      <c r="L14" s="72">
        <f t="shared" si="7"/>
        <v>100</v>
      </c>
      <c r="M14" s="70"/>
      <c r="N14" s="70">
        <v>3</v>
      </c>
      <c r="O14" s="58">
        <f t="shared" si="2"/>
        <v>0</v>
      </c>
      <c r="P14" s="73">
        <f t="shared" si="8"/>
        <v>100</v>
      </c>
      <c r="Q14" s="71">
        <f t="shared" si="9"/>
        <v>0</v>
      </c>
      <c r="R14" s="71">
        <f t="shared" si="10"/>
        <v>0</v>
      </c>
      <c r="S14" s="71"/>
      <c r="T14" s="71"/>
      <c r="U14" s="74">
        <f t="shared" si="11"/>
        <v>0</v>
      </c>
    </row>
    <row r="15" spans="1:21" s="75" customFormat="1" ht="18" hidden="1" customHeight="1">
      <c r="A15" s="49">
        <f>SUBTOTAL(103,$B$9:B15)</f>
        <v>3</v>
      </c>
      <c r="B15" s="50" t="s">
        <v>40</v>
      </c>
      <c r="C15" s="51" t="s">
        <v>37</v>
      </c>
      <c r="D15" s="66"/>
      <c r="E15" s="53">
        <v>0</v>
      </c>
      <c r="F15" s="67"/>
      <c r="G15" s="68">
        <f t="shared" si="5"/>
        <v>0</v>
      </c>
      <c r="H15" s="69"/>
      <c r="I15" s="70"/>
      <c r="J15" s="70"/>
      <c r="K15" s="71">
        <f t="shared" si="6"/>
        <v>0</v>
      </c>
      <c r="L15" s="72">
        <f t="shared" si="7"/>
        <v>0</v>
      </c>
      <c r="M15" s="70"/>
      <c r="N15" s="70"/>
      <c r="O15" s="58">
        <f t="shared" si="2"/>
        <v>0</v>
      </c>
      <c r="P15" s="73">
        <f t="shared" si="8"/>
        <v>0</v>
      </c>
      <c r="Q15" s="71">
        <f t="shared" si="9"/>
        <v>0</v>
      </c>
      <c r="R15" s="71">
        <f t="shared" si="10"/>
        <v>0</v>
      </c>
      <c r="S15" s="71"/>
      <c r="T15" s="71"/>
      <c r="U15" s="74">
        <f t="shared" si="11"/>
        <v>0</v>
      </c>
    </row>
    <row r="16" spans="1:21" s="75" customFormat="1" ht="18" hidden="1" customHeight="1">
      <c r="A16" s="49">
        <f>SUBTOTAL(103,$B$9:B16)</f>
        <v>3</v>
      </c>
      <c r="B16" s="50" t="s">
        <v>41</v>
      </c>
      <c r="C16" s="51" t="s">
        <v>37</v>
      </c>
      <c r="D16" s="66"/>
      <c r="E16" s="53">
        <v>0</v>
      </c>
      <c r="F16" s="67"/>
      <c r="G16" s="68">
        <f t="shared" si="5"/>
        <v>0</v>
      </c>
      <c r="H16" s="69"/>
      <c r="I16" s="70"/>
      <c r="J16" s="70"/>
      <c r="K16" s="71">
        <f t="shared" si="0"/>
        <v>0</v>
      </c>
      <c r="L16" s="72">
        <f t="shared" si="1"/>
        <v>0</v>
      </c>
      <c r="M16" s="70"/>
      <c r="N16" s="70"/>
      <c r="O16" s="58">
        <f t="shared" si="2"/>
        <v>0</v>
      </c>
      <c r="P16" s="73">
        <f t="shared" si="3"/>
        <v>0</v>
      </c>
      <c r="Q16" s="71">
        <f t="shared" si="4"/>
        <v>0</v>
      </c>
      <c r="R16" s="71">
        <f t="shared" si="10"/>
        <v>0</v>
      </c>
      <c r="S16" s="71"/>
      <c r="T16" s="71"/>
      <c r="U16" s="74">
        <f t="shared" si="11"/>
        <v>0</v>
      </c>
    </row>
    <row r="17" spans="1:21" s="75" customFormat="1" ht="18" hidden="1" customHeight="1">
      <c r="A17" s="49">
        <f>SUBTOTAL(103,$B$9:B17)</f>
        <v>3</v>
      </c>
      <c r="B17" s="50" t="s">
        <v>42</v>
      </c>
      <c r="C17" s="51" t="s">
        <v>37</v>
      </c>
      <c r="D17" s="66"/>
      <c r="E17" s="53">
        <v>0</v>
      </c>
      <c r="F17" s="67"/>
      <c r="G17" s="68">
        <f>D17*E17</f>
        <v>0</v>
      </c>
      <c r="H17" s="69"/>
      <c r="I17" s="70"/>
      <c r="J17" s="70"/>
      <c r="K17" s="71">
        <f>H17+J17</f>
        <v>0</v>
      </c>
      <c r="L17" s="72">
        <f>IF(D17&gt;0,ROUND((K17/D17)*100,0),0)</f>
        <v>0</v>
      </c>
      <c r="M17" s="70"/>
      <c r="N17" s="70"/>
      <c r="O17" s="58">
        <f t="shared" si="2"/>
        <v>0</v>
      </c>
      <c r="P17" s="73">
        <f>IF(D17&gt;0,ROUND((N17/D17)*100,0),0)</f>
        <v>0</v>
      </c>
      <c r="Q17" s="71">
        <f>K17-N17</f>
        <v>0</v>
      </c>
      <c r="R17" s="71">
        <f>Q17*E17</f>
        <v>0</v>
      </c>
      <c r="S17" s="71"/>
      <c r="T17" s="71"/>
      <c r="U17" s="74">
        <f>D17-K17</f>
        <v>0</v>
      </c>
    </row>
    <row r="18" spans="1:21" ht="18" hidden="1" customHeight="1">
      <c r="A18" s="49">
        <f>SUBTOTAL(103,$B$9:B18)</f>
        <v>3</v>
      </c>
      <c r="B18" s="62" t="s">
        <v>43</v>
      </c>
      <c r="C18" s="51" t="s">
        <v>37</v>
      </c>
      <c r="D18" s="63"/>
      <c r="E18" s="53">
        <v>0</v>
      </c>
      <c r="F18" s="64"/>
      <c r="G18" s="55">
        <f t="shared" si="5"/>
        <v>0</v>
      </c>
      <c r="H18" s="56"/>
      <c r="I18" s="57"/>
      <c r="J18" s="57"/>
      <c r="K18" s="58">
        <f t="shared" si="0"/>
        <v>0</v>
      </c>
      <c r="L18" s="59">
        <f t="shared" si="1"/>
        <v>0</v>
      </c>
      <c r="M18" s="57"/>
      <c r="N18" s="57"/>
      <c r="O18" s="58">
        <f t="shared" si="2"/>
        <v>0</v>
      </c>
      <c r="P18" s="60">
        <f t="shared" si="3"/>
        <v>0</v>
      </c>
      <c r="Q18" s="58">
        <f t="shared" si="4"/>
        <v>0</v>
      </c>
      <c r="R18" s="58">
        <f t="shared" si="10"/>
        <v>0</v>
      </c>
      <c r="S18" s="58"/>
      <c r="T18" s="58"/>
      <c r="U18" s="65">
        <f t="shared" si="11"/>
        <v>0</v>
      </c>
    </row>
    <row r="19" spans="1:21" ht="18" hidden="1" customHeight="1">
      <c r="A19" s="49">
        <f>SUBTOTAL(103,$B$9:B19)</f>
        <v>3</v>
      </c>
      <c r="B19" s="62" t="s">
        <v>44</v>
      </c>
      <c r="C19" s="51" t="s">
        <v>37</v>
      </c>
      <c r="D19" s="63"/>
      <c r="E19" s="53">
        <v>0</v>
      </c>
      <c r="F19" s="64"/>
      <c r="G19" s="55">
        <f>D19*E19</f>
        <v>0</v>
      </c>
      <c r="H19" s="56"/>
      <c r="I19" s="57"/>
      <c r="J19" s="57"/>
      <c r="K19" s="58">
        <f>H19+J19</f>
        <v>0</v>
      </c>
      <c r="L19" s="59">
        <f>IF(D19&gt;0,ROUND((K19/D19)*100,0),0)</f>
        <v>0</v>
      </c>
      <c r="M19" s="57"/>
      <c r="N19" s="57"/>
      <c r="O19" s="58">
        <f t="shared" si="2"/>
        <v>0</v>
      </c>
      <c r="P19" s="60">
        <f>IF(D19&gt;0,ROUND((N19/D19)*100,0),0)</f>
        <v>0</v>
      </c>
      <c r="Q19" s="58">
        <f>K19-N19</f>
        <v>0</v>
      </c>
      <c r="R19" s="58">
        <f>Q19*E19</f>
        <v>0</v>
      </c>
      <c r="S19" s="58"/>
      <c r="T19" s="58"/>
      <c r="U19" s="65">
        <f>D19-K19</f>
        <v>0</v>
      </c>
    </row>
    <row r="20" spans="1:21" ht="18" hidden="1" customHeight="1">
      <c r="A20" s="49">
        <f>SUBTOTAL(103,$B$9:B20)</f>
        <v>3</v>
      </c>
      <c r="B20" s="62" t="s">
        <v>45</v>
      </c>
      <c r="C20" s="51" t="s">
        <v>37</v>
      </c>
      <c r="D20" s="63"/>
      <c r="E20" s="53">
        <v>0</v>
      </c>
      <c r="F20" s="64"/>
      <c r="G20" s="55">
        <f t="shared" si="5"/>
        <v>0</v>
      </c>
      <c r="H20" s="56"/>
      <c r="I20" s="57"/>
      <c r="J20" s="57"/>
      <c r="K20" s="58">
        <f t="shared" si="0"/>
        <v>0</v>
      </c>
      <c r="L20" s="59">
        <f t="shared" si="1"/>
        <v>0</v>
      </c>
      <c r="M20" s="57"/>
      <c r="N20" s="57"/>
      <c r="O20" s="58">
        <f t="shared" si="2"/>
        <v>0</v>
      </c>
      <c r="P20" s="60">
        <f t="shared" si="3"/>
        <v>0</v>
      </c>
      <c r="Q20" s="58">
        <f t="shared" si="4"/>
        <v>0</v>
      </c>
      <c r="R20" s="58">
        <f t="shared" si="10"/>
        <v>0</v>
      </c>
      <c r="S20" s="58"/>
      <c r="T20" s="58"/>
      <c r="U20" s="65">
        <f t="shared" si="11"/>
        <v>0</v>
      </c>
    </row>
    <row r="21" spans="1:21" s="75" customFormat="1" ht="30" hidden="1" customHeight="1">
      <c r="A21" s="49">
        <f>SUBTOTAL(103,$B$9:B21)</f>
        <v>3</v>
      </c>
      <c r="B21" s="50" t="s">
        <v>46</v>
      </c>
      <c r="C21" s="51" t="s">
        <v>37</v>
      </c>
      <c r="D21" s="66"/>
      <c r="E21" s="53">
        <v>0</v>
      </c>
      <c r="F21" s="67"/>
      <c r="G21" s="68">
        <f>D21*E21</f>
        <v>0</v>
      </c>
      <c r="H21" s="69"/>
      <c r="I21" s="70"/>
      <c r="J21" s="70"/>
      <c r="K21" s="71">
        <f>H21+J21</f>
        <v>0</v>
      </c>
      <c r="L21" s="72">
        <f>IF(D21&gt;0,ROUND((K21/D21)*100,0),0)</f>
        <v>0</v>
      </c>
      <c r="M21" s="70"/>
      <c r="N21" s="70"/>
      <c r="O21" s="58">
        <f>N21*E21</f>
        <v>0</v>
      </c>
      <c r="P21" s="73">
        <f>IF(D21&gt;0,ROUND((N21/D21)*100,0),0)</f>
        <v>0</v>
      </c>
      <c r="Q21" s="71">
        <f>K21-N21</f>
        <v>0</v>
      </c>
      <c r="R21" s="71">
        <f>Q21*E21</f>
        <v>0</v>
      </c>
      <c r="S21" s="71"/>
      <c r="T21" s="71"/>
      <c r="U21" s="74">
        <f>D21-K21</f>
        <v>0</v>
      </c>
    </row>
    <row r="22" spans="1:21" ht="18" hidden="1" customHeight="1">
      <c r="A22" s="49">
        <f>SUBTOTAL(103,$B$9:B22)</f>
        <v>3</v>
      </c>
      <c r="B22" s="62" t="s">
        <v>47</v>
      </c>
      <c r="C22" s="51" t="s">
        <v>37</v>
      </c>
      <c r="D22" s="63"/>
      <c r="E22" s="53">
        <v>0</v>
      </c>
      <c r="F22" s="64"/>
      <c r="G22" s="55">
        <f t="shared" ref="G22" si="12">D22*E22</f>
        <v>0</v>
      </c>
      <c r="H22" s="56"/>
      <c r="I22" s="57"/>
      <c r="J22" s="57"/>
      <c r="K22" s="58">
        <f t="shared" ref="K22" si="13">H22+J22</f>
        <v>0</v>
      </c>
      <c r="L22" s="59">
        <f t="shared" ref="L22" si="14">IF(D22&gt;0,ROUND((K22/D22)*100,0),0)</f>
        <v>0</v>
      </c>
      <c r="M22" s="57"/>
      <c r="N22" s="57"/>
      <c r="O22" s="58">
        <f t="shared" ref="O22" si="15">N22*E22</f>
        <v>0</v>
      </c>
      <c r="P22" s="60">
        <f t="shared" ref="P22" si="16">IF(D22&gt;0,ROUND((N22/D22)*100,0),0)</f>
        <v>0</v>
      </c>
      <c r="Q22" s="58">
        <f t="shared" ref="Q22" si="17">K22-N22</f>
        <v>0</v>
      </c>
      <c r="R22" s="58">
        <f t="shared" ref="R22" si="18">Q22*E22</f>
        <v>0</v>
      </c>
      <c r="S22" s="58"/>
      <c r="T22" s="58"/>
      <c r="U22" s="65">
        <f t="shared" ref="U22" si="19">D22-K22</f>
        <v>0</v>
      </c>
    </row>
    <row r="23" spans="1:21" ht="18" hidden="1" customHeight="1">
      <c r="A23" s="49">
        <f>SUBTOTAL(103,$B$9:B23)</f>
        <v>3</v>
      </c>
      <c r="B23" s="50" t="s">
        <v>48</v>
      </c>
      <c r="C23" s="51" t="s">
        <v>33</v>
      </c>
      <c r="D23" s="52"/>
      <c r="E23" s="53">
        <v>0</v>
      </c>
      <c r="F23" s="54"/>
      <c r="G23" s="55">
        <f>D23*E23</f>
        <v>0</v>
      </c>
      <c r="H23" s="56"/>
      <c r="I23" s="57"/>
      <c r="J23" s="57"/>
      <c r="K23" s="58">
        <f>H23+J23</f>
        <v>0</v>
      </c>
      <c r="L23" s="59">
        <f>IF(D23&gt;0,ROUND((K23/D23)*100,0),0)</f>
        <v>0</v>
      </c>
      <c r="M23" s="57"/>
      <c r="N23" s="57"/>
      <c r="O23" s="58">
        <f t="shared" si="2"/>
        <v>0</v>
      </c>
      <c r="P23" s="60">
        <f>IF(D23&gt;0,ROUND((N23/D23)*100,0),0)</f>
        <v>0</v>
      </c>
      <c r="Q23" s="58">
        <f>K23-N23</f>
        <v>0</v>
      </c>
      <c r="R23" s="58">
        <f>Q23*E23</f>
        <v>0</v>
      </c>
      <c r="S23" s="58"/>
      <c r="T23" s="58"/>
      <c r="U23" s="61">
        <f>D23-K23</f>
        <v>0</v>
      </c>
    </row>
    <row r="24" spans="1:21" ht="18" hidden="1" customHeight="1">
      <c r="A24" s="49">
        <f>SUBTOTAL(103,$B$9:B24)</f>
        <v>3</v>
      </c>
      <c r="B24" s="50" t="s">
        <v>49</v>
      </c>
      <c r="C24" s="51" t="s">
        <v>33</v>
      </c>
      <c r="D24" s="52"/>
      <c r="E24" s="53">
        <v>0</v>
      </c>
      <c r="F24" s="54"/>
      <c r="G24" s="55">
        <f>D24*E24</f>
        <v>0</v>
      </c>
      <c r="H24" s="56"/>
      <c r="I24" s="57"/>
      <c r="J24" s="57"/>
      <c r="K24" s="58">
        <f>H24+J24</f>
        <v>0</v>
      </c>
      <c r="L24" s="59">
        <f>IF(D24&gt;0,ROUND((K24/D24)*100,0),0)</f>
        <v>0</v>
      </c>
      <c r="M24" s="57"/>
      <c r="N24" s="57"/>
      <c r="O24" s="58">
        <f t="shared" si="2"/>
        <v>0</v>
      </c>
      <c r="P24" s="60">
        <f>IF(D24&gt;0,ROUND((N24/D24)*100,0),0)</f>
        <v>0</v>
      </c>
      <c r="Q24" s="58">
        <f>K24-N24</f>
        <v>0</v>
      </c>
      <c r="R24" s="58">
        <f>Q24*E24</f>
        <v>0</v>
      </c>
      <c r="S24" s="58"/>
      <c r="T24" s="58"/>
      <c r="U24" s="61">
        <f>D24-K24</f>
        <v>0</v>
      </c>
    </row>
    <row r="25" spans="1:21" ht="18" hidden="1" customHeight="1">
      <c r="A25" s="49">
        <f>SUBTOTAL(103,$B$9:B25)</f>
        <v>3</v>
      </c>
      <c r="B25" s="62" t="s">
        <v>50</v>
      </c>
      <c r="C25" s="51" t="s">
        <v>51</v>
      </c>
      <c r="D25" s="63"/>
      <c r="E25" s="53">
        <v>0</v>
      </c>
      <c r="F25" s="64"/>
      <c r="G25" s="55">
        <f t="shared" si="5"/>
        <v>0</v>
      </c>
      <c r="H25" s="56"/>
      <c r="I25" s="57"/>
      <c r="J25" s="57"/>
      <c r="K25" s="58">
        <f t="shared" si="0"/>
        <v>0</v>
      </c>
      <c r="L25" s="59">
        <f t="shared" si="1"/>
        <v>0</v>
      </c>
      <c r="M25" s="57"/>
      <c r="N25" s="57"/>
      <c r="O25" s="58">
        <f t="shared" si="2"/>
        <v>0</v>
      </c>
      <c r="P25" s="60">
        <f t="shared" si="3"/>
        <v>0</v>
      </c>
      <c r="Q25" s="58">
        <f t="shared" si="4"/>
        <v>0</v>
      </c>
      <c r="R25" s="58">
        <f t="shared" si="10"/>
        <v>0</v>
      </c>
      <c r="S25" s="58"/>
      <c r="T25" s="58"/>
      <c r="U25" s="65">
        <f t="shared" si="11"/>
        <v>0</v>
      </c>
    </row>
    <row r="26" spans="1:21" ht="18" hidden="1" customHeight="1">
      <c r="A26" s="49">
        <f>SUBTOTAL(103,$B$9:B26)</f>
        <v>3</v>
      </c>
      <c r="B26" s="62" t="s">
        <v>52</v>
      </c>
      <c r="C26" s="51" t="s">
        <v>33</v>
      </c>
      <c r="D26" s="63"/>
      <c r="E26" s="53">
        <v>0</v>
      </c>
      <c r="F26" s="64"/>
      <c r="G26" s="55">
        <f t="shared" si="5"/>
        <v>0</v>
      </c>
      <c r="H26" s="56"/>
      <c r="I26" s="57"/>
      <c r="J26" s="57"/>
      <c r="K26" s="58">
        <f t="shared" si="0"/>
        <v>0</v>
      </c>
      <c r="L26" s="59">
        <f t="shared" si="1"/>
        <v>0</v>
      </c>
      <c r="M26" s="57"/>
      <c r="N26" s="57"/>
      <c r="O26" s="58">
        <f t="shared" si="2"/>
        <v>0</v>
      </c>
      <c r="P26" s="60">
        <f t="shared" si="3"/>
        <v>0</v>
      </c>
      <c r="Q26" s="58">
        <f t="shared" si="4"/>
        <v>0</v>
      </c>
      <c r="R26" s="58">
        <f t="shared" si="10"/>
        <v>0</v>
      </c>
      <c r="S26" s="58"/>
      <c r="T26" s="58"/>
      <c r="U26" s="65">
        <f t="shared" si="11"/>
        <v>0</v>
      </c>
    </row>
    <row r="27" spans="1:21" ht="18" hidden="1" customHeight="1">
      <c r="A27" s="49">
        <f>SUBTOTAL(103,$B$9:B27)</f>
        <v>3</v>
      </c>
      <c r="B27" s="76" t="s">
        <v>53</v>
      </c>
      <c r="C27" s="51" t="s">
        <v>51</v>
      </c>
      <c r="D27" s="63"/>
      <c r="E27" s="53">
        <v>0</v>
      </c>
      <c r="F27" s="64"/>
      <c r="G27" s="55">
        <f t="shared" si="5"/>
        <v>0</v>
      </c>
      <c r="H27" s="56"/>
      <c r="I27" s="57"/>
      <c r="J27" s="57"/>
      <c r="K27" s="58">
        <f t="shared" si="0"/>
        <v>0</v>
      </c>
      <c r="L27" s="59">
        <f>IF(D27&gt;0,ROUND((K27/D27)*100,0),0)</f>
        <v>0</v>
      </c>
      <c r="M27" s="57"/>
      <c r="N27" s="57"/>
      <c r="O27" s="58">
        <f t="shared" si="2"/>
        <v>0</v>
      </c>
      <c r="P27" s="60">
        <f t="shared" si="3"/>
        <v>0</v>
      </c>
      <c r="Q27" s="58">
        <f t="shared" si="4"/>
        <v>0</v>
      </c>
      <c r="R27" s="58">
        <f t="shared" si="10"/>
        <v>0</v>
      </c>
      <c r="S27" s="58"/>
      <c r="T27" s="58"/>
      <c r="U27" s="65">
        <f t="shared" si="11"/>
        <v>0</v>
      </c>
    </row>
    <row r="28" spans="1:21" ht="18" customHeight="1">
      <c r="A28" s="49">
        <f>SUBTOTAL(103,$B$9:B28)</f>
        <v>4</v>
      </c>
      <c r="B28" s="76" t="s">
        <v>54</v>
      </c>
      <c r="C28" s="51" t="s">
        <v>51</v>
      </c>
      <c r="D28" s="77">
        <v>300</v>
      </c>
      <c r="E28" s="53">
        <v>0</v>
      </c>
      <c r="F28" s="64"/>
      <c r="G28" s="55">
        <f t="shared" si="5"/>
        <v>0</v>
      </c>
      <c r="H28" s="56"/>
      <c r="I28" s="78"/>
      <c r="J28" s="57">
        <v>300</v>
      </c>
      <c r="K28" s="58">
        <f t="shared" si="0"/>
        <v>300</v>
      </c>
      <c r="L28" s="59">
        <f t="shared" si="1"/>
        <v>100</v>
      </c>
      <c r="M28" s="57"/>
      <c r="N28" s="78">
        <v>300</v>
      </c>
      <c r="O28" s="58">
        <f t="shared" si="2"/>
        <v>0</v>
      </c>
      <c r="P28" s="60">
        <f t="shared" si="3"/>
        <v>100</v>
      </c>
      <c r="Q28" s="79">
        <f t="shared" si="4"/>
        <v>0</v>
      </c>
      <c r="R28" s="58">
        <f t="shared" si="10"/>
        <v>0</v>
      </c>
      <c r="S28" s="58"/>
      <c r="T28" s="58"/>
      <c r="U28" s="65">
        <f t="shared" si="11"/>
        <v>0</v>
      </c>
    </row>
    <row r="29" spans="1:21" ht="18" hidden="1" customHeight="1">
      <c r="A29" s="49">
        <f>SUBTOTAL(103,$B$9:B29)</f>
        <v>4</v>
      </c>
      <c r="B29" s="62" t="s">
        <v>55</v>
      </c>
      <c r="C29" s="51" t="s">
        <v>56</v>
      </c>
      <c r="D29" s="63"/>
      <c r="E29" s="53">
        <v>0</v>
      </c>
      <c r="F29" s="80"/>
      <c r="G29" s="55">
        <f t="shared" si="5"/>
        <v>0</v>
      </c>
      <c r="H29" s="56"/>
      <c r="I29" s="57"/>
      <c r="J29" s="57"/>
      <c r="K29" s="58">
        <f t="shared" si="0"/>
        <v>0</v>
      </c>
      <c r="L29" s="59">
        <f t="shared" si="1"/>
        <v>0</v>
      </c>
      <c r="M29" s="57"/>
      <c r="N29" s="57"/>
      <c r="O29" s="58">
        <f t="shared" si="2"/>
        <v>0</v>
      </c>
      <c r="P29" s="60">
        <f t="shared" si="3"/>
        <v>0</v>
      </c>
      <c r="Q29" s="58">
        <f t="shared" si="4"/>
        <v>0</v>
      </c>
      <c r="R29" s="58">
        <f t="shared" si="10"/>
        <v>0</v>
      </c>
      <c r="S29" s="58"/>
      <c r="T29" s="58"/>
      <c r="U29" s="65">
        <f t="shared" si="11"/>
        <v>0</v>
      </c>
    </row>
    <row r="30" spans="1:21" ht="18" hidden="1" customHeight="1">
      <c r="A30" s="49">
        <f>SUBTOTAL(103,$B$9:B30)</f>
        <v>4</v>
      </c>
      <c r="B30" s="62" t="s">
        <v>57</v>
      </c>
      <c r="C30" s="51" t="s">
        <v>56</v>
      </c>
      <c r="D30" s="63"/>
      <c r="E30" s="53">
        <v>0</v>
      </c>
      <c r="F30" s="80"/>
      <c r="G30" s="55">
        <f t="shared" si="5"/>
        <v>0</v>
      </c>
      <c r="H30" s="56"/>
      <c r="I30" s="57"/>
      <c r="J30" s="57"/>
      <c r="K30" s="58">
        <f t="shared" si="0"/>
        <v>0</v>
      </c>
      <c r="L30" s="59">
        <f t="shared" si="1"/>
        <v>0</v>
      </c>
      <c r="M30" s="57"/>
      <c r="N30" s="57"/>
      <c r="O30" s="58">
        <f t="shared" si="2"/>
        <v>0</v>
      </c>
      <c r="P30" s="60">
        <f t="shared" si="3"/>
        <v>0</v>
      </c>
      <c r="Q30" s="58">
        <f t="shared" si="4"/>
        <v>0</v>
      </c>
      <c r="R30" s="58">
        <f t="shared" si="10"/>
        <v>0</v>
      </c>
      <c r="S30" s="58"/>
      <c r="T30" s="58"/>
      <c r="U30" s="65">
        <f t="shared" si="11"/>
        <v>0</v>
      </c>
    </row>
    <row r="31" spans="1:21" ht="18" hidden="1" customHeight="1">
      <c r="A31" s="49">
        <f>SUBTOTAL(103,$B$9:B31)</f>
        <v>4</v>
      </c>
      <c r="B31" s="62" t="s">
        <v>58</v>
      </c>
      <c r="C31" s="51" t="s">
        <v>56</v>
      </c>
      <c r="D31" s="63"/>
      <c r="E31" s="53">
        <v>0</v>
      </c>
      <c r="F31" s="80"/>
      <c r="G31" s="55">
        <f t="shared" si="5"/>
        <v>0</v>
      </c>
      <c r="H31" s="56"/>
      <c r="I31" s="57"/>
      <c r="J31" s="57"/>
      <c r="K31" s="58">
        <f t="shared" si="0"/>
        <v>0</v>
      </c>
      <c r="L31" s="59">
        <f t="shared" si="1"/>
        <v>0</v>
      </c>
      <c r="M31" s="57"/>
      <c r="N31" s="57"/>
      <c r="O31" s="58">
        <f t="shared" si="2"/>
        <v>0</v>
      </c>
      <c r="P31" s="60">
        <f t="shared" si="3"/>
        <v>0</v>
      </c>
      <c r="Q31" s="58">
        <f t="shared" si="4"/>
        <v>0</v>
      </c>
      <c r="R31" s="58">
        <f t="shared" si="10"/>
        <v>0</v>
      </c>
      <c r="S31" s="58"/>
      <c r="T31" s="58"/>
      <c r="U31" s="65">
        <f t="shared" si="11"/>
        <v>0</v>
      </c>
    </row>
    <row r="32" spans="1:21" ht="18" hidden="1" customHeight="1">
      <c r="A32" s="49">
        <f>SUBTOTAL(103,$B$9:B32)</f>
        <v>4</v>
      </c>
      <c r="B32" s="62" t="s">
        <v>59</v>
      </c>
      <c r="C32" s="51" t="s">
        <v>56</v>
      </c>
      <c r="D32" s="63"/>
      <c r="E32" s="53">
        <v>0</v>
      </c>
      <c r="F32" s="80"/>
      <c r="G32" s="55">
        <f t="shared" si="5"/>
        <v>0</v>
      </c>
      <c r="H32" s="56"/>
      <c r="I32" s="57"/>
      <c r="J32" s="57"/>
      <c r="K32" s="58">
        <f t="shared" si="0"/>
        <v>0</v>
      </c>
      <c r="L32" s="59">
        <f t="shared" si="1"/>
        <v>0</v>
      </c>
      <c r="M32" s="57"/>
      <c r="N32" s="57"/>
      <c r="O32" s="58">
        <f t="shared" si="2"/>
        <v>0</v>
      </c>
      <c r="P32" s="60">
        <f t="shared" si="3"/>
        <v>0</v>
      </c>
      <c r="Q32" s="58">
        <f t="shared" si="4"/>
        <v>0</v>
      </c>
      <c r="R32" s="58">
        <f t="shared" si="10"/>
        <v>0</v>
      </c>
      <c r="S32" s="58"/>
      <c r="T32" s="58"/>
      <c r="U32" s="65">
        <f t="shared" si="11"/>
        <v>0</v>
      </c>
    </row>
    <row r="33" spans="1:21" ht="18" hidden="1" customHeight="1">
      <c r="A33" s="49">
        <f>SUBTOTAL(103,$B$9:B33)</f>
        <v>4</v>
      </c>
      <c r="B33" s="62" t="s">
        <v>60</v>
      </c>
      <c r="C33" s="51" t="s">
        <v>56</v>
      </c>
      <c r="D33" s="63"/>
      <c r="E33" s="53">
        <v>0</v>
      </c>
      <c r="F33" s="80"/>
      <c r="G33" s="55">
        <f t="shared" si="5"/>
        <v>0</v>
      </c>
      <c r="H33" s="56"/>
      <c r="I33" s="57"/>
      <c r="J33" s="57"/>
      <c r="K33" s="58">
        <f t="shared" si="0"/>
        <v>0</v>
      </c>
      <c r="L33" s="59">
        <f t="shared" si="1"/>
        <v>0</v>
      </c>
      <c r="M33" s="57"/>
      <c r="N33" s="57"/>
      <c r="O33" s="58">
        <f t="shared" si="2"/>
        <v>0</v>
      </c>
      <c r="P33" s="60">
        <f t="shared" si="3"/>
        <v>0</v>
      </c>
      <c r="Q33" s="58">
        <f t="shared" si="4"/>
        <v>0</v>
      </c>
      <c r="R33" s="58">
        <f t="shared" si="10"/>
        <v>0</v>
      </c>
      <c r="S33" s="58"/>
      <c r="T33" s="58"/>
      <c r="U33" s="65">
        <f t="shared" si="11"/>
        <v>0</v>
      </c>
    </row>
    <row r="34" spans="1:21" ht="18" hidden="1" customHeight="1">
      <c r="A34" s="49">
        <f>SUBTOTAL(103,$B$9:B34)</f>
        <v>4</v>
      </c>
      <c r="B34" s="62" t="s">
        <v>61</v>
      </c>
      <c r="C34" s="51" t="s">
        <v>56</v>
      </c>
      <c r="D34" s="63"/>
      <c r="E34" s="53">
        <v>0</v>
      </c>
      <c r="F34" s="80"/>
      <c r="G34" s="55">
        <f t="shared" si="5"/>
        <v>0</v>
      </c>
      <c r="H34" s="56"/>
      <c r="I34" s="57"/>
      <c r="J34" s="57"/>
      <c r="K34" s="58">
        <f t="shared" si="0"/>
        <v>0</v>
      </c>
      <c r="L34" s="59">
        <f t="shared" si="1"/>
        <v>0</v>
      </c>
      <c r="M34" s="57"/>
      <c r="N34" s="57"/>
      <c r="O34" s="58">
        <f t="shared" si="2"/>
        <v>0</v>
      </c>
      <c r="P34" s="60">
        <f t="shared" si="3"/>
        <v>0</v>
      </c>
      <c r="Q34" s="58">
        <f t="shared" si="4"/>
        <v>0</v>
      </c>
      <c r="R34" s="58">
        <f t="shared" si="10"/>
        <v>0</v>
      </c>
      <c r="S34" s="58"/>
      <c r="T34" s="58"/>
      <c r="U34" s="65">
        <f t="shared" si="11"/>
        <v>0</v>
      </c>
    </row>
    <row r="35" spans="1:21" ht="18" hidden="1" customHeight="1">
      <c r="A35" s="49">
        <f>SUBTOTAL(103,$B$9:B35)</f>
        <v>4</v>
      </c>
      <c r="B35" s="62" t="s">
        <v>62</v>
      </c>
      <c r="C35" s="51" t="s">
        <v>56</v>
      </c>
      <c r="D35" s="63"/>
      <c r="E35" s="53">
        <v>0</v>
      </c>
      <c r="F35" s="80"/>
      <c r="G35" s="55">
        <f t="shared" si="5"/>
        <v>0</v>
      </c>
      <c r="H35" s="56"/>
      <c r="I35" s="57"/>
      <c r="J35" s="57"/>
      <c r="K35" s="58">
        <f t="shared" si="0"/>
        <v>0</v>
      </c>
      <c r="L35" s="59">
        <f t="shared" si="1"/>
        <v>0</v>
      </c>
      <c r="M35" s="57"/>
      <c r="N35" s="57"/>
      <c r="O35" s="58">
        <f t="shared" si="2"/>
        <v>0</v>
      </c>
      <c r="P35" s="60">
        <f t="shared" si="3"/>
        <v>0</v>
      </c>
      <c r="Q35" s="58">
        <f t="shared" si="4"/>
        <v>0</v>
      </c>
      <c r="R35" s="58">
        <f t="shared" si="10"/>
        <v>0</v>
      </c>
      <c r="S35" s="58"/>
      <c r="T35" s="58"/>
      <c r="U35" s="65">
        <f t="shared" si="11"/>
        <v>0</v>
      </c>
    </row>
    <row r="36" spans="1:21" ht="18" hidden="1" customHeight="1">
      <c r="A36" s="49">
        <f>SUBTOTAL(103,$B$9:B36)</f>
        <v>4</v>
      </c>
      <c r="B36" s="62" t="s">
        <v>63</v>
      </c>
      <c r="C36" s="51" t="s">
        <v>56</v>
      </c>
      <c r="D36" s="63"/>
      <c r="E36" s="53">
        <v>0</v>
      </c>
      <c r="F36" s="80"/>
      <c r="G36" s="55">
        <f t="shared" si="5"/>
        <v>0</v>
      </c>
      <c r="H36" s="56"/>
      <c r="I36" s="57"/>
      <c r="J36" s="57"/>
      <c r="K36" s="58">
        <f t="shared" si="0"/>
        <v>0</v>
      </c>
      <c r="L36" s="59">
        <f t="shared" si="1"/>
        <v>0</v>
      </c>
      <c r="M36" s="57"/>
      <c r="N36" s="57"/>
      <c r="O36" s="58">
        <f t="shared" si="2"/>
        <v>0</v>
      </c>
      <c r="P36" s="60">
        <f t="shared" si="3"/>
        <v>0</v>
      </c>
      <c r="Q36" s="58">
        <f t="shared" si="4"/>
        <v>0</v>
      </c>
      <c r="R36" s="58">
        <f t="shared" si="10"/>
        <v>0</v>
      </c>
      <c r="S36" s="58"/>
      <c r="T36" s="58"/>
      <c r="U36" s="65">
        <f t="shared" si="11"/>
        <v>0</v>
      </c>
    </row>
    <row r="37" spans="1:21" ht="18" hidden="1" customHeight="1">
      <c r="A37" s="49">
        <f>SUBTOTAL(103,$B$9:B37)</f>
        <v>4</v>
      </c>
      <c r="B37" s="62" t="s">
        <v>64</v>
      </c>
      <c r="C37" s="51" t="s">
        <v>56</v>
      </c>
      <c r="D37" s="63"/>
      <c r="E37" s="53">
        <v>0</v>
      </c>
      <c r="F37" s="80"/>
      <c r="G37" s="55">
        <f t="shared" si="5"/>
        <v>0</v>
      </c>
      <c r="H37" s="56"/>
      <c r="I37" s="57"/>
      <c r="J37" s="57"/>
      <c r="K37" s="58">
        <f t="shared" si="0"/>
        <v>0</v>
      </c>
      <c r="L37" s="59">
        <f t="shared" si="1"/>
        <v>0</v>
      </c>
      <c r="M37" s="57"/>
      <c r="N37" s="57"/>
      <c r="O37" s="58">
        <f t="shared" si="2"/>
        <v>0</v>
      </c>
      <c r="P37" s="60">
        <f t="shared" si="3"/>
        <v>0</v>
      </c>
      <c r="Q37" s="58">
        <f t="shared" si="4"/>
        <v>0</v>
      </c>
      <c r="R37" s="58">
        <f t="shared" si="10"/>
        <v>0</v>
      </c>
      <c r="S37" s="58"/>
      <c r="T37" s="58"/>
      <c r="U37" s="65">
        <f t="shared" si="11"/>
        <v>0</v>
      </c>
    </row>
    <row r="38" spans="1:21" ht="18" hidden="1" customHeight="1">
      <c r="A38" s="49">
        <f>SUBTOTAL(103,$B$9:B38)</f>
        <v>4</v>
      </c>
      <c r="B38" s="62" t="s">
        <v>65</v>
      </c>
      <c r="C38" s="51" t="s">
        <v>56</v>
      </c>
      <c r="D38" s="63"/>
      <c r="E38" s="53">
        <v>0</v>
      </c>
      <c r="F38" s="80"/>
      <c r="G38" s="55">
        <f t="shared" si="5"/>
        <v>0</v>
      </c>
      <c r="H38" s="56"/>
      <c r="I38" s="57"/>
      <c r="J38" s="57"/>
      <c r="K38" s="58">
        <f t="shared" si="0"/>
        <v>0</v>
      </c>
      <c r="L38" s="59">
        <f t="shared" si="1"/>
        <v>0</v>
      </c>
      <c r="M38" s="57"/>
      <c r="N38" s="57"/>
      <c r="O38" s="58">
        <f t="shared" si="2"/>
        <v>0</v>
      </c>
      <c r="P38" s="60">
        <f t="shared" si="3"/>
        <v>0</v>
      </c>
      <c r="Q38" s="58">
        <f t="shared" si="4"/>
        <v>0</v>
      </c>
      <c r="R38" s="58">
        <f t="shared" si="10"/>
        <v>0</v>
      </c>
      <c r="S38" s="58"/>
      <c r="T38" s="58"/>
      <c r="U38" s="65">
        <f t="shared" si="11"/>
        <v>0</v>
      </c>
    </row>
    <row r="39" spans="1:21" ht="18" customHeight="1">
      <c r="A39" s="49">
        <f>SUBTOTAL(103,$B$9:B39)</f>
        <v>5</v>
      </c>
      <c r="B39" s="62" t="s">
        <v>66</v>
      </c>
      <c r="C39" s="51" t="s">
        <v>56</v>
      </c>
      <c r="D39" s="77">
        <v>180</v>
      </c>
      <c r="E39" s="53">
        <v>0</v>
      </c>
      <c r="F39" s="80"/>
      <c r="G39" s="55">
        <f t="shared" si="5"/>
        <v>0</v>
      </c>
      <c r="H39" s="56"/>
      <c r="I39" s="78"/>
      <c r="J39" s="57">
        <f>122+58</f>
        <v>180</v>
      </c>
      <c r="K39" s="58">
        <f t="shared" si="0"/>
        <v>180</v>
      </c>
      <c r="L39" s="59">
        <f t="shared" si="1"/>
        <v>100</v>
      </c>
      <c r="M39" s="57"/>
      <c r="N39" s="57">
        <f>122+58</f>
        <v>180</v>
      </c>
      <c r="O39" s="58">
        <f t="shared" si="2"/>
        <v>0</v>
      </c>
      <c r="P39" s="60">
        <f t="shared" si="3"/>
        <v>100</v>
      </c>
      <c r="Q39" s="58">
        <f t="shared" si="4"/>
        <v>0</v>
      </c>
      <c r="R39" s="58">
        <f t="shared" si="10"/>
        <v>0</v>
      </c>
      <c r="S39" s="58"/>
      <c r="T39" s="58"/>
      <c r="U39" s="65">
        <f t="shared" si="11"/>
        <v>0</v>
      </c>
    </row>
    <row r="40" spans="1:21" ht="18" hidden="1" customHeight="1">
      <c r="A40" s="49">
        <f>SUBTOTAL(103,$B$9:B40)</f>
        <v>5</v>
      </c>
      <c r="B40" s="62" t="s">
        <v>67</v>
      </c>
      <c r="C40" s="51" t="s">
        <v>56</v>
      </c>
      <c r="D40" s="63"/>
      <c r="E40" s="53">
        <v>0</v>
      </c>
      <c r="F40" s="80"/>
      <c r="G40" s="55">
        <f t="shared" si="5"/>
        <v>0</v>
      </c>
      <c r="H40" s="56"/>
      <c r="I40" s="57"/>
      <c r="J40" s="57"/>
      <c r="K40" s="58">
        <f t="shared" si="0"/>
        <v>0</v>
      </c>
      <c r="L40" s="59">
        <f t="shared" si="1"/>
        <v>0</v>
      </c>
      <c r="M40" s="57"/>
      <c r="N40" s="57"/>
      <c r="O40" s="58">
        <f t="shared" si="2"/>
        <v>0</v>
      </c>
      <c r="P40" s="60">
        <f t="shared" si="3"/>
        <v>0</v>
      </c>
      <c r="Q40" s="58">
        <f t="shared" si="4"/>
        <v>0</v>
      </c>
      <c r="R40" s="58">
        <f t="shared" si="10"/>
        <v>0</v>
      </c>
      <c r="S40" s="58"/>
      <c r="T40" s="58"/>
      <c r="U40" s="65">
        <f t="shared" si="11"/>
        <v>0</v>
      </c>
    </row>
    <row r="41" spans="1:21" ht="18" customHeight="1">
      <c r="A41" s="49">
        <f>SUBTOTAL(103,$B$9:B41)</f>
        <v>6</v>
      </c>
      <c r="B41" s="62" t="s">
        <v>68</v>
      </c>
      <c r="C41" s="51" t="s">
        <v>56</v>
      </c>
      <c r="D41" s="63">
        <v>20</v>
      </c>
      <c r="E41" s="53">
        <v>0</v>
      </c>
      <c r="F41" s="80"/>
      <c r="G41" s="55">
        <f t="shared" si="5"/>
        <v>0</v>
      </c>
      <c r="H41" s="56"/>
      <c r="I41" s="57"/>
      <c r="J41" s="57">
        <v>20</v>
      </c>
      <c r="K41" s="58">
        <f t="shared" si="0"/>
        <v>20</v>
      </c>
      <c r="L41" s="59">
        <f t="shared" si="1"/>
        <v>100</v>
      </c>
      <c r="M41" s="57"/>
      <c r="N41" s="57">
        <v>20</v>
      </c>
      <c r="O41" s="58">
        <f t="shared" si="2"/>
        <v>0</v>
      </c>
      <c r="P41" s="60">
        <f t="shared" si="3"/>
        <v>100</v>
      </c>
      <c r="Q41" s="58">
        <f t="shared" si="4"/>
        <v>0</v>
      </c>
      <c r="R41" s="58">
        <f t="shared" si="10"/>
        <v>0</v>
      </c>
      <c r="S41" s="58"/>
      <c r="T41" s="58"/>
      <c r="U41" s="65">
        <f t="shared" si="11"/>
        <v>0</v>
      </c>
    </row>
    <row r="42" spans="1:21" ht="18" customHeight="1">
      <c r="A42" s="49">
        <f>SUBTOTAL(103,$B$9:B42)</f>
        <v>7</v>
      </c>
      <c r="B42" s="62" t="s">
        <v>69</v>
      </c>
      <c r="C42" s="51" t="s">
        <v>37</v>
      </c>
      <c r="D42" s="63">
        <v>9</v>
      </c>
      <c r="E42" s="53">
        <v>0</v>
      </c>
      <c r="F42" s="80"/>
      <c r="G42" s="55">
        <f t="shared" si="5"/>
        <v>0</v>
      </c>
      <c r="H42" s="56"/>
      <c r="I42" s="57"/>
      <c r="J42" s="57"/>
      <c r="K42" s="58">
        <f t="shared" si="0"/>
        <v>0</v>
      </c>
      <c r="L42" s="59">
        <f t="shared" si="1"/>
        <v>0</v>
      </c>
      <c r="M42" s="57"/>
      <c r="N42" s="57"/>
      <c r="O42" s="58">
        <f t="shared" si="2"/>
        <v>0</v>
      </c>
      <c r="P42" s="60">
        <f t="shared" si="3"/>
        <v>0</v>
      </c>
      <c r="Q42" s="58">
        <f t="shared" si="4"/>
        <v>0</v>
      </c>
      <c r="R42" s="58">
        <f t="shared" si="10"/>
        <v>0</v>
      </c>
      <c r="S42" s="58"/>
      <c r="T42" s="58"/>
      <c r="U42" s="65">
        <f t="shared" si="11"/>
        <v>9</v>
      </c>
    </row>
    <row r="43" spans="1:21" ht="18" hidden="1" customHeight="1">
      <c r="A43" s="49">
        <f>SUBTOTAL(103,$B$9:B43)</f>
        <v>7</v>
      </c>
      <c r="B43" s="62" t="s">
        <v>70</v>
      </c>
      <c r="C43" s="51" t="s">
        <v>56</v>
      </c>
      <c r="D43" s="63"/>
      <c r="E43" s="53">
        <v>0</v>
      </c>
      <c r="F43" s="80"/>
      <c r="G43" s="55">
        <f t="shared" si="5"/>
        <v>0</v>
      </c>
      <c r="H43" s="56"/>
      <c r="I43" s="57"/>
      <c r="J43" s="57"/>
      <c r="K43" s="58">
        <f t="shared" si="0"/>
        <v>0</v>
      </c>
      <c r="L43" s="59">
        <f t="shared" si="1"/>
        <v>0</v>
      </c>
      <c r="M43" s="57"/>
      <c r="N43" s="57"/>
      <c r="O43" s="58">
        <f t="shared" si="2"/>
        <v>0</v>
      </c>
      <c r="P43" s="60">
        <f t="shared" si="3"/>
        <v>0</v>
      </c>
      <c r="Q43" s="58">
        <f t="shared" si="4"/>
        <v>0</v>
      </c>
      <c r="R43" s="58">
        <f t="shared" si="10"/>
        <v>0</v>
      </c>
      <c r="S43" s="58"/>
      <c r="T43" s="58"/>
      <c r="U43" s="65">
        <f t="shared" si="11"/>
        <v>0</v>
      </c>
    </row>
    <row r="44" spans="1:21" ht="18" hidden="1" customHeight="1">
      <c r="A44" s="49">
        <f>SUBTOTAL(103,$B$9:B44)</f>
        <v>7</v>
      </c>
      <c r="B44" s="62" t="s">
        <v>71</v>
      </c>
      <c r="C44" s="51" t="s">
        <v>56</v>
      </c>
      <c r="D44" s="63"/>
      <c r="E44" s="53">
        <v>0</v>
      </c>
      <c r="F44" s="80"/>
      <c r="G44" s="55">
        <f t="shared" si="5"/>
        <v>0</v>
      </c>
      <c r="H44" s="56"/>
      <c r="I44" s="57"/>
      <c r="J44" s="57"/>
      <c r="K44" s="58">
        <f t="shared" si="0"/>
        <v>0</v>
      </c>
      <c r="L44" s="59">
        <f t="shared" si="1"/>
        <v>0</v>
      </c>
      <c r="M44" s="57"/>
      <c r="N44" s="57"/>
      <c r="O44" s="58">
        <f t="shared" si="2"/>
        <v>0</v>
      </c>
      <c r="P44" s="60">
        <f t="shared" si="3"/>
        <v>0</v>
      </c>
      <c r="Q44" s="58">
        <f t="shared" si="4"/>
        <v>0</v>
      </c>
      <c r="R44" s="58">
        <f t="shared" si="10"/>
        <v>0</v>
      </c>
      <c r="S44" s="58"/>
      <c r="T44" s="58"/>
      <c r="U44" s="65">
        <f t="shared" si="11"/>
        <v>0</v>
      </c>
    </row>
    <row r="45" spans="1:21" ht="18" hidden="1" customHeight="1">
      <c r="A45" s="49">
        <f>SUBTOTAL(103,$B$9:B45)</f>
        <v>7</v>
      </c>
      <c r="B45" s="62" t="s">
        <v>72</v>
      </c>
      <c r="C45" s="51" t="s">
        <v>56</v>
      </c>
      <c r="D45" s="63"/>
      <c r="E45" s="53">
        <v>0</v>
      </c>
      <c r="F45" s="80"/>
      <c r="G45" s="55">
        <f t="shared" si="5"/>
        <v>0</v>
      </c>
      <c r="H45" s="56"/>
      <c r="I45" s="57"/>
      <c r="J45" s="57"/>
      <c r="K45" s="58">
        <f t="shared" si="0"/>
        <v>0</v>
      </c>
      <c r="L45" s="59">
        <f t="shared" si="1"/>
        <v>0</v>
      </c>
      <c r="M45" s="57"/>
      <c r="N45" s="57"/>
      <c r="O45" s="58">
        <f t="shared" si="2"/>
        <v>0</v>
      </c>
      <c r="P45" s="60">
        <f t="shared" si="3"/>
        <v>0</v>
      </c>
      <c r="Q45" s="58">
        <f t="shared" si="4"/>
        <v>0</v>
      </c>
      <c r="R45" s="58">
        <f t="shared" si="10"/>
        <v>0</v>
      </c>
      <c r="S45" s="58"/>
      <c r="T45" s="58"/>
      <c r="U45" s="65">
        <f t="shared" si="11"/>
        <v>0</v>
      </c>
    </row>
    <row r="46" spans="1:21" ht="18" hidden="1" customHeight="1">
      <c r="A46" s="49">
        <f>SUBTOTAL(103,$B$9:B46)</f>
        <v>7</v>
      </c>
      <c r="B46" s="62" t="s">
        <v>73</v>
      </c>
      <c r="C46" s="51" t="s">
        <v>56</v>
      </c>
      <c r="D46" s="63"/>
      <c r="E46" s="53">
        <v>0</v>
      </c>
      <c r="F46" s="80"/>
      <c r="G46" s="55">
        <f t="shared" si="5"/>
        <v>0</v>
      </c>
      <c r="H46" s="56"/>
      <c r="I46" s="57"/>
      <c r="J46" s="57"/>
      <c r="K46" s="58">
        <f t="shared" si="0"/>
        <v>0</v>
      </c>
      <c r="L46" s="59">
        <f t="shared" si="1"/>
        <v>0</v>
      </c>
      <c r="M46" s="57"/>
      <c r="N46" s="57"/>
      <c r="O46" s="58">
        <f t="shared" si="2"/>
        <v>0</v>
      </c>
      <c r="P46" s="60">
        <f t="shared" si="3"/>
        <v>0</v>
      </c>
      <c r="Q46" s="58">
        <f t="shared" si="4"/>
        <v>0</v>
      </c>
      <c r="R46" s="58">
        <f t="shared" si="10"/>
        <v>0</v>
      </c>
      <c r="S46" s="58"/>
      <c r="T46" s="58"/>
      <c r="U46" s="65">
        <f t="shared" si="11"/>
        <v>0</v>
      </c>
    </row>
    <row r="47" spans="1:21" ht="18" hidden="1" customHeight="1">
      <c r="A47" s="49">
        <f>SUBTOTAL(103,$B$9:B47)</f>
        <v>7</v>
      </c>
      <c r="B47" s="62" t="s">
        <v>74</v>
      </c>
      <c r="C47" s="51" t="s">
        <v>56</v>
      </c>
      <c r="D47" s="63"/>
      <c r="E47" s="53">
        <v>0</v>
      </c>
      <c r="F47" s="80"/>
      <c r="G47" s="55">
        <f t="shared" si="5"/>
        <v>0</v>
      </c>
      <c r="H47" s="56"/>
      <c r="I47" s="57"/>
      <c r="J47" s="57"/>
      <c r="K47" s="58">
        <f t="shared" si="0"/>
        <v>0</v>
      </c>
      <c r="L47" s="59">
        <f t="shared" si="1"/>
        <v>0</v>
      </c>
      <c r="M47" s="57"/>
      <c r="N47" s="57"/>
      <c r="O47" s="58">
        <f t="shared" si="2"/>
        <v>0</v>
      </c>
      <c r="P47" s="60">
        <f t="shared" si="3"/>
        <v>0</v>
      </c>
      <c r="Q47" s="58">
        <f t="shared" si="4"/>
        <v>0</v>
      </c>
      <c r="R47" s="58">
        <f t="shared" si="10"/>
        <v>0</v>
      </c>
      <c r="S47" s="58"/>
      <c r="T47" s="58"/>
      <c r="U47" s="65">
        <f t="shared" si="11"/>
        <v>0</v>
      </c>
    </row>
    <row r="48" spans="1:21" ht="18" hidden="1" customHeight="1">
      <c r="A48" s="49">
        <f>SUBTOTAL(103,$B$9:B48)</f>
        <v>7</v>
      </c>
      <c r="B48" s="62" t="s">
        <v>75</v>
      </c>
      <c r="C48" s="51" t="s">
        <v>37</v>
      </c>
      <c r="D48" s="63"/>
      <c r="E48" s="53">
        <v>0</v>
      </c>
      <c r="F48" s="80"/>
      <c r="G48" s="55">
        <f t="shared" si="5"/>
        <v>0</v>
      </c>
      <c r="H48" s="56"/>
      <c r="I48" s="57"/>
      <c r="J48" s="57"/>
      <c r="K48" s="58">
        <f t="shared" si="0"/>
        <v>0</v>
      </c>
      <c r="L48" s="59">
        <f t="shared" si="1"/>
        <v>0</v>
      </c>
      <c r="M48" s="57"/>
      <c r="N48" s="57"/>
      <c r="O48" s="58">
        <f t="shared" si="2"/>
        <v>0</v>
      </c>
      <c r="P48" s="60">
        <f t="shared" si="3"/>
        <v>0</v>
      </c>
      <c r="Q48" s="58">
        <f t="shared" si="4"/>
        <v>0</v>
      </c>
      <c r="R48" s="58">
        <f t="shared" si="10"/>
        <v>0</v>
      </c>
      <c r="S48" s="58"/>
      <c r="T48" s="58"/>
      <c r="U48" s="65">
        <f t="shared" si="11"/>
        <v>0</v>
      </c>
    </row>
    <row r="49" spans="1:21" ht="18" hidden="1" customHeight="1">
      <c r="A49" s="49">
        <f>SUBTOTAL(103,$B$9:B49)</f>
        <v>7</v>
      </c>
      <c r="B49" s="62" t="s">
        <v>76</v>
      </c>
      <c r="C49" s="51" t="s">
        <v>56</v>
      </c>
      <c r="D49" s="63"/>
      <c r="E49" s="53">
        <v>0</v>
      </c>
      <c r="F49" s="80"/>
      <c r="G49" s="55">
        <f t="shared" si="5"/>
        <v>0</v>
      </c>
      <c r="H49" s="56"/>
      <c r="I49" s="57"/>
      <c r="J49" s="57"/>
      <c r="K49" s="58">
        <f t="shared" si="0"/>
        <v>0</v>
      </c>
      <c r="L49" s="59">
        <f t="shared" si="1"/>
        <v>0</v>
      </c>
      <c r="M49" s="57"/>
      <c r="N49" s="57"/>
      <c r="O49" s="58">
        <f t="shared" si="2"/>
        <v>0</v>
      </c>
      <c r="P49" s="60">
        <f t="shared" si="3"/>
        <v>0</v>
      </c>
      <c r="Q49" s="58">
        <f t="shared" si="4"/>
        <v>0</v>
      </c>
      <c r="R49" s="58">
        <f t="shared" si="10"/>
        <v>0</v>
      </c>
      <c r="S49" s="58"/>
      <c r="T49" s="58"/>
      <c r="U49" s="65">
        <f t="shared" si="11"/>
        <v>0</v>
      </c>
    </row>
    <row r="50" spans="1:21" ht="18" customHeight="1">
      <c r="A50" s="49">
        <f>SUBTOTAL(103,$B$9:B50)</f>
        <v>8</v>
      </c>
      <c r="B50" s="62" t="s">
        <v>77</v>
      </c>
      <c r="C50" s="51" t="s">
        <v>56</v>
      </c>
      <c r="D50" s="77">
        <v>500</v>
      </c>
      <c r="E50" s="53">
        <v>0</v>
      </c>
      <c r="F50" s="80"/>
      <c r="G50" s="55">
        <f t="shared" si="5"/>
        <v>0</v>
      </c>
      <c r="H50" s="56"/>
      <c r="I50" s="78"/>
      <c r="J50" s="57">
        <f>320+180</f>
        <v>500</v>
      </c>
      <c r="K50" s="58">
        <f t="shared" si="0"/>
        <v>500</v>
      </c>
      <c r="L50" s="59">
        <f t="shared" si="1"/>
        <v>100</v>
      </c>
      <c r="M50" s="57"/>
      <c r="N50" s="57">
        <f>320+180</f>
        <v>500</v>
      </c>
      <c r="O50" s="58">
        <f t="shared" si="2"/>
        <v>0</v>
      </c>
      <c r="P50" s="60">
        <f t="shared" si="3"/>
        <v>100</v>
      </c>
      <c r="Q50" s="58">
        <f t="shared" si="4"/>
        <v>0</v>
      </c>
      <c r="R50" s="58">
        <f t="shared" si="10"/>
        <v>0</v>
      </c>
      <c r="S50" s="58"/>
      <c r="T50" s="58"/>
      <c r="U50" s="65">
        <f t="shared" si="11"/>
        <v>0</v>
      </c>
    </row>
    <row r="51" spans="1:21" ht="18" customHeight="1">
      <c r="A51" s="49">
        <f>SUBTOTAL(103,$B$9:B51)</f>
        <v>9</v>
      </c>
      <c r="B51" s="62" t="s">
        <v>78</v>
      </c>
      <c r="C51" s="81" t="s">
        <v>56</v>
      </c>
      <c r="D51" s="77">
        <v>600</v>
      </c>
      <c r="E51" s="53">
        <v>0</v>
      </c>
      <c r="F51" s="80"/>
      <c r="G51" s="55">
        <f>D51*E51</f>
        <v>0</v>
      </c>
      <c r="H51" s="56"/>
      <c r="I51" s="78"/>
      <c r="J51" s="57">
        <v>600</v>
      </c>
      <c r="K51" s="58">
        <f>H51+J51</f>
        <v>600</v>
      </c>
      <c r="L51" s="59">
        <f>IF(D51&gt;0,ROUND((K51/D51)*100,0),0)</f>
        <v>100</v>
      </c>
      <c r="M51" s="57"/>
      <c r="N51" s="57">
        <f>600</f>
        <v>600</v>
      </c>
      <c r="O51" s="58">
        <f>N51*E51</f>
        <v>0</v>
      </c>
      <c r="P51" s="60">
        <f>IF(D51&gt;0,ROUND((N51/D51)*100,0),0)</f>
        <v>100</v>
      </c>
      <c r="Q51" s="58">
        <f>K51-N51</f>
        <v>0</v>
      </c>
      <c r="R51" s="58">
        <f>Q51*E51</f>
        <v>0</v>
      </c>
      <c r="S51" s="58"/>
      <c r="T51" s="58"/>
      <c r="U51" s="65">
        <f>D51-K51</f>
        <v>0</v>
      </c>
    </row>
    <row r="52" spans="1:21" ht="18" customHeight="1">
      <c r="A52" s="49">
        <f>SUBTOTAL(103,$B$9:B52)</f>
        <v>10</v>
      </c>
      <c r="B52" s="62" t="s">
        <v>79</v>
      </c>
      <c r="C52" s="81" t="s">
        <v>56</v>
      </c>
      <c r="D52" s="77">
        <v>0</v>
      </c>
      <c r="E52" s="53">
        <v>0</v>
      </c>
      <c r="F52" s="80"/>
      <c r="G52" s="55">
        <f>D52*E52</f>
        <v>0</v>
      </c>
      <c r="H52" s="56"/>
      <c r="I52" s="78">
        <v>500</v>
      </c>
      <c r="J52" s="57">
        <v>500</v>
      </c>
      <c r="K52" s="58">
        <f>H52+J52</f>
        <v>500</v>
      </c>
      <c r="L52" s="59">
        <f>IF(D52&gt;0,ROUND((K52/D52)*100,0),0)</f>
        <v>0</v>
      </c>
      <c r="M52" s="57">
        <v>500</v>
      </c>
      <c r="N52" s="57">
        <f>500</f>
        <v>500</v>
      </c>
      <c r="O52" s="58">
        <f>N52*E52</f>
        <v>0</v>
      </c>
      <c r="P52" s="60">
        <f>IF(D52&gt;0,ROUND((N52/D52)*100,0),0)</f>
        <v>0</v>
      </c>
      <c r="Q52" s="58">
        <f>K52-N52</f>
        <v>0</v>
      </c>
      <c r="R52" s="58">
        <f>Q52*E52</f>
        <v>0</v>
      </c>
      <c r="S52" s="58"/>
      <c r="T52" s="58"/>
      <c r="U52" s="65">
        <f>D52-K52</f>
        <v>-500</v>
      </c>
    </row>
    <row r="53" spans="1:21" ht="18" hidden="1" customHeight="1">
      <c r="A53" s="49">
        <f>SUBTOTAL(103,$B$9:B53)</f>
        <v>10</v>
      </c>
      <c r="B53" s="62" t="s">
        <v>80</v>
      </c>
      <c r="C53" s="81" t="s">
        <v>56</v>
      </c>
      <c r="D53" s="63"/>
      <c r="E53" s="53">
        <v>0</v>
      </c>
      <c r="F53" s="80"/>
      <c r="G53" s="55">
        <f>D53*E53</f>
        <v>0</v>
      </c>
      <c r="H53" s="56"/>
      <c r="I53" s="57"/>
      <c r="J53" s="57"/>
      <c r="K53" s="58">
        <f>H53+J53</f>
        <v>0</v>
      </c>
      <c r="L53" s="59">
        <f>IF(D53&gt;0,ROUND((K53/D53)*100,0),0)</f>
        <v>0</v>
      </c>
      <c r="M53" s="57"/>
      <c r="N53" s="57"/>
      <c r="O53" s="58">
        <f>N53*E53</f>
        <v>0</v>
      </c>
      <c r="P53" s="60">
        <f>IF(D53&gt;0,ROUND((N53/D53)*100,0),0)</f>
        <v>0</v>
      </c>
      <c r="Q53" s="58">
        <f>K53-N53</f>
        <v>0</v>
      </c>
      <c r="R53" s="58">
        <f>Q53*E53</f>
        <v>0</v>
      </c>
      <c r="S53" s="58"/>
      <c r="T53" s="58"/>
      <c r="U53" s="65">
        <f>D53-K53</f>
        <v>0</v>
      </c>
    </row>
    <row r="54" spans="1:21" ht="18" customHeight="1">
      <c r="A54" s="49">
        <f>SUBTOTAL(103,$B$9:B54)</f>
        <v>11</v>
      </c>
      <c r="B54" s="62" t="s">
        <v>81</v>
      </c>
      <c r="C54" s="51" t="s">
        <v>37</v>
      </c>
      <c r="D54" s="63">
        <f>1+3</f>
        <v>4</v>
      </c>
      <c r="E54" s="53">
        <v>0</v>
      </c>
      <c r="F54" s="80"/>
      <c r="G54" s="55">
        <f t="shared" si="5"/>
        <v>0</v>
      </c>
      <c r="H54" s="56"/>
      <c r="I54" s="57"/>
      <c r="J54" s="57">
        <f>1+3</f>
        <v>4</v>
      </c>
      <c r="K54" s="58">
        <f t="shared" si="0"/>
        <v>4</v>
      </c>
      <c r="L54" s="59">
        <f t="shared" si="1"/>
        <v>100</v>
      </c>
      <c r="M54" s="57"/>
      <c r="N54" s="57">
        <f>1+3</f>
        <v>4</v>
      </c>
      <c r="O54" s="58">
        <f t="shared" si="2"/>
        <v>0</v>
      </c>
      <c r="P54" s="60">
        <f t="shared" si="3"/>
        <v>100</v>
      </c>
      <c r="Q54" s="58">
        <f t="shared" si="4"/>
        <v>0</v>
      </c>
      <c r="R54" s="58">
        <f t="shared" si="10"/>
        <v>0</v>
      </c>
      <c r="S54" s="58"/>
      <c r="T54" s="58"/>
      <c r="U54" s="65">
        <f t="shared" si="11"/>
        <v>0</v>
      </c>
    </row>
    <row r="55" spans="1:21" ht="18" customHeight="1">
      <c r="A55" s="49">
        <f>SUBTOTAL(103,$B$9:B55)</f>
        <v>12</v>
      </c>
      <c r="B55" s="62" t="s">
        <v>82</v>
      </c>
      <c r="C55" s="51" t="s">
        <v>37</v>
      </c>
      <c r="D55" s="63">
        <v>1</v>
      </c>
      <c r="E55" s="53">
        <v>0</v>
      </c>
      <c r="F55" s="80"/>
      <c r="G55" s="55">
        <f t="shared" si="5"/>
        <v>0</v>
      </c>
      <c r="H55" s="56"/>
      <c r="I55" s="57"/>
      <c r="J55" s="57">
        <v>1</v>
      </c>
      <c r="K55" s="58">
        <f t="shared" si="0"/>
        <v>1</v>
      </c>
      <c r="L55" s="59">
        <f t="shared" si="1"/>
        <v>100</v>
      </c>
      <c r="M55" s="57"/>
      <c r="N55" s="57">
        <v>1</v>
      </c>
      <c r="O55" s="58">
        <f t="shared" si="2"/>
        <v>0</v>
      </c>
      <c r="P55" s="60">
        <f t="shared" si="3"/>
        <v>100</v>
      </c>
      <c r="Q55" s="58">
        <f t="shared" si="4"/>
        <v>0</v>
      </c>
      <c r="R55" s="58">
        <f t="shared" si="10"/>
        <v>0</v>
      </c>
      <c r="S55" s="58"/>
      <c r="T55" s="58"/>
      <c r="U55" s="65">
        <f t="shared" si="11"/>
        <v>0</v>
      </c>
    </row>
    <row r="56" spans="1:21" ht="18" customHeight="1">
      <c r="A56" s="49">
        <f>SUBTOTAL(103,$B$9:B56)</f>
        <v>13</v>
      </c>
      <c r="B56" s="62" t="s">
        <v>83</v>
      </c>
      <c r="C56" s="51" t="s">
        <v>37</v>
      </c>
      <c r="D56" s="63">
        <v>105</v>
      </c>
      <c r="E56" s="53">
        <v>0</v>
      </c>
      <c r="F56" s="80"/>
      <c r="G56" s="55">
        <f t="shared" si="5"/>
        <v>0</v>
      </c>
      <c r="H56" s="56"/>
      <c r="I56" s="57"/>
      <c r="J56" s="57">
        <v>105</v>
      </c>
      <c r="K56" s="58">
        <f t="shared" si="0"/>
        <v>105</v>
      </c>
      <c r="L56" s="59">
        <f t="shared" si="1"/>
        <v>100</v>
      </c>
      <c r="M56" s="57"/>
      <c r="N56" s="57">
        <v>105</v>
      </c>
      <c r="O56" s="58">
        <f t="shared" si="2"/>
        <v>0</v>
      </c>
      <c r="P56" s="60">
        <f t="shared" si="3"/>
        <v>100</v>
      </c>
      <c r="Q56" s="58">
        <f t="shared" si="4"/>
        <v>0</v>
      </c>
      <c r="R56" s="58">
        <f t="shared" si="10"/>
        <v>0</v>
      </c>
      <c r="S56" s="58"/>
      <c r="T56" s="58"/>
      <c r="U56" s="65">
        <f t="shared" si="11"/>
        <v>0</v>
      </c>
    </row>
    <row r="57" spans="1:21" ht="18" hidden="1" customHeight="1">
      <c r="A57" s="49">
        <f>SUBTOTAL(103,$B$9:B57)</f>
        <v>13</v>
      </c>
      <c r="B57" s="62" t="s">
        <v>84</v>
      </c>
      <c r="C57" s="81" t="s">
        <v>56</v>
      </c>
      <c r="D57" s="63"/>
      <c r="E57" s="53">
        <v>0</v>
      </c>
      <c r="F57" s="80"/>
      <c r="G57" s="55">
        <f t="shared" si="5"/>
        <v>0</v>
      </c>
      <c r="H57" s="56"/>
      <c r="I57" s="57"/>
      <c r="J57" s="57"/>
      <c r="K57" s="58">
        <f t="shared" si="0"/>
        <v>0</v>
      </c>
      <c r="L57" s="59">
        <f t="shared" si="1"/>
        <v>0</v>
      </c>
      <c r="M57" s="57"/>
      <c r="N57" s="57"/>
      <c r="O57" s="58">
        <f t="shared" si="2"/>
        <v>0</v>
      </c>
      <c r="P57" s="60">
        <f t="shared" si="3"/>
        <v>0</v>
      </c>
      <c r="Q57" s="58">
        <f t="shared" si="4"/>
        <v>0</v>
      </c>
      <c r="R57" s="58">
        <f t="shared" si="10"/>
        <v>0</v>
      </c>
      <c r="S57" s="58"/>
      <c r="T57" s="58"/>
      <c r="U57" s="65">
        <f t="shared" si="11"/>
        <v>0</v>
      </c>
    </row>
    <row r="58" spans="1:21" ht="18" customHeight="1">
      <c r="A58" s="49">
        <f>SUBTOTAL(103,$B$9:B58)</f>
        <v>14</v>
      </c>
      <c r="B58" s="62" t="s">
        <v>85</v>
      </c>
      <c r="C58" s="51" t="s">
        <v>56</v>
      </c>
      <c r="D58" s="77">
        <v>1400</v>
      </c>
      <c r="E58" s="53">
        <v>0</v>
      </c>
      <c r="F58" s="64"/>
      <c r="G58" s="55">
        <f>D58*E58</f>
        <v>0</v>
      </c>
      <c r="H58" s="56"/>
      <c r="I58" s="78"/>
      <c r="J58" s="57">
        <f>420+140+140+560+140</f>
        <v>1400</v>
      </c>
      <c r="K58" s="58">
        <f>H58+J58</f>
        <v>1400</v>
      </c>
      <c r="L58" s="59">
        <f>IF(D58&gt;0,ROUND((K58/D58)*100,0),0)</f>
        <v>100</v>
      </c>
      <c r="M58" s="57"/>
      <c r="N58" s="57">
        <f>420+140+140+560+140</f>
        <v>1400</v>
      </c>
      <c r="O58" s="58">
        <f>N58*E58</f>
        <v>0</v>
      </c>
      <c r="P58" s="60">
        <f>IF(D58&gt;0,ROUND((N58/D58)*100,0),0)</f>
        <v>100</v>
      </c>
      <c r="Q58" s="58">
        <f>K58-N58</f>
        <v>0</v>
      </c>
      <c r="R58" s="58">
        <f>Q58*E58</f>
        <v>0</v>
      </c>
      <c r="S58" s="58"/>
      <c r="T58" s="58"/>
      <c r="U58" s="65">
        <f>D58-K58</f>
        <v>0</v>
      </c>
    </row>
    <row r="59" spans="1:21" s="75" customFormat="1" ht="18" customHeight="1">
      <c r="A59" s="49">
        <f>SUBTOTAL(103,$B$9:B59)</f>
        <v>15</v>
      </c>
      <c r="B59" s="50" t="s">
        <v>86</v>
      </c>
      <c r="C59" s="81" t="s">
        <v>56</v>
      </c>
      <c r="D59" s="66">
        <v>1</v>
      </c>
      <c r="E59" s="82">
        <v>0</v>
      </c>
      <c r="F59" s="67"/>
      <c r="G59" s="68">
        <f>D59*E59</f>
        <v>0</v>
      </c>
      <c r="H59" s="69"/>
      <c r="I59" s="70"/>
      <c r="J59" s="70">
        <v>1</v>
      </c>
      <c r="K59" s="71">
        <f>H59+J59</f>
        <v>1</v>
      </c>
      <c r="L59" s="72">
        <f>IF(D59&gt;0,ROUND((K59/D59)*100,0),0)</f>
        <v>100</v>
      </c>
      <c r="M59" s="70"/>
      <c r="N59" s="70">
        <v>1</v>
      </c>
      <c r="O59" s="71">
        <f>N59*E59</f>
        <v>0</v>
      </c>
      <c r="P59" s="73">
        <f>IF(D59&gt;0,ROUND((N59/D59)*100,0),0)</f>
        <v>100</v>
      </c>
      <c r="Q59" s="71">
        <f>K59-N59</f>
        <v>0</v>
      </c>
      <c r="R59" s="71">
        <f>Q59*E59</f>
        <v>0</v>
      </c>
      <c r="S59" s="71"/>
      <c r="T59" s="71"/>
      <c r="U59" s="74">
        <f>D59-K59</f>
        <v>0</v>
      </c>
    </row>
    <row r="60" spans="1:21" s="75" customFormat="1" ht="38.25" customHeight="1">
      <c r="A60" s="49">
        <f>SUBTOTAL(103,$B$9:B60)</f>
        <v>16</v>
      </c>
      <c r="B60" s="50" t="s">
        <v>87</v>
      </c>
      <c r="C60" s="81" t="s">
        <v>56</v>
      </c>
      <c r="D60" s="66">
        <v>550</v>
      </c>
      <c r="E60" s="82">
        <v>0</v>
      </c>
      <c r="F60" s="67"/>
      <c r="G60" s="68">
        <f>D60*E60</f>
        <v>0</v>
      </c>
      <c r="H60" s="69"/>
      <c r="I60" s="70">
        <v>550</v>
      </c>
      <c r="J60" s="70">
        <v>550</v>
      </c>
      <c r="K60" s="71">
        <f>H60+J60</f>
        <v>550</v>
      </c>
      <c r="L60" s="72">
        <f>IF(D60&gt;0,ROUND((K60/D60)*100,0),0)</f>
        <v>100</v>
      </c>
      <c r="M60" s="70">
        <v>550</v>
      </c>
      <c r="N60" s="70">
        <f>550</f>
        <v>550</v>
      </c>
      <c r="O60" s="71">
        <f>N60*E60</f>
        <v>0</v>
      </c>
      <c r="P60" s="73">
        <f>IF(D60&gt;0,ROUND((N60/D60)*100,0),0)</f>
        <v>100</v>
      </c>
      <c r="Q60" s="71">
        <f>K60-N60</f>
        <v>0</v>
      </c>
      <c r="R60" s="71">
        <f>Q60*E60</f>
        <v>0</v>
      </c>
      <c r="S60" s="71"/>
      <c r="T60" s="71"/>
      <c r="U60" s="74">
        <f>D60-K60</f>
        <v>0</v>
      </c>
    </row>
    <row r="61" spans="1:21" s="75" customFormat="1" ht="18.600000000000001" hidden="1" customHeight="1">
      <c r="A61" s="49">
        <f>SUBTOTAL(103,$B$9:B61)</f>
        <v>16</v>
      </c>
      <c r="B61" s="50" t="s">
        <v>88</v>
      </c>
      <c r="C61" s="81" t="s">
        <v>56</v>
      </c>
      <c r="D61" s="66"/>
      <c r="E61" s="82">
        <v>0</v>
      </c>
      <c r="F61" s="67"/>
      <c r="G61" s="68">
        <f>D61*E61</f>
        <v>0</v>
      </c>
      <c r="H61" s="69"/>
      <c r="I61" s="70"/>
      <c r="J61" s="70"/>
      <c r="K61" s="71">
        <f>H61+J61</f>
        <v>0</v>
      </c>
      <c r="L61" s="72">
        <f>IF(D61&gt;0,ROUND((K61/D61)*100,0),0)</f>
        <v>0</v>
      </c>
      <c r="M61" s="70"/>
      <c r="N61" s="70"/>
      <c r="O61" s="71">
        <f>N61*E61</f>
        <v>0</v>
      </c>
      <c r="P61" s="73">
        <f>IF(D61&gt;0,ROUND((N61/D61)*100,0),0)</f>
        <v>0</v>
      </c>
      <c r="Q61" s="71">
        <f>K61-N61</f>
        <v>0</v>
      </c>
      <c r="R61" s="71">
        <f>Q61*E61</f>
        <v>0</v>
      </c>
      <c r="S61" s="71"/>
      <c r="T61" s="71"/>
      <c r="U61" s="74">
        <f>D61-K61</f>
        <v>0</v>
      </c>
    </row>
    <row r="62" spans="1:21" ht="18" hidden="1" customHeight="1">
      <c r="A62" s="49">
        <f>SUBTOTAL(103,$B$9:B62)</f>
        <v>16</v>
      </c>
      <c r="B62" s="62" t="s">
        <v>89</v>
      </c>
      <c r="C62" s="51" t="s">
        <v>56</v>
      </c>
      <c r="D62" s="63"/>
      <c r="E62" s="53">
        <v>0</v>
      </c>
      <c r="F62" s="64"/>
      <c r="G62" s="55">
        <f t="shared" ref="G62:G126" si="20">D62*E62</f>
        <v>0</v>
      </c>
      <c r="H62" s="56"/>
      <c r="I62" s="57"/>
      <c r="J62" s="57"/>
      <c r="K62" s="58">
        <f t="shared" ref="K62:K126" si="21">H62+J62</f>
        <v>0</v>
      </c>
      <c r="L62" s="59">
        <f t="shared" ref="L62:L126" si="22">IF(D62&gt;0,ROUND((K62/D62)*100,0),0)</f>
        <v>0</v>
      </c>
      <c r="M62" s="57"/>
      <c r="N62" s="57"/>
      <c r="O62" s="58">
        <f t="shared" ref="O62:O126" si="23">N62*E62</f>
        <v>0</v>
      </c>
      <c r="P62" s="60">
        <f t="shared" ref="P62:P126" si="24">IF(D62&gt;0,ROUND((N62/D62)*100,0),0)</f>
        <v>0</v>
      </c>
      <c r="Q62" s="58">
        <f t="shared" ref="Q62:Q126" si="25">K62-N62</f>
        <v>0</v>
      </c>
      <c r="R62" s="58">
        <f t="shared" ref="R62:R99" si="26">Q62*E62</f>
        <v>0</v>
      </c>
      <c r="S62" s="58"/>
      <c r="T62" s="58"/>
      <c r="U62" s="65">
        <f t="shared" ref="U62:U126" si="27">D62-K62</f>
        <v>0</v>
      </c>
    </row>
    <row r="63" spans="1:21" ht="19.899999999999999" hidden="1" customHeight="1">
      <c r="A63" s="49">
        <f>SUBTOTAL(103,$B$9:B63)</f>
        <v>16</v>
      </c>
      <c r="B63" s="62" t="s">
        <v>90</v>
      </c>
      <c r="C63" s="51" t="s">
        <v>56</v>
      </c>
      <c r="D63" s="63"/>
      <c r="E63" s="53">
        <v>0</v>
      </c>
      <c r="F63" s="64"/>
      <c r="G63" s="55">
        <f t="shared" si="20"/>
        <v>0</v>
      </c>
      <c r="H63" s="56"/>
      <c r="I63" s="57"/>
      <c r="J63" s="57"/>
      <c r="K63" s="58">
        <f t="shared" si="21"/>
        <v>0</v>
      </c>
      <c r="L63" s="59">
        <f t="shared" si="22"/>
        <v>0</v>
      </c>
      <c r="M63" s="57"/>
      <c r="N63" s="57"/>
      <c r="O63" s="58">
        <f t="shared" si="23"/>
        <v>0</v>
      </c>
      <c r="P63" s="60">
        <f t="shared" si="24"/>
        <v>0</v>
      </c>
      <c r="Q63" s="58">
        <f t="shared" si="25"/>
        <v>0</v>
      </c>
      <c r="R63" s="58">
        <f t="shared" si="26"/>
        <v>0</v>
      </c>
      <c r="S63" s="58"/>
      <c r="T63" s="58"/>
      <c r="U63" s="65">
        <f t="shared" si="27"/>
        <v>0</v>
      </c>
    </row>
    <row r="64" spans="1:21" ht="21" hidden="1" customHeight="1">
      <c r="A64" s="49">
        <f>SUBTOTAL(103,$B$9:B64)</f>
        <v>16</v>
      </c>
      <c r="B64" s="62" t="s">
        <v>91</v>
      </c>
      <c r="C64" s="51" t="s">
        <v>56</v>
      </c>
      <c r="D64" s="63"/>
      <c r="E64" s="53">
        <v>0</v>
      </c>
      <c r="F64" s="64"/>
      <c r="G64" s="55">
        <f t="shared" si="20"/>
        <v>0</v>
      </c>
      <c r="H64" s="56"/>
      <c r="I64" s="57"/>
      <c r="J64" s="57"/>
      <c r="K64" s="58">
        <f t="shared" si="21"/>
        <v>0</v>
      </c>
      <c r="L64" s="59">
        <f t="shared" si="22"/>
        <v>0</v>
      </c>
      <c r="M64" s="57"/>
      <c r="N64" s="57"/>
      <c r="O64" s="58">
        <f t="shared" si="23"/>
        <v>0</v>
      </c>
      <c r="P64" s="60">
        <f t="shared" si="24"/>
        <v>0</v>
      </c>
      <c r="Q64" s="58">
        <f t="shared" si="25"/>
        <v>0</v>
      </c>
      <c r="R64" s="58">
        <f t="shared" si="26"/>
        <v>0</v>
      </c>
      <c r="S64" s="58"/>
      <c r="T64" s="58"/>
      <c r="U64" s="65">
        <f t="shared" si="27"/>
        <v>0</v>
      </c>
    </row>
    <row r="65" spans="1:21" ht="18.600000000000001" hidden="1" customHeight="1">
      <c r="A65" s="49">
        <f>SUBTOTAL(103,$B$9:B65)</f>
        <v>16</v>
      </c>
      <c r="B65" s="62" t="s">
        <v>92</v>
      </c>
      <c r="C65" s="51" t="s">
        <v>56</v>
      </c>
      <c r="D65" s="63"/>
      <c r="E65" s="53">
        <v>0</v>
      </c>
      <c r="F65" s="64"/>
      <c r="G65" s="55">
        <f t="shared" si="20"/>
        <v>0</v>
      </c>
      <c r="H65" s="56"/>
      <c r="I65" s="57"/>
      <c r="J65" s="57"/>
      <c r="K65" s="58">
        <f t="shared" si="21"/>
        <v>0</v>
      </c>
      <c r="L65" s="59">
        <f t="shared" si="22"/>
        <v>0</v>
      </c>
      <c r="M65" s="57"/>
      <c r="N65" s="57"/>
      <c r="O65" s="58">
        <f t="shared" si="23"/>
        <v>0</v>
      </c>
      <c r="P65" s="60">
        <f t="shared" si="24"/>
        <v>0</v>
      </c>
      <c r="Q65" s="58">
        <f t="shared" si="25"/>
        <v>0</v>
      </c>
      <c r="R65" s="58">
        <f t="shared" si="26"/>
        <v>0</v>
      </c>
      <c r="S65" s="58"/>
      <c r="T65" s="58"/>
      <c r="U65" s="65">
        <f t="shared" si="27"/>
        <v>0</v>
      </c>
    </row>
    <row r="66" spans="1:21" ht="18.600000000000001" hidden="1" customHeight="1">
      <c r="A66" s="49">
        <f>SUBTOTAL(103,$B$9:B66)</f>
        <v>16</v>
      </c>
      <c r="B66" s="62" t="s">
        <v>93</v>
      </c>
      <c r="C66" s="51" t="s">
        <v>56</v>
      </c>
      <c r="D66" s="63"/>
      <c r="E66" s="53">
        <v>0</v>
      </c>
      <c r="F66" s="64"/>
      <c r="G66" s="55">
        <f t="shared" si="20"/>
        <v>0</v>
      </c>
      <c r="H66" s="56"/>
      <c r="I66" s="57"/>
      <c r="J66" s="57"/>
      <c r="K66" s="58">
        <f t="shared" si="21"/>
        <v>0</v>
      </c>
      <c r="L66" s="59">
        <f t="shared" si="22"/>
        <v>0</v>
      </c>
      <c r="M66" s="57"/>
      <c r="N66" s="57"/>
      <c r="O66" s="58">
        <f t="shared" si="23"/>
        <v>0</v>
      </c>
      <c r="P66" s="60">
        <f t="shared" si="24"/>
        <v>0</v>
      </c>
      <c r="Q66" s="58">
        <f t="shared" si="25"/>
        <v>0</v>
      </c>
      <c r="R66" s="58">
        <f t="shared" si="26"/>
        <v>0</v>
      </c>
      <c r="S66" s="58"/>
      <c r="T66" s="58"/>
      <c r="U66" s="65">
        <f t="shared" si="27"/>
        <v>0</v>
      </c>
    </row>
    <row r="67" spans="1:21" ht="18.600000000000001" hidden="1" customHeight="1">
      <c r="A67" s="49">
        <f>SUBTOTAL(103,$B$9:B67)</f>
        <v>16</v>
      </c>
      <c r="B67" s="62" t="s">
        <v>94</v>
      </c>
      <c r="C67" s="51" t="s">
        <v>56</v>
      </c>
      <c r="D67" s="63"/>
      <c r="E67" s="53">
        <v>0</v>
      </c>
      <c r="F67" s="64"/>
      <c r="G67" s="55">
        <f t="shared" si="20"/>
        <v>0</v>
      </c>
      <c r="H67" s="56"/>
      <c r="I67" s="57"/>
      <c r="J67" s="57"/>
      <c r="K67" s="58">
        <f t="shared" si="21"/>
        <v>0</v>
      </c>
      <c r="L67" s="59">
        <f t="shared" si="22"/>
        <v>0</v>
      </c>
      <c r="M67" s="57"/>
      <c r="N67" s="57"/>
      <c r="O67" s="58">
        <f t="shared" si="23"/>
        <v>0</v>
      </c>
      <c r="P67" s="60">
        <f t="shared" si="24"/>
        <v>0</v>
      </c>
      <c r="Q67" s="58">
        <f t="shared" si="25"/>
        <v>0</v>
      </c>
      <c r="R67" s="58">
        <f t="shared" si="26"/>
        <v>0</v>
      </c>
      <c r="S67" s="58"/>
      <c r="T67" s="58"/>
      <c r="U67" s="65">
        <f t="shared" si="27"/>
        <v>0</v>
      </c>
    </row>
    <row r="68" spans="1:21" ht="18.600000000000001" hidden="1" customHeight="1">
      <c r="A68" s="49">
        <f>SUBTOTAL(103,$B$9:B68)</f>
        <v>16</v>
      </c>
      <c r="B68" s="62" t="s">
        <v>95</v>
      </c>
      <c r="C68" s="51" t="s">
        <v>56</v>
      </c>
      <c r="D68" s="63"/>
      <c r="E68" s="53">
        <v>0</v>
      </c>
      <c r="F68" s="64"/>
      <c r="G68" s="55">
        <f t="shared" si="20"/>
        <v>0</v>
      </c>
      <c r="H68" s="56"/>
      <c r="I68" s="57"/>
      <c r="J68" s="57"/>
      <c r="K68" s="58">
        <f t="shared" si="21"/>
        <v>0</v>
      </c>
      <c r="L68" s="59">
        <f t="shared" si="22"/>
        <v>0</v>
      </c>
      <c r="M68" s="57"/>
      <c r="N68" s="57"/>
      <c r="O68" s="58">
        <f t="shared" si="23"/>
        <v>0</v>
      </c>
      <c r="P68" s="60">
        <f t="shared" si="24"/>
        <v>0</v>
      </c>
      <c r="Q68" s="58">
        <f t="shared" si="25"/>
        <v>0</v>
      </c>
      <c r="R68" s="58">
        <f t="shared" si="26"/>
        <v>0</v>
      </c>
      <c r="S68" s="58"/>
      <c r="T68" s="58"/>
      <c r="U68" s="65">
        <f t="shared" si="27"/>
        <v>0</v>
      </c>
    </row>
    <row r="69" spans="1:21" ht="18.600000000000001" hidden="1" customHeight="1">
      <c r="A69" s="49">
        <f>SUBTOTAL(103,$B$9:B69)</f>
        <v>16</v>
      </c>
      <c r="B69" s="62" t="s">
        <v>96</v>
      </c>
      <c r="C69" s="51" t="s">
        <v>56</v>
      </c>
      <c r="D69" s="63"/>
      <c r="E69" s="53">
        <v>0</v>
      </c>
      <c r="F69" s="64"/>
      <c r="G69" s="55">
        <f t="shared" si="20"/>
        <v>0</v>
      </c>
      <c r="H69" s="56"/>
      <c r="I69" s="57"/>
      <c r="J69" s="57"/>
      <c r="K69" s="58">
        <f t="shared" si="21"/>
        <v>0</v>
      </c>
      <c r="L69" s="59">
        <f t="shared" si="22"/>
        <v>0</v>
      </c>
      <c r="M69" s="57"/>
      <c r="N69" s="57"/>
      <c r="O69" s="58">
        <f t="shared" si="23"/>
        <v>0</v>
      </c>
      <c r="P69" s="60">
        <f t="shared" si="24"/>
        <v>0</v>
      </c>
      <c r="Q69" s="58">
        <f t="shared" si="25"/>
        <v>0</v>
      </c>
      <c r="R69" s="58">
        <f t="shared" si="26"/>
        <v>0</v>
      </c>
      <c r="S69" s="58"/>
      <c r="T69" s="58"/>
      <c r="U69" s="65">
        <f t="shared" si="27"/>
        <v>0</v>
      </c>
    </row>
    <row r="70" spans="1:21" ht="18.600000000000001" customHeight="1">
      <c r="A70" s="49">
        <f>SUBTOTAL(103,$B$9:B70)</f>
        <v>17</v>
      </c>
      <c r="B70" s="62" t="s">
        <v>97</v>
      </c>
      <c r="C70" s="51" t="s">
        <v>51</v>
      </c>
      <c r="D70" s="63">
        <v>300</v>
      </c>
      <c r="E70" s="53">
        <v>0</v>
      </c>
      <c r="F70" s="64"/>
      <c r="G70" s="55">
        <f t="shared" si="20"/>
        <v>0</v>
      </c>
      <c r="H70" s="56"/>
      <c r="I70" s="57"/>
      <c r="J70" s="57">
        <v>300</v>
      </c>
      <c r="K70" s="58">
        <f t="shared" si="21"/>
        <v>300</v>
      </c>
      <c r="L70" s="59">
        <f t="shared" si="22"/>
        <v>100</v>
      </c>
      <c r="M70" s="57"/>
      <c r="N70" s="57">
        <f>300</f>
        <v>300</v>
      </c>
      <c r="O70" s="58">
        <f t="shared" si="23"/>
        <v>0</v>
      </c>
      <c r="P70" s="60">
        <f t="shared" si="24"/>
        <v>100</v>
      </c>
      <c r="Q70" s="58">
        <f t="shared" si="25"/>
        <v>0</v>
      </c>
      <c r="R70" s="58">
        <f t="shared" si="26"/>
        <v>0</v>
      </c>
      <c r="S70" s="58"/>
      <c r="T70" s="58"/>
      <c r="U70" s="65">
        <f t="shared" si="27"/>
        <v>0</v>
      </c>
    </row>
    <row r="71" spans="1:21" ht="18" hidden="1" customHeight="1">
      <c r="A71" s="49">
        <f>SUBTOTAL(103,$B$9:B71)</f>
        <v>17</v>
      </c>
      <c r="B71" s="62" t="s">
        <v>98</v>
      </c>
      <c r="C71" s="51" t="s">
        <v>51</v>
      </c>
      <c r="D71" s="63"/>
      <c r="E71" s="53">
        <v>0</v>
      </c>
      <c r="F71" s="64"/>
      <c r="G71" s="55">
        <f t="shared" si="20"/>
        <v>0</v>
      </c>
      <c r="H71" s="56"/>
      <c r="I71" s="57"/>
      <c r="J71" s="57"/>
      <c r="K71" s="58">
        <f t="shared" si="21"/>
        <v>0</v>
      </c>
      <c r="L71" s="59">
        <f t="shared" si="22"/>
        <v>0</v>
      </c>
      <c r="M71" s="57"/>
      <c r="N71" s="57"/>
      <c r="O71" s="58">
        <f t="shared" si="23"/>
        <v>0</v>
      </c>
      <c r="P71" s="60">
        <f t="shared" si="24"/>
        <v>0</v>
      </c>
      <c r="Q71" s="58">
        <f t="shared" si="25"/>
        <v>0</v>
      </c>
      <c r="R71" s="58">
        <f t="shared" si="26"/>
        <v>0</v>
      </c>
      <c r="S71" s="58"/>
      <c r="T71" s="58"/>
      <c r="U71" s="65">
        <f t="shared" si="27"/>
        <v>0</v>
      </c>
    </row>
    <row r="72" spans="1:21" ht="18" customHeight="1">
      <c r="A72" s="49">
        <f>SUBTOTAL(103,$B$9:B72)</f>
        <v>18</v>
      </c>
      <c r="B72" s="62" t="s">
        <v>99</v>
      </c>
      <c r="C72" s="51" t="s">
        <v>51</v>
      </c>
      <c r="D72" s="63">
        <v>500</v>
      </c>
      <c r="E72" s="53">
        <v>0</v>
      </c>
      <c r="F72" s="64"/>
      <c r="G72" s="55">
        <f t="shared" si="20"/>
        <v>0</v>
      </c>
      <c r="H72" s="56"/>
      <c r="I72" s="57"/>
      <c r="J72" s="57">
        <f>500</f>
        <v>500</v>
      </c>
      <c r="K72" s="58">
        <f t="shared" si="21"/>
        <v>500</v>
      </c>
      <c r="L72" s="59">
        <f t="shared" si="22"/>
        <v>100</v>
      </c>
      <c r="M72" s="57"/>
      <c r="N72" s="57">
        <f>500</f>
        <v>500</v>
      </c>
      <c r="O72" s="58">
        <f t="shared" si="23"/>
        <v>0</v>
      </c>
      <c r="P72" s="60">
        <f t="shared" si="24"/>
        <v>100</v>
      </c>
      <c r="Q72" s="58">
        <f t="shared" si="25"/>
        <v>0</v>
      </c>
      <c r="R72" s="58">
        <f t="shared" si="26"/>
        <v>0</v>
      </c>
      <c r="S72" s="58"/>
      <c r="T72" s="58"/>
      <c r="U72" s="65">
        <f t="shared" si="27"/>
        <v>0</v>
      </c>
    </row>
    <row r="73" spans="1:21" ht="18" hidden="1" customHeight="1">
      <c r="A73" s="49">
        <f>SUBTOTAL(103,$B$9:B73)</f>
        <v>18</v>
      </c>
      <c r="B73" s="62" t="s">
        <v>100</v>
      </c>
      <c r="C73" s="51" t="s">
        <v>56</v>
      </c>
      <c r="D73" s="63"/>
      <c r="E73" s="53">
        <v>0</v>
      </c>
      <c r="F73" s="64"/>
      <c r="G73" s="55">
        <f t="shared" si="20"/>
        <v>0</v>
      </c>
      <c r="H73" s="56"/>
      <c r="I73" s="57"/>
      <c r="J73" s="57"/>
      <c r="K73" s="58">
        <f t="shared" si="21"/>
        <v>0</v>
      </c>
      <c r="L73" s="59">
        <f t="shared" si="22"/>
        <v>0</v>
      </c>
      <c r="M73" s="57"/>
      <c r="N73" s="57"/>
      <c r="O73" s="58">
        <f t="shared" si="23"/>
        <v>0</v>
      </c>
      <c r="P73" s="60">
        <f t="shared" si="24"/>
        <v>0</v>
      </c>
      <c r="Q73" s="58">
        <f t="shared" si="25"/>
        <v>0</v>
      </c>
      <c r="R73" s="58">
        <f t="shared" si="26"/>
        <v>0</v>
      </c>
      <c r="S73" s="58"/>
      <c r="T73" s="58"/>
      <c r="U73" s="65">
        <f t="shared" si="27"/>
        <v>0</v>
      </c>
    </row>
    <row r="74" spans="1:21" ht="18" customHeight="1">
      <c r="A74" s="49">
        <f>SUBTOTAL(103,$B$9:B74)</f>
        <v>19</v>
      </c>
      <c r="B74" s="76" t="s">
        <v>101</v>
      </c>
      <c r="C74" s="51" t="s">
        <v>33</v>
      </c>
      <c r="D74" s="63">
        <v>500</v>
      </c>
      <c r="E74" s="53">
        <v>0</v>
      </c>
      <c r="F74" s="64"/>
      <c r="G74" s="55">
        <f t="shared" si="20"/>
        <v>0</v>
      </c>
      <c r="H74" s="56"/>
      <c r="I74" s="57"/>
      <c r="J74" s="57">
        <f>500</f>
        <v>500</v>
      </c>
      <c r="K74" s="58">
        <f t="shared" si="21"/>
        <v>500</v>
      </c>
      <c r="L74" s="59">
        <f t="shared" si="22"/>
        <v>100</v>
      </c>
      <c r="M74" s="57"/>
      <c r="N74" s="78">
        <v>500</v>
      </c>
      <c r="O74" s="58">
        <f t="shared" si="23"/>
        <v>0</v>
      </c>
      <c r="P74" s="60">
        <f t="shared" si="24"/>
        <v>100</v>
      </c>
      <c r="Q74" s="79">
        <f t="shared" si="25"/>
        <v>0</v>
      </c>
      <c r="R74" s="58">
        <f t="shared" si="26"/>
        <v>0</v>
      </c>
      <c r="S74" s="58"/>
      <c r="T74" s="58"/>
      <c r="U74" s="65">
        <f t="shared" si="27"/>
        <v>0</v>
      </c>
    </row>
    <row r="75" spans="1:21" ht="18" hidden="1" customHeight="1">
      <c r="A75" s="49">
        <f>SUBTOTAL(103,$B$9:B75)</f>
        <v>19</v>
      </c>
      <c r="B75" s="62" t="s">
        <v>102</v>
      </c>
      <c r="C75" s="51" t="s">
        <v>51</v>
      </c>
      <c r="D75" s="63"/>
      <c r="E75" s="53">
        <v>0</v>
      </c>
      <c r="F75" s="64"/>
      <c r="G75" s="55">
        <f t="shared" si="20"/>
        <v>0</v>
      </c>
      <c r="H75" s="56"/>
      <c r="I75" s="57"/>
      <c r="J75" s="57"/>
      <c r="K75" s="58">
        <f t="shared" si="21"/>
        <v>0</v>
      </c>
      <c r="L75" s="59">
        <f t="shared" si="22"/>
        <v>0</v>
      </c>
      <c r="M75" s="57"/>
      <c r="N75" s="57"/>
      <c r="O75" s="58">
        <f t="shared" si="23"/>
        <v>0</v>
      </c>
      <c r="P75" s="60">
        <f t="shared" si="24"/>
        <v>0</v>
      </c>
      <c r="Q75" s="58">
        <f t="shared" si="25"/>
        <v>0</v>
      </c>
      <c r="R75" s="58">
        <f t="shared" si="26"/>
        <v>0</v>
      </c>
      <c r="S75" s="58"/>
      <c r="T75" s="58"/>
      <c r="U75" s="65">
        <f t="shared" si="27"/>
        <v>0</v>
      </c>
    </row>
    <row r="76" spans="1:21" ht="18" hidden="1" customHeight="1">
      <c r="A76" s="49">
        <f>SUBTOTAL(103,$B$9:B76)</f>
        <v>19</v>
      </c>
      <c r="B76" s="62" t="s">
        <v>103</v>
      </c>
      <c r="C76" s="51" t="s">
        <v>51</v>
      </c>
      <c r="D76" s="63"/>
      <c r="E76" s="53">
        <v>0</v>
      </c>
      <c r="F76" s="64"/>
      <c r="G76" s="55">
        <f t="shared" si="20"/>
        <v>0</v>
      </c>
      <c r="H76" s="56"/>
      <c r="I76" s="57"/>
      <c r="J76" s="57"/>
      <c r="K76" s="58">
        <f t="shared" si="21"/>
        <v>0</v>
      </c>
      <c r="L76" s="59">
        <f t="shared" si="22"/>
        <v>0</v>
      </c>
      <c r="M76" s="57"/>
      <c r="N76" s="57"/>
      <c r="O76" s="58">
        <f t="shared" si="23"/>
        <v>0</v>
      </c>
      <c r="P76" s="60">
        <f t="shared" si="24"/>
        <v>0</v>
      </c>
      <c r="Q76" s="58">
        <f t="shared" si="25"/>
        <v>0</v>
      </c>
      <c r="R76" s="58">
        <f t="shared" si="26"/>
        <v>0</v>
      </c>
      <c r="S76" s="58"/>
      <c r="T76" s="58"/>
      <c r="U76" s="65">
        <f t="shared" si="27"/>
        <v>0</v>
      </c>
    </row>
    <row r="77" spans="1:21" ht="18" hidden="1" customHeight="1">
      <c r="A77" s="49">
        <f>SUBTOTAL(103,$B$9:B77)</f>
        <v>19</v>
      </c>
      <c r="B77" s="62" t="s">
        <v>104</v>
      </c>
      <c r="C77" s="51" t="s">
        <v>56</v>
      </c>
      <c r="D77" s="63"/>
      <c r="E77" s="53">
        <v>0</v>
      </c>
      <c r="F77" s="64"/>
      <c r="G77" s="55">
        <f t="shared" si="20"/>
        <v>0</v>
      </c>
      <c r="H77" s="56"/>
      <c r="I77" s="57"/>
      <c r="J77" s="57"/>
      <c r="K77" s="58">
        <f t="shared" si="21"/>
        <v>0</v>
      </c>
      <c r="L77" s="59">
        <f t="shared" si="22"/>
        <v>0</v>
      </c>
      <c r="M77" s="57"/>
      <c r="N77" s="57"/>
      <c r="O77" s="58">
        <f t="shared" si="23"/>
        <v>0</v>
      </c>
      <c r="P77" s="60">
        <f t="shared" si="24"/>
        <v>0</v>
      </c>
      <c r="Q77" s="58">
        <f t="shared" si="25"/>
        <v>0</v>
      </c>
      <c r="R77" s="58">
        <f t="shared" si="26"/>
        <v>0</v>
      </c>
      <c r="S77" s="58"/>
      <c r="T77" s="58"/>
      <c r="U77" s="65">
        <f t="shared" si="27"/>
        <v>0</v>
      </c>
    </row>
    <row r="78" spans="1:21" ht="18" hidden="1" customHeight="1">
      <c r="A78" s="49">
        <f>SUBTOTAL(103,$B$9:B78)</f>
        <v>19</v>
      </c>
      <c r="B78" s="62" t="s">
        <v>105</v>
      </c>
      <c r="C78" s="51" t="s">
        <v>33</v>
      </c>
      <c r="D78" s="63"/>
      <c r="E78" s="53">
        <v>0</v>
      </c>
      <c r="F78" s="64"/>
      <c r="G78" s="55">
        <f t="shared" si="20"/>
        <v>0</v>
      </c>
      <c r="H78" s="56"/>
      <c r="I78" s="57"/>
      <c r="J78" s="57"/>
      <c r="K78" s="58">
        <f t="shared" si="21"/>
        <v>0</v>
      </c>
      <c r="L78" s="59">
        <f t="shared" si="22"/>
        <v>0</v>
      </c>
      <c r="M78" s="57"/>
      <c r="N78" s="57"/>
      <c r="O78" s="58">
        <f t="shared" si="23"/>
        <v>0</v>
      </c>
      <c r="P78" s="60">
        <f t="shared" si="24"/>
        <v>0</v>
      </c>
      <c r="Q78" s="58">
        <f t="shared" si="25"/>
        <v>0</v>
      </c>
      <c r="R78" s="58">
        <f t="shared" si="26"/>
        <v>0</v>
      </c>
      <c r="S78" s="58"/>
      <c r="T78" s="58"/>
      <c r="U78" s="65">
        <f t="shared" si="27"/>
        <v>0</v>
      </c>
    </row>
    <row r="79" spans="1:21" ht="18" customHeight="1">
      <c r="A79" s="49">
        <f>SUBTOTAL(103,$B$9:B79)</f>
        <v>20</v>
      </c>
      <c r="B79" s="62" t="s">
        <v>106</v>
      </c>
      <c r="C79" s="51" t="s">
        <v>33</v>
      </c>
      <c r="D79" s="63">
        <v>20</v>
      </c>
      <c r="E79" s="53">
        <v>0</v>
      </c>
      <c r="F79" s="64"/>
      <c r="G79" s="55">
        <f t="shared" si="20"/>
        <v>0</v>
      </c>
      <c r="H79" s="56"/>
      <c r="I79" s="57"/>
      <c r="J79" s="57">
        <f>20</f>
        <v>20</v>
      </c>
      <c r="K79" s="58">
        <f t="shared" si="21"/>
        <v>20</v>
      </c>
      <c r="L79" s="59">
        <f t="shared" si="22"/>
        <v>100</v>
      </c>
      <c r="M79" s="57"/>
      <c r="N79" s="57">
        <v>20</v>
      </c>
      <c r="O79" s="58">
        <f t="shared" si="23"/>
        <v>0</v>
      </c>
      <c r="P79" s="60">
        <f t="shared" si="24"/>
        <v>100</v>
      </c>
      <c r="Q79" s="58">
        <f t="shared" si="25"/>
        <v>0</v>
      </c>
      <c r="R79" s="58">
        <f t="shared" si="26"/>
        <v>0</v>
      </c>
      <c r="S79" s="58"/>
      <c r="T79" s="58"/>
      <c r="U79" s="65">
        <f t="shared" si="27"/>
        <v>0</v>
      </c>
    </row>
    <row r="80" spans="1:21" ht="18" hidden="1" customHeight="1">
      <c r="A80" s="49">
        <f>SUBTOTAL(103,$B$9:B80)</f>
        <v>20</v>
      </c>
      <c r="B80" s="62" t="s">
        <v>107</v>
      </c>
      <c r="C80" s="51" t="s">
        <v>33</v>
      </c>
      <c r="D80" s="63"/>
      <c r="E80" s="53">
        <v>0</v>
      </c>
      <c r="F80" s="64"/>
      <c r="G80" s="55">
        <f t="shared" si="20"/>
        <v>0</v>
      </c>
      <c r="H80" s="56"/>
      <c r="I80" s="57"/>
      <c r="J80" s="57"/>
      <c r="K80" s="58">
        <f t="shared" si="21"/>
        <v>0</v>
      </c>
      <c r="L80" s="59">
        <f t="shared" si="22"/>
        <v>0</v>
      </c>
      <c r="M80" s="57"/>
      <c r="N80" s="57"/>
      <c r="O80" s="58">
        <f t="shared" si="23"/>
        <v>0</v>
      </c>
      <c r="P80" s="60">
        <f t="shared" si="24"/>
        <v>0</v>
      </c>
      <c r="Q80" s="58">
        <f t="shared" si="25"/>
        <v>0</v>
      </c>
      <c r="R80" s="58">
        <f t="shared" si="26"/>
        <v>0</v>
      </c>
      <c r="S80" s="58"/>
      <c r="T80" s="58"/>
      <c r="U80" s="65">
        <f t="shared" si="27"/>
        <v>0</v>
      </c>
    </row>
    <row r="81" spans="1:21" ht="18" hidden="1" customHeight="1">
      <c r="A81" s="49">
        <f>SUBTOTAL(103,$B$9:B81)</f>
        <v>20</v>
      </c>
      <c r="B81" s="62" t="s">
        <v>108</v>
      </c>
      <c r="C81" s="51" t="s">
        <v>33</v>
      </c>
      <c r="D81" s="63"/>
      <c r="E81" s="53">
        <v>0</v>
      </c>
      <c r="F81" s="64"/>
      <c r="G81" s="55">
        <f t="shared" si="20"/>
        <v>0</v>
      </c>
      <c r="H81" s="56"/>
      <c r="I81" s="57"/>
      <c r="J81" s="57"/>
      <c r="K81" s="58">
        <f t="shared" si="21"/>
        <v>0</v>
      </c>
      <c r="L81" s="59">
        <f t="shared" si="22"/>
        <v>0</v>
      </c>
      <c r="M81" s="57"/>
      <c r="N81" s="57"/>
      <c r="O81" s="58">
        <f t="shared" si="23"/>
        <v>0</v>
      </c>
      <c r="P81" s="60">
        <f t="shared" si="24"/>
        <v>0</v>
      </c>
      <c r="Q81" s="58">
        <f t="shared" si="25"/>
        <v>0</v>
      </c>
      <c r="R81" s="58">
        <f t="shared" si="26"/>
        <v>0</v>
      </c>
      <c r="S81" s="58"/>
      <c r="T81" s="58"/>
      <c r="U81" s="65">
        <f t="shared" si="27"/>
        <v>0</v>
      </c>
    </row>
    <row r="82" spans="1:21" ht="18" hidden="1" customHeight="1">
      <c r="A82" s="49">
        <f>SUBTOTAL(103,$B$9:B82)</f>
        <v>20</v>
      </c>
      <c r="B82" s="62" t="s">
        <v>109</v>
      </c>
      <c r="C82" s="51" t="s">
        <v>33</v>
      </c>
      <c r="D82" s="63"/>
      <c r="E82" s="53">
        <v>0</v>
      </c>
      <c r="F82" s="64"/>
      <c r="G82" s="55">
        <f t="shared" si="20"/>
        <v>0</v>
      </c>
      <c r="H82" s="56"/>
      <c r="I82" s="57"/>
      <c r="J82" s="57"/>
      <c r="K82" s="58">
        <f t="shared" si="21"/>
        <v>0</v>
      </c>
      <c r="L82" s="59">
        <f t="shared" si="22"/>
        <v>0</v>
      </c>
      <c r="M82" s="57"/>
      <c r="N82" s="57"/>
      <c r="O82" s="58">
        <f t="shared" si="23"/>
        <v>0</v>
      </c>
      <c r="P82" s="60">
        <f t="shared" si="24"/>
        <v>0</v>
      </c>
      <c r="Q82" s="58">
        <f t="shared" si="25"/>
        <v>0</v>
      </c>
      <c r="R82" s="58">
        <f t="shared" si="26"/>
        <v>0</v>
      </c>
      <c r="S82" s="58"/>
      <c r="T82" s="58"/>
      <c r="U82" s="65">
        <f t="shared" si="27"/>
        <v>0</v>
      </c>
    </row>
    <row r="83" spans="1:21" s="75" customFormat="1" ht="18" customHeight="1">
      <c r="A83" s="49">
        <f>SUBTOTAL(103,$B$9:B83)</f>
        <v>21</v>
      </c>
      <c r="B83" s="50" t="s">
        <v>110</v>
      </c>
      <c r="C83" s="51" t="s">
        <v>33</v>
      </c>
      <c r="D83" s="83">
        <v>1000</v>
      </c>
      <c r="E83" s="84">
        <v>0</v>
      </c>
      <c r="F83" s="64"/>
      <c r="G83" s="55">
        <f t="shared" si="20"/>
        <v>0</v>
      </c>
      <c r="H83" s="69"/>
      <c r="I83" s="78"/>
      <c r="J83" s="57">
        <f>200+800</f>
        <v>1000</v>
      </c>
      <c r="K83" s="58">
        <f t="shared" si="21"/>
        <v>1000</v>
      </c>
      <c r="L83" s="72">
        <f t="shared" si="22"/>
        <v>100</v>
      </c>
      <c r="M83" s="57"/>
      <c r="N83" s="57">
        <f>200+800</f>
        <v>1000</v>
      </c>
      <c r="O83" s="58">
        <f t="shared" si="23"/>
        <v>0</v>
      </c>
      <c r="P83" s="73">
        <f t="shared" si="24"/>
        <v>100</v>
      </c>
      <c r="Q83" s="58">
        <f t="shared" si="25"/>
        <v>0</v>
      </c>
      <c r="R83" s="71">
        <f t="shared" si="26"/>
        <v>0</v>
      </c>
      <c r="S83" s="71"/>
      <c r="T83" s="71"/>
      <c r="U83" s="61">
        <f t="shared" si="27"/>
        <v>0</v>
      </c>
    </row>
    <row r="84" spans="1:21" s="75" customFormat="1" ht="18" customHeight="1">
      <c r="A84" s="49">
        <f>SUBTOTAL(103,$B$9:B84)</f>
        <v>22</v>
      </c>
      <c r="B84" s="50" t="s">
        <v>111</v>
      </c>
      <c r="C84" s="51" t="s">
        <v>33</v>
      </c>
      <c r="D84" s="83">
        <v>0</v>
      </c>
      <c r="E84" s="84">
        <v>0</v>
      </c>
      <c r="F84" s="64"/>
      <c r="G84" s="55">
        <f t="shared" si="20"/>
        <v>0</v>
      </c>
      <c r="H84" s="69"/>
      <c r="I84" s="78">
        <v>200</v>
      </c>
      <c r="J84" s="57">
        <v>200</v>
      </c>
      <c r="K84" s="58">
        <f t="shared" si="21"/>
        <v>200</v>
      </c>
      <c r="L84" s="72">
        <f t="shared" si="22"/>
        <v>0</v>
      </c>
      <c r="M84" s="57">
        <v>200</v>
      </c>
      <c r="N84" s="57">
        <f>200</f>
        <v>200</v>
      </c>
      <c r="O84" s="58">
        <f t="shared" si="23"/>
        <v>0</v>
      </c>
      <c r="P84" s="73">
        <f t="shared" si="24"/>
        <v>0</v>
      </c>
      <c r="Q84" s="58">
        <f t="shared" si="25"/>
        <v>0</v>
      </c>
      <c r="R84" s="71">
        <f t="shared" si="26"/>
        <v>0</v>
      </c>
      <c r="S84" s="71"/>
      <c r="T84" s="71"/>
      <c r="U84" s="61">
        <f t="shared" si="27"/>
        <v>-200</v>
      </c>
    </row>
    <row r="85" spans="1:21" s="75" customFormat="1" ht="18" hidden="1" customHeight="1">
      <c r="A85" s="49">
        <f>SUBTOTAL(103,$B$9:B85)</f>
        <v>22</v>
      </c>
      <c r="B85" s="50" t="s">
        <v>112</v>
      </c>
      <c r="C85" s="51" t="s">
        <v>56</v>
      </c>
      <c r="D85" s="66"/>
      <c r="E85" s="84">
        <v>0</v>
      </c>
      <c r="F85" s="64"/>
      <c r="G85" s="55">
        <f t="shared" si="20"/>
        <v>0</v>
      </c>
      <c r="H85" s="69"/>
      <c r="I85" s="57"/>
      <c r="J85" s="57"/>
      <c r="K85" s="58">
        <f t="shared" si="21"/>
        <v>0</v>
      </c>
      <c r="L85" s="72">
        <f t="shared" si="22"/>
        <v>0</v>
      </c>
      <c r="M85" s="57"/>
      <c r="N85" s="57"/>
      <c r="O85" s="58">
        <f t="shared" si="23"/>
        <v>0</v>
      </c>
      <c r="P85" s="73">
        <f t="shared" si="24"/>
        <v>0</v>
      </c>
      <c r="Q85" s="58">
        <f t="shared" si="25"/>
        <v>0</v>
      </c>
      <c r="R85" s="71">
        <f t="shared" si="26"/>
        <v>0</v>
      </c>
      <c r="S85" s="71"/>
      <c r="T85" s="71"/>
      <c r="U85" s="61">
        <f t="shared" si="27"/>
        <v>0</v>
      </c>
    </row>
    <row r="86" spans="1:21" s="75" customFormat="1" ht="18" hidden="1" customHeight="1">
      <c r="A86" s="49">
        <f>SUBTOTAL(103,$B$9:B86)</f>
        <v>22</v>
      </c>
      <c r="B86" s="50" t="s">
        <v>113</v>
      </c>
      <c r="C86" s="51" t="s">
        <v>56</v>
      </c>
      <c r="D86" s="66"/>
      <c r="E86" s="84">
        <v>0</v>
      </c>
      <c r="F86" s="64"/>
      <c r="G86" s="55">
        <f t="shared" si="20"/>
        <v>0</v>
      </c>
      <c r="H86" s="69"/>
      <c r="I86" s="57"/>
      <c r="J86" s="57"/>
      <c r="K86" s="58">
        <f t="shared" si="21"/>
        <v>0</v>
      </c>
      <c r="L86" s="72">
        <f t="shared" si="22"/>
        <v>0</v>
      </c>
      <c r="M86" s="57"/>
      <c r="N86" s="57"/>
      <c r="O86" s="58">
        <f t="shared" si="23"/>
        <v>0</v>
      </c>
      <c r="P86" s="73">
        <f t="shared" si="24"/>
        <v>0</v>
      </c>
      <c r="Q86" s="58">
        <f t="shared" si="25"/>
        <v>0</v>
      </c>
      <c r="R86" s="71">
        <f t="shared" si="26"/>
        <v>0</v>
      </c>
      <c r="S86" s="71"/>
      <c r="T86" s="71"/>
      <c r="U86" s="61">
        <f t="shared" si="27"/>
        <v>0</v>
      </c>
    </row>
    <row r="87" spans="1:21" s="75" customFormat="1" ht="18" hidden="1" customHeight="1">
      <c r="A87" s="49">
        <f>SUBTOTAL(103,$B$9:B87)</f>
        <v>22</v>
      </c>
      <c r="B87" s="50" t="s">
        <v>114</v>
      </c>
      <c r="C87" s="51" t="s">
        <v>56</v>
      </c>
      <c r="D87" s="66"/>
      <c r="E87" s="84">
        <v>0</v>
      </c>
      <c r="F87" s="64"/>
      <c r="G87" s="55">
        <f t="shared" si="20"/>
        <v>0</v>
      </c>
      <c r="H87" s="69"/>
      <c r="I87" s="57"/>
      <c r="J87" s="57"/>
      <c r="K87" s="58">
        <f t="shared" si="21"/>
        <v>0</v>
      </c>
      <c r="L87" s="72">
        <f t="shared" si="22"/>
        <v>0</v>
      </c>
      <c r="M87" s="57"/>
      <c r="N87" s="57"/>
      <c r="O87" s="58">
        <f t="shared" si="23"/>
        <v>0</v>
      </c>
      <c r="P87" s="73">
        <f t="shared" si="24"/>
        <v>0</v>
      </c>
      <c r="Q87" s="58">
        <f t="shared" si="25"/>
        <v>0</v>
      </c>
      <c r="R87" s="71">
        <f t="shared" si="26"/>
        <v>0</v>
      </c>
      <c r="S87" s="71"/>
      <c r="T87" s="71"/>
      <c r="U87" s="61">
        <f t="shared" si="27"/>
        <v>0</v>
      </c>
    </row>
    <row r="88" spans="1:21" s="75" customFormat="1" ht="18" hidden="1" customHeight="1">
      <c r="A88" s="49">
        <f>SUBTOTAL(103,$B$9:B88)</f>
        <v>22</v>
      </c>
      <c r="B88" s="50" t="s">
        <v>115</v>
      </c>
      <c r="C88" s="51" t="s">
        <v>56</v>
      </c>
      <c r="D88" s="66"/>
      <c r="E88" s="84">
        <v>0</v>
      </c>
      <c r="F88" s="64"/>
      <c r="G88" s="55">
        <f t="shared" si="20"/>
        <v>0</v>
      </c>
      <c r="H88" s="69"/>
      <c r="I88" s="57"/>
      <c r="J88" s="57"/>
      <c r="K88" s="58">
        <f t="shared" si="21"/>
        <v>0</v>
      </c>
      <c r="L88" s="72">
        <f t="shared" si="22"/>
        <v>0</v>
      </c>
      <c r="M88" s="57"/>
      <c r="N88" s="57"/>
      <c r="O88" s="58">
        <f t="shared" si="23"/>
        <v>0</v>
      </c>
      <c r="P88" s="73">
        <f t="shared" si="24"/>
        <v>0</v>
      </c>
      <c r="Q88" s="58">
        <f t="shared" si="25"/>
        <v>0</v>
      </c>
      <c r="R88" s="71">
        <f t="shared" si="26"/>
        <v>0</v>
      </c>
      <c r="S88" s="71"/>
      <c r="T88" s="71"/>
      <c r="U88" s="61">
        <f t="shared" si="27"/>
        <v>0</v>
      </c>
    </row>
    <row r="89" spans="1:21" s="75" customFormat="1" ht="18" hidden="1" customHeight="1">
      <c r="A89" s="49">
        <f>SUBTOTAL(103,$B$9:B89)</f>
        <v>22</v>
      </c>
      <c r="B89" s="50" t="s">
        <v>116</v>
      </c>
      <c r="C89" s="51" t="s">
        <v>56</v>
      </c>
      <c r="D89" s="66"/>
      <c r="E89" s="84">
        <v>0</v>
      </c>
      <c r="F89" s="64"/>
      <c r="G89" s="55">
        <f t="shared" si="20"/>
        <v>0</v>
      </c>
      <c r="H89" s="69"/>
      <c r="I89" s="57"/>
      <c r="J89" s="57"/>
      <c r="K89" s="58">
        <f t="shared" si="21"/>
        <v>0</v>
      </c>
      <c r="L89" s="72">
        <f t="shared" si="22"/>
        <v>0</v>
      </c>
      <c r="M89" s="57"/>
      <c r="N89" s="57"/>
      <c r="O89" s="58">
        <f t="shared" si="23"/>
        <v>0</v>
      </c>
      <c r="P89" s="73">
        <f t="shared" si="24"/>
        <v>0</v>
      </c>
      <c r="Q89" s="58">
        <f t="shared" si="25"/>
        <v>0</v>
      </c>
      <c r="R89" s="71">
        <f t="shared" si="26"/>
        <v>0</v>
      </c>
      <c r="S89" s="71"/>
      <c r="T89" s="71"/>
      <c r="U89" s="61">
        <f t="shared" si="27"/>
        <v>0</v>
      </c>
    </row>
    <row r="90" spans="1:21" s="75" customFormat="1" ht="18" customHeight="1">
      <c r="A90" s="49">
        <f>SUBTOTAL(103,$B$9:B90)</f>
        <v>23</v>
      </c>
      <c r="B90" s="50" t="s">
        <v>117</v>
      </c>
      <c r="C90" s="51" t="s">
        <v>33</v>
      </c>
      <c r="D90" s="83">
        <v>300</v>
      </c>
      <c r="E90" s="84">
        <v>0</v>
      </c>
      <c r="F90" s="64"/>
      <c r="G90" s="55">
        <f t="shared" si="20"/>
        <v>0</v>
      </c>
      <c r="H90" s="69"/>
      <c r="I90" s="78"/>
      <c r="J90" s="57">
        <f>300</f>
        <v>300</v>
      </c>
      <c r="K90" s="58">
        <f t="shared" si="21"/>
        <v>300</v>
      </c>
      <c r="L90" s="72">
        <f t="shared" si="22"/>
        <v>100</v>
      </c>
      <c r="M90" s="57"/>
      <c r="N90" s="57">
        <f>300</f>
        <v>300</v>
      </c>
      <c r="O90" s="58">
        <f t="shared" si="23"/>
        <v>0</v>
      </c>
      <c r="P90" s="73">
        <f t="shared" si="24"/>
        <v>100</v>
      </c>
      <c r="Q90" s="58">
        <f t="shared" si="25"/>
        <v>0</v>
      </c>
      <c r="R90" s="71">
        <f t="shared" si="26"/>
        <v>0</v>
      </c>
      <c r="S90" s="71"/>
      <c r="T90" s="71"/>
      <c r="U90" s="61">
        <f t="shared" si="27"/>
        <v>0</v>
      </c>
    </row>
    <row r="91" spans="1:21" s="75" customFormat="1" ht="18" hidden="1" customHeight="1">
      <c r="A91" s="49">
        <f>SUBTOTAL(103,$B$9:B91)</f>
        <v>23</v>
      </c>
      <c r="B91" s="50" t="s">
        <v>117</v>
      </c>
      <c r="C91" s="51" t="s">
        <v>33</v>
      </c>
      <c r="D91" s="66"/>
      <c r="E91" s="84">
        <v>0</v>
      </c>
      <c r="F91" s="64"/>
      <c r="G91" s="55">
        <f t="shared" si="20"/>
        <v>0</v>
      </c>
      <c r="H91" s="69"/>
      <c r="I91" s="57"/>
      <c r="J91" s="57"/>
      <c r="K91" s="58">
        <f t="shared" si="21"/>
        <v>0</v>
      </c>
      <c r="L91" s="72">
        <f t="shared" si="22"/>
        <v>0</v>
      </c>
      <c r="M91" s="57"/>
      <c r="N91" s="57"/>
      <c r="O91" s="58">
        <f t="shared" si="23"/>
        <v>0</v>
      </c>
      <c r="P91" s="73">
        <f t="shared" si="24"/>
        <v>0</v>
      </c>
      <c r="Q91" s="58">
        <f t="shared" si="25"/>
        <v>0</v>
      </c>
      <c r="R91" s="71">
        <f t="shared" si="26"/>
        <v>0</v>
      </c>
      <c r="S91" s="71"/>
      <c r="T91" s="71"/>
      <c r="U91" s="61">
        <f t="shared" si="27"/>
        <v>0</v>
      </c>
    </row>
    <row r="92" spans="1:21" s="75" customFormat="1" ht="18" hidden="1" customHeight="1">
      <c r="A92" s="49">
        <f>SUBTOTAL(103,$B$9:B92)</f>
        <v>23</v>
      </c>
      <c r="B92" s="50" t="s">
        <v>118</v>
      </c>
      <c r="C92" s="51" t="s">
        <v>56</v>
      </c>
      <c r="D92" s="66"/>
      <c r="E92" s="84">
        <v>0</v>
      </c>
      <c r="F92" s="64"/>
      <c r="G92" s="55">
        <f>D92*E92</f>
        <v>0</v>
      </c>
      <c r="H92" s="69"/>
      <c r="I92" s="57"/>
      <c r="J92" s="57"/>
      <c r="K92" s="58">
        <f>H92+J92</f>
        <v>0</v>
      </c>
      <c r="L92" s="72">
        <f>IF(D92&gt;0,ROUND((K92/D92)*100,0),0)</f>
        <v>0</v>
      </c>
      <c r="M92" s="57"/>
      <c r="N92" s="57"/>
      <c r="O92" s="58">
        <f>N92*E92</f>
        <v>0</v>
      </c>
      <c r="P92" s="73">
        <f>IF(D92&gt;0,ROUND((N92/D92)*100,0),0)</f>
        <v>0</v>
      </c>
      <c r="Q92" s="58">
        <f>K92-N92</f>
        <v>0</v>
      </c>
      <c r="R92" s="71">
        <f>Q92*E92</f>
        <v>0</v>
      </c>
      <c r="S92" s="71"/>
      <c r="T92" s="71"/>
      <c r="U92" s="61">
        <f>D92-K92</f>
        <v>0</v>
      </c>
    </row>
    <row r="93" spans="1:21" s="75" customFormat="1" ht="18" hidden="1" customHeight="1">
      <c r="A93" s="49">
        <f>SUBTOTAL(103,$B$9:B93)</f>
        <v>23</v>
      </c>
      <c r="B93" s="50" t="s">
        <v>119</v>
      </c>
      <c r="C93" s="51" t="s">
        <v>56</v>
      </c>
      <c r="D93" s="66"/>
      <c r="E93" s="84">
        <v>0</v>
      </c>
      <c r="F93" s="64"/>
      <c r="G93" s="55">
        <f t="shared" si="20"/>
        <v>0</v>
      </c>
      <c r="H93" s="69"/>
      <c r="I93" s="57"/>
      <c r="J93" s="57"/>
      <c r="K93" s="58">
        <f t="shared" si="21"/>
        <v>0</v>
      </c>
      <c r="L93" s="72">
        <f t="shared" si="22"/>
        <v>0</v>
      </c>
      <c r="M93" s="57"/>
      <c r="N93" s="57"/>
      <c r="O93" s="58">
        <f t="shared" si="23"/>
        <v>0</v>
      </c>
      <c r="P93" s="73">
        <f t="shared" si="24"/>
        <v>0</v>
      </c>
      <c r="Q93" s="58">
        <f t="shared" si="25"/>
        <v>0</v>
      </c>
      <c r="R93" s="71">
        <f t="shared" si="26"/>
        <v>0</v>
      </c>
      <c r="S93" s="71"/>
      <c r="T93" s="71"/>
      <c r="U93" s="61">
        <f t="shared" si="27"/>
        <v>0</v>
      </c>
    </row>
    <row r="94" spans="1:21" s="75" customFormat="1" ht="18" hidden="1" customHeight="1">
      <c r="A94" s="49">
        <f>SUBTOTAL(103,$B$9:B94)</f>
        <v>23</v>
      </c>
      <c r="B94" s="50" t="s">
        <v>120</v>
      </c>
      <c r="C94" s="51" t="s">
        <v>56</v>
      </c>
      <c r="D94" s="66"/>
      <c r="E94" s="84">
        <v>0</v>
      </c>
      <c r="F94" s="64"/>
      <c r="G94" s="55">
        <f t="shared" si="20"/>
        <v>0</v>
      </c>
      <c r="H94" s="69"/>
      <c r="I94" s="57"/>
      <c r="J94" s="57"/>
      <c r="K94" s="58">
        <f t="shared" si="21"/>
        <v>0</v>
      </c>
      <c r="L94" s="72">
        <f t="shared" si="22"/>
        <v>0</v>
      </c>
      <c r="M94" s="57"/>
      <c r="N94" s="57"/>
      <c r="O94" s="58">
        <f t="shared" si="23"/>
        <v>0</v>
      </c>
      <c r="P94" s="73">
        <f t="shared" si="24"/>
        <v>0</v>
      </c>
      <c r="Q94" s="58">
        <f t="shared" si="25"/>
        <v>0</v>
      </c>
      <c r="R94" s="71">
        <f t="shared" si="26"/>
        <v>0</v>
      </c>
      <c r="S94" s="71"/>
      <c r="T94" s="71"/>
      <c r="U94" s="61">
        <f t="shared" si="27"/>
        <v>0</v>
      </c>
    </row>
    <row r="95" spans="1:21" s="75" customFormat="1" ht="18" hidden="1" customHeight="1">
      <c r="A95" s="49">
        <f>SUBTOTAL(103,$B$9:B95)</f>
        <v>23</v>
      </c>
      <c r="B95" s="50" t="s">
        <v>121</v>
      </c>
      <c r="C95" s="51" t="s">
        <v>56</v>
      </c>
      <c r="D95" s="66"/>
      <c r="E95" s="84">
        <v>0</v>
      </c>
      <c r="F95" s="64"/>
      <c r="G95" s="55">
        <f t="shared" si="20"/>
        <v>0</v>
      </c>
      <c r="H95" s="69"/>
      <c r="I95" s="57"/>
      <c r="J95" s="57"/>
      <c r="K95" s="58">
        <f t="shared" si="21"/>
        <v>0</v>
      </c>
      <c r="L95" s="72">
        <f t="shared" si="22"/>
        <v>0</v>
      </c>
      <c r="M95" s="57"/>
      <c r="N95" s="57"/>
      <c r="O95" s="58">
        <f t="shared" si="23"/>
        <v>0</v>
      </c>
      <c r="P95" s="73">
        <f t="shared" si="24"/>
        <v>0</v>
      </c>
      <c r="Q95" s="58">
        <f t="shared" si="25"/>
        <v>0</v>
      </c>
      <c r="R95" s="71">
        <f t="shared" si="26"/>
        <v>0</v>
      </c>
      <c r="S95" s="71"/>
      <c r="T95" s="71"/>
      <c r="U95" s="61">
        <f t="shared" si="27"/>
        <v>0</v>
      </c>
    </row>
    <row r="96" spans="1:21" s="75" customFormat="1" ht="18" hidden="1" customHeight="1">
      <c r="A96" s="49">
        <f>SUBTOTAL(103,$B$9:B96)</f>
        <v>23</v>
      </c>
      <c r="B96" s="50" t="s">
        <v>122</v>
      </c>
      <c r="C96" s="51" t="s">
        <v>56</v>
      </c>
      <c r="D96" s="66"/>
      <c r="E96" s="84">
        <v>0</v>
      </c>
      <c r="F96" s="64"/>
      <c r="G96" s="55">
        <f t="shared" si="20"/>
        <v>0</v>
      </c>
      <c r="H96" s="69"/>
      <c r="I96" s="57"/>
      <c r="J96" s="57"/>
      <c r="K96" s="58">
        <f t="shared" si="21"/>
        <v>0</v>
      </c>
      <c r="L96" s="72">
        <f t="shared" si="22"/>
        <v>0</v>
      </c>
      <c r="M96" s="57"/>
      <c r="N96" s="57"/>
      <c r="O96" s="58">
        <f t="shared" si="23"/>
        <v>0</v>
      </c>
      <c r="P96" s="73">
        <f t="shared" si="24"/>
        <v>0</v>
      </c>
      <c r="Q96" s="58">
        <f t="shared" si="25"/>
        <v>0</v>
      </c>
      <c r="R96" s="71">
        <f t="shared" si="26"/>
        <v>0</v>
      </c>
      <c r="S96" s="71"/>
      <c r="T96" s="71"/>
      <c r="U96" s="61">
        <f t="shared" si="27"/>
        <v>0</v>
      </c>
    </row>
    <row r="97" spans="1:21" s="75" customFormat="1" ht="18" hidden="1" customHeight="1">
      <c r="A97" s="49">
        <f>SUBTOTAL(103,$B$9:B97)</f>
        <v>23</v>
      </c>
      <c r="B97" s="50" t="s">
        <v>123</v>
      </c>
      <c r="C97" s="51" t="s">
        <v>56</v>
      </c>
      <c r="D97" s="66"/>
      <c r="E97" s="84">
        <v>0</v>
      </c>
      <c r="F97" s="64"/>
      <c r="G97" s="55">
        <f t="shared" si="20"/>
        <v>0</v>
      </c>
      <c r="H97" s="69"/>
      <c r="I97" s="57"/>
      <c r="J97" s="57"/>
      <c r="K97" s="58">
        <f t="shared" si="21"/>
        <v>0</v>
      </c>
      <c r="L97" s="72">
        <f t="shared" si="22"/>
        <v>0</v>
      </c>
      <c r="M97" s="57"/>
      <c r="N97" s="57"/>
      <c r="O97" s="58">
        <f t="shared" si="23"/>
        <v>0</v>
      </c>
      <c r="P97" s="73">
        <f t="shared" si="24"/>
        <v>0</v>
      </c>
      <c r="Q97" s="58">
        <f t="shared" si="25"/>
        <v>0</v>
      </c>
      <c r="R97" s="71">
        <f t="shared" si="26"/>
        <v>0</v>
      </c>
      <c r="S97" s="71"/>
      <c r="T97" s="71"/>
      <c r="U97" s="61">
        <f t="shared" si="27"/>
        <v>0</v>
      </c>
    </row>
    <row r="98" spans="1:21" s="75" customFormat="1" ht="18" hidden="1" customHeight="1">
      <c r="A98" s="49">
        <f>SUBTOTAL(103,$B$9:B98)</f>
        <v>23</v>
      </c>
      <c r="B98" s="50" t="s">
        <v>124</v>
      </c>
      <c r="C98" s="51" t="s">
        <v>56</v>
      </c>
      <c r="D98" s="66"/>
      <c r="E98" s="84">
        <v>0</v>
      </c>
      <c r="F98" s="64"/>
      <c r="G98" s="55">
        <f t="shared" si="20"/>
        <v>0</v>
      </c>
      <c r="H98" s="69"/>
      <c r="I98" s="57"/>
      <c r="J98" s="57"/>
      <c r="K98" s="58">
        <f t="shared" si="21"/>
        <v>0</v>
      </c>
      <c r="L98" s="72">
        <f t="shared" si="22"/>
        <v>0</v>
      </c>
      <c r="M98" s="57"/>
      <c r="N98" s="57"/>
      <c r="O98" s="58">
        <f t="shared" si="23"/>
        <v>0</v>
      </c>
      <c r="P98" s="73">
        <f t="shared" si="24"/>
        <v>0</v>
      </c>
      <c r="Q98" s="58">
        <f t="shared" si="25"/>
        <v>0</v>
      </c>
      <c r="R98" s="71">
        <f t="shared" si="26"/>
        <v>0</v>
      </c>
      <c r="S98" s="71"/>
      <c r="T98" s="71"/>
      <c r="U98" s="61">
        <f t="shared" si="27"/>
        <v>0</v>
      </c>
    </row>
    <row r="99" spans="1:21" ht="18" hidden="1" customHeight="1">
      <c r="A99" s="49">
        <f>SUBTOTAL(103,$B$9:B99)</f>
        <v>23</v>
      </c>
      <c r="B99" s="62" t="s">
        <v>125</v>
      </c>
      <c r="C99" s="51" t="s">
        <v>51</v>
      </c>
      <c r="D99" s="63"/>
      <c r="E99" s="53">
        <v>0</v>
      </c>
      <c r="F99" s="64"/>
      <c r="G99" s="55">
        <f t="shared" si="20"/>
        <v>0</v>
      </c>
      <c r="H99" s="56"/>
      <c r="I99" s="57"/>
      <c r="J99" s="57"/>
      <c r="K99" s="58">
        <f t="shared" si="21"/>
        <v>0</v>
      </c>
      <c r="L99" s="59">
        <f t="shared" si="22"/>
        <v>0</v>
      </c>
      <c r="M99" s="57"/>
      <c r="N99" s="57"/>
      <c r="O99" s="58">
        <f t="shared" si="23"/>
        <v>0</v>
      </c>
      <c r="P99" s="60">
        <f t="shared" si="24"/>
        <v>0</v>
      </c>
      <c r="Q99" s="58">
        <f t="shared" si="25"/>
        <v>0</v>
      </c>
      <c r="R99" s="58">
        <f t="shared" si="26"/>
        <v>0</v>
      </c>
      <c r="S99" s="58"/>
      <c r="T99" s="58"/>
      <c r="U99" s="61">
        <f t="shared" si="27"/>
        <v>0</v>
      </c>
    </row>
    <row r="100" spans="1:21" ht="18" hidden="1" customHeight="1">
      <c r="A100" s="49">
        <f>SUBTOTAL(103,$B$9:B100)</f>
        <v>23</v>
      </c>
      <c r="B100" s="62" t="s">
        <v>126</v>
      </c>
      <c r="C100" s="51" t="s">
        <v>33</v>
      </c>
      <c r="D100" s="63"/>
      <c r="E100" s="53">
        <v>0</v>
      </c>
      <c r="F100" s="64"/>
      <c r="G100" s="55">
        <f t="shared" si="20"/>
        <v>0</v>
      </c>
      <c r="H100" s="56"/>
      <c r="I100" s="57"/>
      <c r="J100" s="57"/>
      <c r="K100" s="58">
        <f t="shared" si="21"/>
        <v>0</v>
      </c>
      <c r="L100" s="59">
        <f t="shared" si="22"/>
        <v>0</v>
      </c>
      <c r="M100" s="57"/>
      <c r="N100" s="57"/>
      <c r="O100" s="58">
        <f t="shared" si="23"/>
        <v>0</v>
      </c>
      <c r="P100" s="60">
        <f t="shared" si="24"/>
        <v>0</v>
      </c>
      <c r="Q100" s="58">
        <f t="shared" si="25"/>
        <v>0</v>
      </c>
      <c r="R100" s="58">
        <v>0</v>
      </c>
      <c r="S100" s="58"/>
      <c r="T100" s="58"/>
      <c r="U100" s="61">
        <f t="shared" si="27"/>
        <v>0</v>
      </c>
    </row>
    <row r="101" spans="1:21" ht="18" customHeight="1">
      <c r="A101" s="49">
        <f>SUBTOTAL(103,$B$9:B101)</f>
        <v>24</v>
      </c>
      <c r="B101" s="50" t="s">
        <v>127</v>
      </c>
      <c r="C101" s="51" t="s">
        <v>51</v>
      </c>
      <c r="D101" s="63">
        <v>300</v>
      </c>
      <c r="E101" s="53">
        <v>0</v>
      </c>
      <c r="F101" s="64"/>
      <c r="G101" s="55">
        <f t="shared" si="20"/>
        <v>0</v>
      </c>
      <c r="H101" s="56"/>
      <c r="I101" s="57"/>
      <c r="J101" s="57">
        <v>300</v>
      </c>
      <c r="K101" s="58">
        <f t="shared" si="21"/>
        <v>300</v>
      </c>
      <c r="L101" s="59">
        <f t="shared" si="22"/>
        <v>100</v>
      </c>
      <c r="M101" s="57"/>
      <c r="N101" s="57">
        <f>300</f>
        <v>300</v>
      </c>
      <c r="O101" s="58">
        <f t="shared" si="23"/>
        <v>0</v>
      </c>
      <c r="P101" s="60">
        <f t="shared" si="24"/>
        <v>100</v>
      </c>
      <c r="Q101" s="58">
        <f t="shared" si="25"/>
        <v>0</v>
      </c>
      <c r="R101" s="58">
        <f t="shared" ref="R101:R168" si="28">Q101*E101</f>
        <v>0</v>
      </c>
      <c r="S101" s="58"/>
      <c r="T101" s="58"/>
      <c r="U101" s="61">
        <f t="shared" si="27"/>
        <v>0</v>
      </c>
    </row>
    <row r="102" spans="1:21" ht="18" hidden="1" customHeight="1">
      <c r="A102" s="49">
        <f>SUBTOTAL(103,$B$9:B102)</f>
        <v>24</v>
      </c>
      <c r="B102" s="62" t="s">
        <v>128</v>
      </c>
      <c r="C102" s="51" t="s">
        <v>37</v>
      </c>
      <c r="D102" s="63"/>
      <c r="E102" s="53">
        <v>0</v>
      </c>
      <c r="F102" s="64"/>
      <c r="G102" s="55">
        <f t="shared" si="20"/>
        <v>0</v>
      </c>
      <c r="H102" s="56"/>
      <c r="I102" s="57"/>
      <c r="J102" s="57"/>
      <c r="K102" s="58">
        <f t="shared" si="21"/>
        <v>0</v>
      </c>
      <c r="L102" s="59">
        <f t="shared" si="22"/>
        <v>0</v>
      </c>
      <c r="M102" s="57"/>
      <c r="N102" s="57"/>
      <c r="O102" s="58">
        <f t="shared" si="23"/>
        <v>0</v>
      </c>
      <c r="P102" s="60">
        <f t="shared" si="24"/>
        <v>0</v>
      </c>
      <c r="Q102" s="58">
        <f t="shared" si="25"/>
        <v>0</v>
      </c>
      <c r="R102" s="58">
        <f t="shared" si="28"/>
        <v>0</v>
      </c>
      <c r="S102" s="58"/>
      <c r="T102" s="58"/>
      <c r="U102" s="61">
        <f t="shared" si="27"/>
        <v>0</v>
      </c>
    </row>
    <row r="103" spans="1:21" s="75" customFormat="1" ht="18" hidden="1" customHeight="1">
      <c r="A103" s="49">
        <f>SUBTOTAL(103,$B$9:B103)</f>
        <v>24</v>
      </c>
      <c r="B103" s="50" t="s">
        <v>129</v>
      </c>
      <c r="C103" s="51" t="s">
        <v>37</v>
      </c>
      <c r="D103" s="66"/>
      <c r="E103" s="53">
        <v>0</v>
      </c>
      <c r="F103" s="64"/>
      <c r="G103" s="68">
        <f t="shared" si="20"/>
        <v>0</v>
      </c>
      <c r="H103" s="69"/>
      <c r="I103" s="70"/>
      <c r="J103" s="70"/>
      <c r="K103" s="58">
        <f t="shared" si="21"/>
        <v>0</v>
      </c>
      <c r="L103" s="59">
        <f t="shared" si="22"/>
        <v>0</v>
      </c>
      <c r="M103" s="70"/>
      <c r="N103" s="70"/>
      <c r="O103" s="71">
        <f t="shared" si="23"/>
        <v>0</v>
      </c>
      <c r="P103" s="73">
        <f t="shared" si="24"/>
        <v>0</v>
      </c>
      <c r="Q103" s="58">
        <f t="shared" si="25"/>
        <v>0</v>
      </c>
      <c r="R103" s="71">
        <f t="shared" si="28"/>
        <v>0</v>
      </c>
      <c r="S103" s="71"/>
      <c r="T103" s="71"/>
      <c r="U103" s="61">
        <f t="shared" si="27"/>
        <v>0</v>
      </c>
    </row>
    <row r="104" spans="1:21" ht="18" hidden="1" customHeight="1">
      <c r="A104" s="49">
        <f>SUBTOTAL(103,$B$9:B104)</f>
        <v>24</v>
      </c>
      <c r="B104" s="85" t="s">
        <v>130</v>
      </c>
      <c r="C104" s="86" t="s">
        <v>131</v>
      </c>
      <c r="D104" s="63"/>
      <c r="E104" s="53">
        <v>0</v>
      </c>
      <c r="F104" s="64"/>
      <c r="G104" s="55">
        <f t="shared" si="20"/>
        <v>0</v>
      </c>
      <c r="H104" s="56"/>
      <c r="I104" s="57"/>
      <c r="J104" s="57"/>
      <c r="K104" s="58">
        <f t="shared" si="21"/>
        <v>0</v>
      </c>
      <c r="L104" s="59">
        <f t="shared" si="22"/>
        <v>0</v>
      </c>
      <c r="M104" s="57"/>
      <c r="N104" s="57"/>
      <c r="O104" s="58">
        <f t="shared" si="23"/>
        <v>0</v>
      </c>
      <c r="P104" s="60">
        <f t="shared" si="24"/>
        <v>0</v>
      </c>
      <c r="Q104" s="58">
        <f t="shared" si="25"/>
        <v>0</v>
      </c>
      <c r="R104" s="58">
        <f t="shared" si="28"/>
        <v>0</v>
      </c>
      <c r="S104" s="58"/>
      <c r="T104" s="58"/>
      <c r="U104" s="61">
        <f t="shared" si="27"/>
        <v>0</v>
      </c>
    </row>
    <row r="105" spans="1:21" ht="18" hidden="1" customHeight="1">
      <c r="A105" s="49">
        <f>SUBTOTAL(103,$B$9:B105)</f>
        <v>24</v>
      </c>
      <c r="B105" s="87" t="s">
        <v>132</v>
      </c>
      <c r="C105" s="86" t="s">
        <v>131</v>
      </c>
      <c r="D105" s="63"/>
      <c r="E105" s="53">
        <v>0</v>
      </c>
      <c r="F105" s="64"/>
      <c r="G105" s="55">
        <f t="shared" si="20"/>
        <v>0</v>
      </c>
      <c r="H105" s="56"/>
      <c r="I105" s="57"/>
      <c r="J105" s="57"/>
      <c r="K105" s="58">
        <f t="shared" si="21"/>
        <v>0</v>
      </c>
      <c r="L105" s="59">
        <f t="shared" si="22"/>
        <v>0</v>
      </c>
      <c r="M105" s="57"/>
      <c r="N105" s="57"/>
      <c r="O105" s="58">
        <f t="shared" si="23"/>
        <v>0</v>
      </c>
      <c r="P105" s="60">
        <f t="shared" si="24"/>
        <v>0</v>
      </c>
      <c r="Q105" s="58">
        <f t="shared" si="25"/>
        <v>0</v>
      </c>
      <c r="R105" s="58">
        <f t="shared" si="28"/>
        <v>0</v>
      </c>
      <c r="S105" s="58"/>
      <c r="T105" s="58"/>
      <c r="U105" s="61">
        <f t="shared" si="27"/>
        <v>0</v>
      </c>
    </row>
    <row r="106" spans="1:21" ht="18" hidden="1" customHeight="1">
      <c r="A106" s="49">
        <f>SUBTOTAL(103,$B$9:B106)</f>
        <v>24</v>
      </c>
      <c r="B106" s="87" t="s">
        <v>133</v>
      </c>
      <c r="C106" s="86" t="s">
        <v>131</v>
      </c>
      <c r="D106" s="63"/>
      <c r="E106" s="53">
        <v>0</v>
      </c>
      <c r="F106" s="64"/>
      <c r="G106" s="55">
        <f t="shared" si="20"/>
        <v>0</v>
      </c>
      <c r="H106" s="56"/>
      <c r="I106" s="57"/>
      <c r="J106" s="57"/>
      <c r="K106" s="58">
        <f t="shared" si="21"/>
        <v>0</v>
      </c>
      <c r="L106" s="59">
        <f t="shared" si="22"/>
        <v>0</v>
      </c>
      <c r="M106" s="57"/>
      <c r="N106" s="57"/>
      <c r="O106" s="58">
        <f t="shared" si="23"/>
        <v>0</v>
      </c>
      <c r="P106" s="60">
        <f t="shared" si="24"/>
        <v>0</v>
      </c>
      <c r="Q106" s="58">
        <f t="shared" si="25"/>
        <v>0</v>
      </c>
      <c r="R106" s="58">
        <f t="shared" si="28"/>
        <v>0</v>
      </c>
      <c r="S106" s="58"/>
      <c r="T106" s="58"/>
      <c r="U106" s="61">
        <f t="shared" si="27"/>
        <v>0</v>
      </c>
    </row>
    <row r="107" spans="1:21" ht="18" hidden="1" customHeight="1">
      <c r="A107" s="49">
        <f>SUBTOTAL(103,$B$9:B107)</f>
        <v>24</v>
      </c>
      <c r="B107" s="87" t="s">
        <v>134</v>
      </c>
      <c r="C107" s="86" t="s">
        <v>131</v>
      </c>
      <c r="D107" s="63"/>
      <c r="E107" s="53">
        <v>0</v>
      </c>
      <c r="F107" s="64"/>
      <c r="G107" s="55">
        <f t="shared" si="20"/>
        <v>0</v>
      </c>
      <c r="H107" s="56"/>
      <c r="I107" s="57"/>
      <c r="J107" s="57"/>
      <c r="K107" s="58">
        <f t="shared" si="21"/>
        <v>0</v>
      </c>
      <c r="L107" s="59">
        <f t="shared" si="22"/>
        <v>0</v>
      </c>
      <c r="M107" s="57"/>
      <c r="N107" s="57"/>
      <c r="O107" s="58">
        <f t="shared" si="23"/>
        <v>0</v>
      </c>
      <c r="P107" s="60">
        <f t="shared" si="24"/>
        <v>0</v>
      </c>
      <c r="Q107" s="58">
        <f t="shared" si="25"/>
        <v>0</v>
      </c>
      <c r="R107" s="58">
        <f t="shared" si="28"/>
        <v>0</v>
      </c>
      <c r="S107" s="58"/>
      <c r="T107" s="58"/>
      <c r="U107" s="61">
        <f t="shared" si="27"/>
        <v>0</v>
      </c>
    </row>
    <row r="108" spans="1:21" ht="18" hidden="1" customHeight="1">
      <c r="A108" s="49">
        <f>SUBTOTAL(103,$B$9:B108)</f>
        <v>24</v>
      </c>
      <c r="B108" s="50" t="s">
        <v>135</v>
      </c>
      <c r="C108" s="86" t="s">
        <v>131</v>
      </c>
      <c r="D108" s="63"/>
      <c r="E108" s="53">
        <v>0</v>
      </c>
      <c r="F108" s="64"/>
      <c r="G108" s="55">
        <f t="shared" si="20"/>
        <v>0</v>
      </c>
      <c r="H108" s="56"/>
      <c r="I108" s="57"/>
      <c r="J108" s="57"/>
      <c r="K108" s="58">
        <f t="shared" si="21"/>
        <v>0</v>
      </c>
      <c r="L108" s="59">
        <f t="shared" si="22"/>
        <v>0</v>
      </c>
      <c r="M108" s="57"/>
      <c r="N108" s="57"/>
      <c r="O108" s="58">
        <f t="shared" si="23"/>
        <v>0</v>
      </c>
      <c r="P108" s="60">
        <f t="shared" si="24"/>
        <v>0</v>
      </c>
      <c r="Q108" s="58">
        <f t="shared" si="25"/>
        <v>0</v>
      </c>
      <c r="R108" s="58">
        <f t="shared" si="28"/>
        <v>0</v>
      </c>
      <c r="S108" s="58"/>
      <c r="T108" s="58"/>
      <c r="U108" s="61">
        <f t="shared" si="27"/>
        <v>0</v>
      </c>
    </row>
    <row r="109" spans="1:21" ht="18" hidden="1" customHeight="1">
      <c r="A109" s="49">
        <f>SUBTOTAL(103,$B$9:B109)</f>
        <v>24</v>
      </c>
      <c r="B109" s="50" t="s">
        <v>136</v>
      </c>
      <c r="C109" s="86" t="s">
        <v>131</v>
      </c>
      <c r="D109" s="63"/>
      <c r="E109" s="53">
        <v>0</v>
      </c>
      <c r="F109" s="64"/>
      <c r="G109" s="55">
        <f t="shared" si="20"/>
        <v>0</v>
      </c>
      <c r="H109" s="56"/>
      <c r="I109" s="57"/>
      <c r="J109" s="57"/>
      <c r="K109" s="58">
        <f t="shared" si="21"/>
        <v>0</v>
      </c>
      <c r="L109" s="59">
        <f t="shared" si="22"/>
        <v>0</v>
      </c>
      <c r="M109" s="57"/>
      <c r="N109" s="57"/>
      <c r="O109" s="58">
        <f t="shared" si="23"/>
        <v>0</v>
      </c>
      <c r="P109" s="60">
        <f t="shared" si="24"/>
        <v>0</v>
      </c>
      <c r="Q109" s="58">
        <f t="shared" si="25"/>
        <v>0</v>
      </c>
      <c r="R109" s="58">
        <f t="shared" si="28"/>
        <v>0</v>
      </c>
      <c r="S109" s="58"/>
      <c r="T109" s="58"/>
      <c r="U109" s="61">
        <f t="shared" si="27"/>
        <v>0</v>
      </c>
    </row>
    <row r="110" spans="1:21" ht="18" customHeight="1">
      <c r="A110" s="49">
        <f>SUBTOTAL(103,$B$9:B110)</f>
        <v>25</v>
      </c>
      <c r="B110" s="88" t="s">
        <v>137</v>
      </c>
      <c r="C110" s="51" t="s">
        <v>56</v>
      </c>
      <c r="D110" s="77">
        <v>2500</v>
      </c>
      <c r="E110" s="53">
        <v>0</v>
      </c>
      <c r="F110" s="64"/>
      <c r="G110" s="55">
        <f t="shared" si="20"/>
        <v>0</v>
      </c>
      <c r="H110" s="56"/>
      <c r="I110" s="78"/>
      <c r="J110" s="57">
        <f>184+368+736+644+92+92+384</f>
        <v>2500</v>
      </c>
      <c r="K110" s="58">
        <f t="shared" si="21"/>
        <v>2500</v>
      </c>
      <c r="L110" s="59">
        <f t="shared" si="22"/>
        <v>100</v>
      </c>
      <c r="M110" s="57"/>
      <c r="N110" s="78">
        <f>184+368+736+644+92+92+384</f>
        <v>2500</v>
      </c>
      <c r="O110" s="58">
        <f t="shared" si="23"/>
        <v>0</v>
      </c>
      <c r="P110" s="60">
        <f t="shared" si="24"/>
        <v>100</v>
      </c>
      <c r="Q110" s="79">
        <f t="shared" si="25"/>
        <v>0</v>
      </c>
      <c r="R110" s="58">
        <f t="shared" si="28"/>
        <v>0</v>
      </c>
      <c r="S110" s="58"/>
      <c r="T110" s="58"/>
      <c r="U110" s="61">
        <f t="shared" si="27"/>
        <v>0</v>
      </c>
    </row>
    <row r="111" spans="1:21" ht="18" customHeight="1">
      <c r="A111" s="49">
        <f>SUBTOTAL(103,$B$9:B111)</f>
        <v>26</v>
      </c>
      <c r="B111" s="88" t="s">
        <v>138</v>
      </c>
      <c r="C111" s="51" t="s">
        <v>56</v>
      </c>
      <c r="D111" s="77">
        <v>8</v>
      </c>
      <c r="E111" s="53">
        <v>0</v>
      </c>
      <c r="F111" s="64"/>
      <c r="G111" s="55">
        <f t="shared" si="20"/>
        <v>0</v>
      </c>
      <c r="H111" s="56"/>
      <c r="I111" s="78"/>
      <c r="J111" s="57">
        <f>8</f>
        <v>8</v>
      </c>
      <c r="K111" s="58">
        <f t="shared" si="21"/>
        <v>8</v>
      </c>
      <c r="L111" s="59">
        <f t="shared" si="22"/>
        <v>100</v>
      </c>
      <c r="M111" s="57"/>
      <c r="N111" s="78">
        <v>8</v>
      </c>
      <c r="O111" s="58">
        <f t="shared" si="23"/>
        <v>0</v>
      </c>
      <c r="P111" s="60">
        <f t="shared" si="24"/>
        <v>100</v>
      </c>
      <c r="Q111" s="79">
        <f t="shared" si="25"/>
        <v>0</v>
      </c>
      <c r="R111" s="58">
        <f t="shared" si="28"/>
        <v>0</v>
      </c>
      <c r="S111" s="58"/>
      <c r="T111" s="58"/>
      <c r="U111" s="61">
        <f t="shared" si="27"/>
        <v>0</v>
      </c>
    </row>
    <row r="112" spans="1:21" ht="18" hidden="1" customHeight="1">
      <c r="A112" s="49">
        <f>SUBTOTAL(103,$B$9:B112)</f>
        <v>26</v>
      </c>
      <c r="B112" s="50" t="s">
        <v>139</v>
      </c>
      <c r="C112" s="51" t="s">
        <v>56</v>
      </c>
      <c r="D112" s="63"/>
      <c r="E112" s="53">
        <v>0</v>
      </c>
      <c r="F112" s="64"/>
      <c r="G112" s="55">
        <f t="shared" si="20"/>
        <v>0</v>
      </c>
      <c r="H112" s="56"/>
      <c r="I112" s="57"/>
      <c r="J112" s="57"/>
      <c r="K112" s="58">
        <f t="shared" si="21"/>
        <v>0</v>
      </c>
      <c r="L112" s="59">
        <f t="shared" si="22"/>
        <v>0</v>
      </c>
      <c r="M112" s="57"/>
      <c r="N112" s="57"/>
      <c r="O112" s="58">
        <f t="shared" si="23"/>
        <v>0</v>
      </c>
      <c r="P112" s="60">
        <f t="shared" si="24"/>
        <v>0</v>
      </c>
      <c r="Q112" s="58">
        <f t="shared" si="25"/>
        <v>0</v>
      </c>
      <c r="R112" s="58">
        <f t="shared" si="28"/>
        <v>0</v>
      </c>
      <c r="S112" s="58"/>
      <c r="T112" s="58"/>
      <c r="U112" s="61">
        <f t="shared" si="27"/>
        <v>0</v>
      </c>
    </row>
    <row r="113" spans="1:21" ht="18" customHeight="1">
      <c r="A113" s="49">
        <f>SUBTOTAL(103,$B$9:B113)</f>
        <v>27</v>
      </c>
      <c r="B113" s="50" t="s">
        <v>140</v>
      </c>
      <c r="C113" s="51" t="s">
        <v>56</v>
      </c>
      <c r="D113" s="77">
        <v>500</v>
      </c>
      <c r="E113" s="53">
        <v>0</v>
      </c>
      <c r="F113" s="64"/>
      <c r="G113" s="55">
        <f t="shared" si="20"/>
        <v>0</v>
      </c>
      <c r="H113" s="56"/>
      <c r="I113" s="78"/>
      <c r="J113" s="57">
        <f>84+252+164</f>
        <v>500</v>
      </c>
      <c r="K113" s="58">
        <f t="shared" si="21"/>
        <v>500</v>
      </c>
      <c r="L113" s="59">
        <f t="shared" si="22"/>
        <v>100</v>
      </c>
      <c r="M113" s="57"/>
      <c r="N113" s="57">
        <f>84+252+164</f>
        <v>500</v>
      </c>
      <c r="O113" s="58">
        <f t="shared" si="23"/>
        <v>0</v>
      </c>
      <c r="P113" s="60">
        <f t="shared" si="24"/>
        <v>100</v>
      </c>
      <c r="Q113" s="58">
        <f t="shared" si="25"/>
        <v>0</v>
      </c>
      <c r="R113" s="58">
        <f t="shared" si="28"/>
        <v>0</v>
      </c>
      <c r="S113" s="58"/>
      <c r="T113" s="58"/>
      <c r="U113" s="61">
        <f t="shared" si="27"/>
        <v>0</v>
      </c>
    </row>
    <row r="114" spans="1:21" ht="18" hidden="1" customHeight="1">
      <c r="A114" s="49">
        <f>SUBTOTAL(103,$B$9:B114)</f>
        <v>27</v>
      </c>
      <c r="B114" s="50" t="s">
        <v>141</v>
      </c>
      <c r="C114" s="51" t="s">
        <v>56</v>
      </c>
      <c r="D114" s="63"/>
      <c r="E114" s="53">
        <v>0</v>
      </c>
      <c r="F114" s="64"/>
      <c r="G114" s="55">
        <f t="shared" si="20"/>
        <v>0</v>
      </c>
      <c r="H114" s="56"/>
      <c r="I114" s="57"/>
      <c r="J114" s="57"/>
      <c r="K114" s="58">
        <f t="shared" si="21"/>
        <v>0</v>
      </c>
      <c r="L114" s="59">
        <f t="shared" si="22"/>
        <v>0</v>
      </c>
      <c r="M114" s="57"/>
      <c r="N114" s="57"/>
      <c r="O114" s="58">
        <f t="shared" si="23"/>
        <v>0</v>
      </c>
      <c r="P114" s="60">
        <f t="shared" si="24"/>
        <v>0</v>
      </c>
      <c r="Q114" s="58">
        <f t="shared" si="25"/>
        <v>0</v>
      </c>
      <c r="R114" s="58">
        <f t="shared" si="28"/>
        <v>0</v>
      </c>
      <c r="S114" s="58"/>
      <c r="T114" s="58"/>
      <c r="U114" s="61">
        <f t="shared" si="27"/>
        <v>0</v>
      </c>
    </row>
    <row r="115" spans="1:21" ht="18" hidden="1" customHeight="1">
      <c r="A115" s="49">
        <f>SUBTOTAL(103,$B$9:B115)</f>
        <v>27</v>
      </c>
      <c r="B115" s="50" t="s">
        <v>142</v>
      </c>
      <c r="C115" s="51" t="s">
        <v>56</v>
      </c>
      <c r="D115" s="63"/>
      <c r="E115" s="53">
        <v>0</v>
      </c>
      <c r="F115" s="64"/>
      <c r="G115" s="55">
        <f t="shared" si="20"/>
        <v>0</v>
      </c>
      <c r="H115" s="56"/>
      <c r="I115" s="57"/>
      <c r="J115" s="57"/>
      <c r="K115" s="58">
        <f t="shared" si="21"/>
        <v>0</v>
      </c>
      <c r="L115" s="59">
        <f t="shared" si="22"/>
        <v>0</v>
      </c>
      <c r="M115" s="57"/>
      <c r="N115" s="57"/>
      <c r="O115" s="58">
        <f t="shared" si="23"/>
        <v>0</v>
      </c>
      <c r="P115" s="60">
        <f t="shared" si="24"/>
        <v>0</v>
      </c>
      <c r="Q115" s="58">
        <f t="shared" si="25"/>
        <v>0</v>
      </c>
      <c r="R115" s="58">
        <f t="shared" si="28"/>
        <v>0</v>
      </c>
      <c r="S115" s="58"/>
      <c r="T115" s="58"/>
      <c r="U115" s="61">
        <f t="shared" si="27"/>
        <v>0</v>
      </c>
    </row>
    <row r="116" spans="1:21" ht="18" customHeight="1">
      <c r="A116" s="49">
        <f>SUBTOTAL(103,$B$9:B116)</f>
        <v>28</v>
      </c>
      <c r="B116" s="50" t="s">
        <v>143</v>
      </c>
      <c r="C116" s="51" t="s">
        <v>56</v>
      </c>
      <c r="D116" s="77">
        <v>70</v>
      </c>
      <c r="E116" s="53">
        <v>0</v>
      </c>
      <c r="F116" s="64"/>
      <c r="G116" s="55">
        <f t="shared" si="20"/>
        <v>0</v>
      </c>
      <c r="H116" s="56"/>
      <c r="I116" s="78"/>
      <c r="J116" s="57">
        <f>70</f>
        <v>70</v>
      </c>
      <c r="K116" s="58">
        <f t="shared" si="21"/>
        <v>70</v>
      </c>
      <c r="L116" s="59">
        <f t="shared" si="22"/>
        <v>100</v>
      </c>
      <c r="M116" s="57"/>
      <c r="N116" s="57">
        <v>70</v>
      </c>
      <c r="O116" s="58">
        <f t="shared" si="23"/>
        <v>0</v>
      </c>
      <c r="P116" s="60">
        <f t="shared" si="24"/>
        <v>100</v>
      </c>
      <c r="Q116" s="58">
        <f t="shared" si="25"/>
        <v>0</v>
      </c>
      <c r="R116" s="58">
        <f t="shared" si="28"/>
        <v>0</v>
      </c>
      <c r="S116" s="58"/>
      <c r="T116" s="58"/>
      <c r="U116" s="61">
        <f t="shared" si="27"/>
        <v>0</v>
      </c>
    </row>
    <row r="117" spans="1:21" ht="18" hidden="1" customHeight="1">
      <c r="A117" s="49">
        <f>SUBTOTAL(103,$B$9:B117)</f>
        <v>28</v>
      </c>
      <c r="B117" s="50" t="s">
        <v>144</v>
      </c>
      <c r="C117" s="51" t="s">
        <v>56</v>
      </c>
      <c r="D117" s="63"/>
      <c r="E117" s="53">
        <v>0</v>
      </c>
      <c r="F117" s="64"/>
      <c r="G117" s="55">
        <f t="shared" si="20"/>
        <v>0</v>
      </c>
      <c r="H117" s="56"/>
      <c r="I117" s="57"/>
      <c r="J117" s="57"/>
      <c r="K117" s="58">
        <f t="shared" si="21"/>
        <v>0</v>
      </c>
      <c r="L117" s="59">
        <f t="shared" si="22"/>
        <v>0</v>
      </c>
      <c r="M117" s="57"/>
      <c r="N117" s="57"/>
      <c r="O117" s="58">
        <f t="shared" si="23"/>
        <v>0</v>
      </c>
      <c r="P117" s="60">
        <f t="shared" si="24"/>
        <v>0</v>
      </c>
      <c r="Q117" s="58">
        <f t="shared" si="25"/>
        <v>0</v>
      </c>
      <c r="R117" s="58">
        <f t="shared" si="28"/>
        <v>0</v>
      </c>
      <c r="S117" s="58"/>
      <c r="T117" s="58"/>
      <c r="U117" s="61">
        <f t="shared" si="27"/>
        <v>0</v>
      </c>
    </row>
    <row r="118" spans="1:21" ht="18" hidden="1" customHeight="1">
      <c r="A118" s="49">
        <f>SUBTOTAL(103,$B$9:B118)</f>
        <v>28</v>
      </c>
      <c r="B118" s="50" t="s">
        <v>145</v>
      </c>
      <c r="C118" s="51" t="s">
        <v>56</v>
      </c>
      <c r="D118" s="63"/>
      <c r="E118" s="53">
        <v>0</v>
      </c>
      <c r="F118" s="64"/>
      <c r="G118" s="55">
        <f t="shared" si="20"/>
        <v>0</v>
      </c>
      <c r="H118" s="56"/>
      <c r="I118" s="57"/>
      <c r="J118" s="57"/>
      <c r="K118" s="58">
        <f t="shared" si="21"/>
        <v>0</v>
      </c>
      <c r="L118" s="59">
        <f t="shared" si="22"/>
        <v>0</v>
      </c>
      <c r="M118" s="57"/>
      <c r="N118" s="57"/>
      <c r="O118" s="58">
        <f t="shared" si="23"/>
        <v>0</v>
      </c>
      <c r="P118" s="60">
        <f t="shared" si="24"/>
        <v>0</v>
      </c>
      <c r="Q118" s="58">
        <f t="shared" si="25"/>
        <v>0</v>
      </c>
      <c r="R118" s="58">
        <f t="shared" si="28"/>
        <v>0</v>
      </c>
      <c r="S118" s="58"/>
      <c r="T118" s="58"/>
      <c r="U118" s="61">
        <f t="shared" si="27"/>
        <v>0</v>
      </c>
    </row>
    <row r="119" spans="1:21" ht="18" hidden="1" customHeight="1">
      <c r="A119" s="49">
        <f>SUBTOTAL(103,$B$9:B119)</f>
        <v>28</v>
      </c>
      <c r="B119" s="50" t="s">
        <v>146</v>
      </c>
      <c r="C119" s="51" t="s">
        <v>56</v>
      </c>
      <c r="D119" s="63"/>
      <c r="E119" s="53">
        <v>0</v>
      </c>
      <c r="F119" s="64"/>
      <c r="G119" s="55">
        <f t="shared" si="20"/>
        <v>0</v>
      </c>
      <c r="H119" s="56"/>
      <c r="I119" s="57"/>
      <c r="J119" s="57"/>
      <c r="K119" s="58">
        <f t="shared" si="21"/>
        <v>0</v>
      </c>
      <c r="L119" s="59">
        <f t="shared" si="22"/>
        <v>0</v>
      </c>
      <c r="M119" s="57"/>
      <c r="N119" s="57"/>
      <c r="O119" s="58">
        <f t="shared" si="23"/>
        <v>0</v>
      </c>
      <c r="P119" s="60">
        <f t="shared" si="24"/>
        <v>0</v>
      </c>
      <c r="Q119" s="58">
        <f t="shared" si="25"/>
        <v>0</v>
      </c>
      <c r="R119" s="58">
        <f t="shared" si="28"/>
        <v>0</v>
      </c>
      <c r="S119" s="58"/>
      <c r="T119" s="58"/>
      <c r="U119" s="61">
        <f t="shared" si="27"/>
        <v>0</v>
      </c>
    </row>
    <row r="120" spans="1:21" ht="18" hidden="1" customHeight="1">
      <c r="A120" s="49">
        <f>SUBTOTAL(103,$B$9:B120)</f>
        <v>28</v>
      </c>
      <c r="B120" s="50" t="s">
        <v>147</v>
      </c>
      <c r="C120" s="51" t="s">
        <v>56</v>
      </c>
      <c r="D120" s="63"/>
      <c r="E120" s="53">
        <v>0</v>
      </c>
      <c r="F120" s="64"/>
      <c r="G120" s="55">
        <f t="shared" si="20"/>
        <v>0</v>
      </c>
      <c r="H120" s="56"/>
      <c r="I120" s="57"/>
      <c r="J120" s="57"/>
      <c r="K120" s="58">
        <f t="shared" si="21"/>
        <v>0</v>
      </c>
      <c r="L120" s="59">
        <f t="shared" si="22"/>
        <v>0</v>
      </c>
      <c r="M120" s="57"/>
      <c r="N120" s="57"/>
      <c r="O120" s="58">
        <f t="shared" si="23"/>
        <v>0</v>
      </c>
      <c r="P120" s="60">
        <f t="shared" si="24"/>
        <v>0</v>
      </c>
      <c r="Q120" s="58">
        <f t="shared" si="25"/>
        <v>0</v>
      </c>
      <c r="R120" s="58">
        <f t="shared" si="28"/>
        <v>0</v>
      </c>
      <c r="S120" s="58"/>
      <c r="T120" s="58"/>
      <c r="U120" s="61">
        <f t="shared" si="27"/>
        <v>0</v>
      </c>
    </row>
    <row r="121" spans="1:21" ht="18" customHeight="1">
      <c r="A121" s="49">
        <f>SUBTOTAL(103,$B$9:B121)</f>
        <v>29</v>
      </c>
      <c r="B121" s="88" t="s">
        <v>148</v>
      </c>
      <c r="C121" s="51" t="s">
        <v>56</v>
      </c>
      <c r="D121" s="77">
        <v>4016</v>
      </c>
      <c r="E121" s="53">
        <v>0</v>
      </c>
      <c r="F121" s="64"/>
      <c r="G121" s="55">
        <f t="shared" si="20"/>
        <v>0</v>
      </c>
      <c r="H121" s="56"/>
      <c r="I121" s="78"/>
      <c r="J121" s="57">
        <f>1152+96+320+480+256+256+240+320+160+160+160+416</f>
        <v>4016</v>
      </c>
      <c r="K121" s="58">
        <f t="shared" si="21"/>
        <v>4016</v>
      </c>
      <c r="L121" s="59">
        <f t="shared" si="22"/>
        <v>100</v>
      </c>
      <c r="M121" s="57"/>
      <c r="N121" s="78">
        <f>1152+96+320+480+256+256+240+320+160+160+160+416</f>
        <v>4016</v>
      </c>
      <c r="O121" s="58">
        <f t="shared" si="23"/>
        <v>0</v>
      </c>
      <c r="P121" s="60">
        <f t="shared" si="24"/>
        <v>100</v>
      </c>
      <c r="Q121" s="79">
        <f t="shared" si="25"/>
        <v>0</v>
      </c>
      <c r="R121" s="58">
        <f t="shared" si="28"/>
        <v>0</v>
      </c>
      <c r="S121" s="58"/>
      <c r="T121" s="58"/>
      <c r="U121" s="61">
        <f t="shared" si="27"/>
        <v>0</v>
      </c>
    </row>
    <row r="122" spans="1:21" ht="18" customHeight="1">
      <c r="A122" s="49">
        <f>SUBTOTAL(103,$B$9:B122)</f>
        <v>30</v>
      </c>
      <c r="B122" s="50" t="s">
        <v>149</v>
      </c>
      <c r="C122" s="51" t="s">
        <v>56</v>
      </c>
      <c r="D122" s="77">
        <v>3824</v>
      </c>
      <c r="E122" s="53">
        <v>0</v>
      </c>
      <c r="F122" s="64"/>
      <c r="G122" s="55">
        <f t="shared" si="20"/>
        <v>0</v>
      </c>
      <c r="H122" s="56"/>
      <c r="I122" s="78"/>
      <c r="J122" s="57">
        <f>1056+288+576+576+576+240+512</f>
        <v>3824</v>
      </c>
      <c r="K122" s="58">
        <f t="shared" si="21"/>
        <v>3824</v>
      </c>
      <c r="L122" s="59">
        <f t="shared" si="22"/>
        <v>100</v>
      </c>
      <c r="M122" s="57"/>
      <c r="N122" s="57">
        <f>1056+288+576+576+576+240+512</f>
        <v>3824</v>
      </c>
      <c r="O122" s="58">
        <f t="shared" si="23"/>
        <v>0</v>
      </c>
      <c r="P122" s="60">
        <f t="shared" si="24"/>
        <v>100</v>
      </c>
      <c r="Q122" s="58">
        <f t="shared" si="25"/>
        <v>0</v>
      </c>
      <c r="R122" s="58">
        <f t="shared" si="28"/>
        <v>0</v>
      </c>
      <c r="S122" s="58"/>
      <c r="T122" s="58"/>
      <c r="U122" s="61">
        <f t="shared" si="27"/>
        <v>0</v>
      </c>
    </row>
    <row r="123" spans="1:21" ht="18" customHeight="1">
      <c r="A123" s="49">
        <f>SUBTOTAL(103,$B$9:B123)</f>
        <v>31</v>
      </c>
      <c r="B123" s="50" t="s">
        <v>150</v>
      </c>
      <c r="C123" s="51" t="s">
        <v>56</v>
      </c>
      <c r="D123" s="77">
        <v>4000</v>
      </c>
      <c r="E123" s="53">
        <v>0</v>
      </c>
      <c r="F123" s="64"/>
      <c r="G123" s="55">
        <f t="shared" si="20"/>
        <v>0</v>
      </c>
      <c r="H123" s="56"/>
      <c r="I123" s="78"/>
      <c r="J123" s="57">
        <f>360+1008+1008+1008+616</f>
        <v>4000</v>
      </c>
      <c r="K123" s="58">
        <f t="shared" si="21"/>
        <v>4000</v>
      </c>
      <c r="L123" s="59">
        <f t="shared" si="22"/>
        <v>100</v>
      </c>
      <c r="M123" s="57"/>
      <c r="N123" s="57">
        <f>360+1008+1008+1008+616</f>
        <v>4000</v>
      </c>
      <c r="O123" s="58">
        <f t="shared" si="23"/>
        <v>0</v>
      </c>
      <c r="P123" s="60">
        <f t="shared" si="24"/>
        <v>100</v>
      </c>
      <c r="Q123" s="58">
        <f t="shared" si="25"/>
        <v>0</v>
      </c>
      <c r="R123" s="58">
        <f t="shared" si="28"/>
        <v>0</v>
      </c>
      <c r="S123" s="58"/>
      <c r="T123" s="58"/>
      <c r="U123" s="61">
        <f t="shared" si="27"/>
        <v>0</v>
      </c>
    </row>
    <row r="124" spans="1:21" ht="18" hidden="1" customHeight="1">
      <c r="A124" s="49">
        <f>SUBTOTAL(103,$B$9:B124)</f>
        <v>31</v>
      </c>
      <c r="B124" s="50" t="s">
        <v>151</v>
      </c>
      <c r="C124" s="51" t="s">
        <v>56</v>
      </c>
      <c r="D124" s="63"/>
      <c r="E124" s="53">
        <v>0</v>
      </c>
      <c r="F124" s="64"/>
      <c r="G124" s="55">
        <f t="shared" si="20"/>
        <v>0</v>
      </c>
      <c r="H124" s="56"/>
      <c r="I124" s="57"/>
      <c r="J124" s="57"/>
      <c r="K124" s="58">
        <f t="shared" si="21"/>
        <v>0</v>
      </c>
      <c r="L124" s="59">
        <f t="shared" si="22"/>
        <v>0</v>
      </c>
      <c r="M124" s="57"/>
      <c r="N124" s="57"/>
      <c r="O124" s="58">
        <f t="shared" si="23"/>
        <v>0</v>
      </c>
      <c r="P124" s="60">
        <f t="shared" si="24"/>
        <v>0</v>
      </c>
      <c r="Q124" s="58">
        <f t="shared" si="25"/>
        <v>0</v>
      </c>
      <c r="R124" s="58">
        <f t="shared" si="28"/>
        <v>0</v>
      </c>
      <c r="S124" s="58"/>
      <c r="T124" s="58"/>
      <c r="U124" s="61">
        <f t="shared" si="27"/>
        <v>0</v>
      </c>
    </row>
    <row r="125" spans="1:21" ht="18" hidden="1" customHeight="1">
      <c r="A125" s="49">
        <f>SUBTOTAL(103,$B$9:B125)</f>
        <v>31</v>
      </c>
      <c r="B125" s="50" t="s">
        <v>152</v>
      </c>
      <c r="C125" s="51" t="s">
        <v>56</v>
      </c>
      <c r="D125" s="63"/>
      <c r="E125" s="53">
        <v>0</v>
      </c>
      <c r="F125" s="64"/>
      <c r="G125" s="55">
        <f t="shared" si="20"/>
        <v>0</v>
      </c>
      <c r="H125" s="56"/>
      <c r="I125" s="57"/>
      <c r="J125" s="57"/>
      <c r="K125" s="58">
        <f t="shared" si="21"/>
        <v>0</v>
      </c>
      <c r="L125" s="59">
        <f t="shared" si="22"/>
        <v>0</v>
      </c>
      <c r="M125" s="57"/>
      <c r="N125" s="57"/>
      <c r="O125" s="58">
        <f t="shared" si="23"/>
        <v>0</v>
      </c>
      <c r="P125" s="60">
        <f t="shared" si="24"/>
        <v>0</v>
      </c>
      <c r="Q125" s="58">
        <f t="shared" si="25"/>
        <v>0</v>
      </c>
      <c r="R125" s="58">
        <f t="shared" si="28"/>
        <v>0</v>
      </c>
      <c r="S125" s="58"/>
      <c r="T125" s="58"/>
      <c r="U125" s="61">
        <f t="shared" si="27"/>
        <v>0</v>
      </c>
    </row>
    <row r="126" spans="1:21" ht="18" hidden="1" customHeight="1">
      <c r="A126" s="49">
        <f>SUBTOTAL(103,$B$9:B126)</f>
        <v>31</v>
      </c>
      <c r="B126" s="50" t="s">
        <v>153</v>
      </c>
      <c r="C126" s="51" t="s">
        <v>56</v>
      </c>
      <c r="D126" s="63"/>
      <c r="E126" s="53">
        <v>0</v>
      </c>
      <c r="F126" s="64"/>
      <c r="G126" s="55">
        <f t="shared" si="20"/>
        <v>0</v>
      </c>
      <c r="H126" s="56"/>
      <c r="I126" s="57"/>
      <c r="J126" s="57"/>
      <c r="K126" s="58">
        <f t="shared" si="21"/>
        <v>0</v>
      </c>
      <c r="L126" s="59">
        <f t="shared" si="22"/>
        <v>0</v>
      </c>
      <c r="M126" s="57"/>
      <c r="N126" s="57"/>
      <c r="O126" s="58">
        <f t="shared" si="23"/>
        <v>0</v>
      </c>
      <c r="P126" s="60">
        <f t="shared" si="24"/>
        <v>0</v>
      </c>
      <c r="Q126" s="58">
        <f t="shared" si="25"/>
        <v>0</v>
      </c>
      <c r="R126" s="58">
        <f t="shared" si="28"/>
        <v>0</v>
      </c>
      <c r="S126" s="58"/>
      <c r="T126" s="58"/>
      <c r="U126" s="61">
        <f t="shared" si="27"/>
        <v>0</v>
      </c>
    </row>
    <row r="127" spans="1:21" ht="18" hidden="1" customHeight="1">
      <c r="A127" s="49">
        <f>SUBTOTAL(103,$B$9:B127)</f>
        <v>31</v>
      </c>
      <c r="B127" s="50" t="s">
        <v>154</v>
      </c>
      <c r="C127" s="51" t="s">
        <v>56</v>
      </c>
      <c r="D127" s="63"/>
      <c r="E127" s="53">
        <v>0</v>
      </c>
      <c r="F127" s="64"/>
      <c r="G127" s="55">
        <f t="shared" ref="G127:G196" si="29">D127*E127</f>
        <v>0</v>
      </c>
      <c r="H127" s="56"/>
      <c r="I127" s="57"/>
      <c r="J127" s="57"/>
      <c r="K127" s="58">
        <f t="shared" ref="K127:K196" si="30">H127+J127</f>
        <v>0</v>
      </c>
      <c r="L127" s="59">
        <f t="shared" ref="L127:L196" si="31">IF(D127&gt;0,ROUND((K127/D127)*100,0),0)</f>
        <v>0</v>
      </c>
      <c r="M127" s="57"/>
      <c r="N127" s="57"/>
      <c r="O127" s="58">
        <f t="shared" ref="O127:O196" si="32">N127*E127</f>
        <v>0</v>
      </c>
      <c r="P127" s="60">
        <f t="shared" ref="P127:P196" si="33">IF(D127&gt;0,ROUND((N127/D127)*100,0),0)</f>
        <v>0</v>
      </c>
      <c r="Q127" s="58">
        <f t="shared" ref="Q127:Q196" si="34">K127-N127</f>
        <v>0</v>
      </c>
      <c r="R127" s="58">
        <f t="shared" si="28"/>
        <v>0</v>
      </c>
      <c r="S127" s="58"/>
      <c r="T127" s="58"/>
      <c r="U127" s="61">
        <f t="shared" ref="U127:U196" si="35">D127-K127</f>
        <v>0</v>
      </c>
    </row>
    <row r="128" spans="1:21" ht="18" hidden="1" customHeight="1">
      <c r="A128" s="49">
        <f>SUBTOTAL(103,$B$9:B128)</f>
        <v>31</v>
      </c>
      <c r="B128" s="50" t="s">
        <v>155</v>
      </c>
      <c r="C128" s="51" t="s">
        <v>56</v>
      </c>
      <c r="D128" s="63"/>
      <c r="E128" s="53">
        <v>0</v>
      </c>
      <c r="F128" s="64"/>
      <c r="G128" s="55">
        <f t="shared" si="29"/>
        <v>0</v>
      </c>
      <c r="H128" s="56"/>
      <c r="I128" s="57"/>
      <c r="J128" s="57"/>
      <c r="K128" s="58">
        <f t="shared" si="30"/>
        <v>0</v>
      </c>
      <c r="L128" s="59">
        <f t="shared" si="31"/>
        <v>0</v>
      </c>
      <c r="M128" s="57"/>
      <c r="N128" s="57"/>
      <c r="O128" s="58">
        <f t="shared" si="32"/>
        <v>0</v>
      </c>
      <c r="P128" s="60">
        <f t="shared" si="33"/>
        <v>0</v>
      </c>
      <c r="Q128" s="58">
        <f t="shared" si="34"/>
        <v>0</v>
      </c>
      <c r="R128" s="58">
        <f t="shared" si="28"/>
        <v>0</v>
      </c>
      <c r="S128" s="58"/>
      <c r="T128" s="58"/>
      <c r="U128" s="61">
        <f t="shared" si="35"/>
        <v>0</v>
      </c>
    </row>
    <row r="129" spans="1:21" ht="18" hidden="1" customHeight="1">
      <c r="A129" s="49">
        <f>SUBTOTAL(103,$B$9:B129)</f>
        <v>31</v>
      </c>
      <c r="B129" s="50" t="s">
        <v>156</v>
      </c>
      <c r="C129" s="51" t="s">
        <v>56</v>
      </c>
      <c r="D129" s="63"/>
      <c r="E129" s="53">
        <v>0</v>
      </c>
      <c r="F129" s="64"/>
      <c r="G129" s="55">
        <f t="shared" si="29"/>
        <v>0</v>
      </c>
      <c r="H129" s="56"/>
      <c r="I129" s="57"/>
      <c r="J129" s="57"/>
      <c r="K129" s="58">
        <f t="shared" si="30"/>
        <v>0</v>
      </c>
      <c r="L129" s="59">
        <f t="shared" si="31"/>
        <v>0</v>
      </c>
      <c r="M129" s="57"/>
      <c r="N129" s="57"/>
      <c r="O129" s="58">
        <f t="shared" si="32"/>
        <v>0</v>
      </c>
      <c r="P129" s="60">
        <f t="shared" si="33"/>
        <v>0</v>
      </c>
      <c r="Q129" s="58">
        <f t="shared" si="34"/>
        <v>0</v>
      </c>
      <c r="R129" s="58">
        <f t="shared" si="28"/>
        <v>0</v>
      </c>
      <c r="S129" s="58"/>
      <c r="T129" s="58"/>
      <c r="U129" s="61">
        <f t="shared" si="35"/>
        <v>0</v>
      </c>
    </row>
    <row r="130" spans="1:21" ht="18" hidden="1" customHeight="1">
      <c r="A130" s="49">
        <f>SUBTOTAL(103,$B$9:B130)</f>
        <v>31</v>
      </c>
      <c r="B130" s="50" t="s">
        <v>157</v>
      </c>
      <c r="C130" s="51" t="s">
        <v>56</v>
      </c>
      <c r="D130" s="63"/>
      <c r="E130" s="53">
        <v>0</v>
      </c>
      <c r="F130" s="64"/>
      <c r="G130" s="55">
        <f t="shared" si="29"/>
        <v>0</v>
      </c>
      <c r="H130" s="56"/>
      <c r="I130" s="57"/>
      <c r="J130" s="57"/>
      <c r="K130" s="58">
        <f t="shared" si="30"/>
        <v>0</v>
      </c>
      <c r="L130" s="59">
        <f t="shared" si="31"/>
        <v>0</v>
      </c>
      <c r="M130" s="57"/>
      <c r="N130" s="57"/>
      <c r="O130" s="58">
        <f t="shared" si="32"/>
        <v>0</v>
      </c>
      <c r="P130" s="60">
        <f t="shared" si="33"/>
        <v>0</v>
      </c>
      <c r="Q130" s="58">
        <f t="shared" si="34"/>
        <v>0</v>
      </c>
      <c r="R130" s="58">
        <f t="shared" si="28"/>
        <v>0</v>
      </c>
      <c r="S130" s="58"/>
      <c r="T130" s="58"/>
      <c r="U130" s="61">
        <f t="shared" si="35"/>
        <v>0</v>
      </c>
    </row>
    <row r="131" spans="1:21" ht="18" hidden="1" customHeight="1">
      <c r="A131" s="49">
        <f>SUBTOTAL(103,$B$9:B131)</f>
        <v>31</v>
      </c>
      <c r="B131" s="50" t="s">
        <v>158</v>
      </c>
      <c r="C131" s="51" t="s">
        <v>56</v>
      </c>
      <c r="D131" s="63"/>
      <c r="E131" s="53">
        <v>0</v>
      </c>
      <c r="F131" s="64"/>
      <c r="G131" s="55">
        <f t="shared" si="29"/>
        <v>0</v>
      </c>
      <c r="H131" s="56"/>
      <c r="I131" s="57"/>
      <c r="J131" s="57"/>
      <c r="K131" s="58">
        <f t="shared" si="30"/>
        <v>0</v>
      </c>
      <c r="L131" s="59">
        <f t="shared" si="31"/>
        <v>0</v>
      </c>
      <c r="M131" s="57"/>
      <c r="N131" s="57"/>
      <c r="O131" s="58">
        <f t="shared" si="32"/>
        <v>0</v>
      </c>
      <c r="P131" s="60">
        <f t="shared" si="33"/>
        <v>0</v>
      </c>
      <c r="Q131" s="58">
        <f t="shared" si="34"/>
        <v>0</v>
      </c>
      <c r="R131" s="58">
        <f t="shared" si="28"/>
        <v>0</v>
      </c>
      <c r="S131" s="58"/>
      <c r="T131" s="58"/>
      <c r="U131" s="61">
        <f t="shared" si="35"/>
        <v>0</v>
      </c>
    </row>
    <row r="132" spans="1:21" ht="18" hidden="1" customHeight="1">
      <c r="A132" s="49">
        <f>SUBTOTAL(103,$B$9:B132)</f>
        <v>31</v>
      </c>
      <c r="B132" s="50" t="s">
        <v>159</v>
      </c>
      <c r="C132" s="51" t="s">
        <v>56</v>
      </c>
      <c r="D132" s="63"/>
      <c r="E132" s="53">
        <v>0</v>
      </c>
      <c r="F132" s="64"/>
      <c r="G132" s="55">
        <f t="shared" si="29"/>
        <v>0</v>
      </c>
      <c r="H132" s="56"/>
      <c r="I132" s="57"/>
      <c r="J132" s="57"/>
      <c r="K132" s="58">
        <f t="shared" si="30"/>
        <v>0</v>
      </c>
      <c r="L132" s="59">
        <f t="shared" si="31"/>
        <v>0</v>
      </c>
      <c r="M132" s="57"/>
      <c r="N132" s="57"/>
      <c r="O132" s="58">
        <f t="shared" si="32"/>
        <v>0</v>
      </c>
      <c r="P132" s="60">
        <f t="shared" si="33"/>
        <v>0</v>
      </c>
      <c r="Q132" s="58">
        <f t="shared" si="34"/>
        <v>0</v>
      </c>
      <c r="R132" s="58">
        <f t="shared" si="28"/>
        <v>0</v>
      </c>
      <c r="S132" s="58"/>
      <c r="T132" s="58"/>
      <c r="U132" s="61">
        <f t="shared" si="35"/>
        <v>0</v>
      </c>
    </row>
    <row r="133" spans="1:21" ht="18" customHeight="1">
      <c r="A133" s="49">
        <f>SUBTOTAL(103,$B$9:B133)</f>
        <v>32</v>
      </c>
      <c r="B133" s="88" t="s">
        <v>160</v>
      </c>
      <c r="C133" s="51" t="s">
        <v>56</v>
      </c>
      <c r="D133" s="77">
        <v>2300</v>
      </c>
      <c r="E133" s="53">
        <v>0</v>
      </c>
      <c r="F133" s="64"/>
      <c r="G133" s="55">
        <f>D133*E133</f>
        <v>0</v>
      </c>
      <c r="H133" s="56"/>
      <c r="I133" s="78"/>
      <c r="J133" s="57">
        <f>168+504+672+588+368</f>
        <v>2300</v>
      </c>
      <c r="K133" s="58">
        <f>H133+J133</f>
        <v>2300</v>
      </c>
      <c r="L133" s="59">
        <f>IF(D133&gt;0,ROUND((K133/D133)*100,0),0)</f>
        <v>100</v>
      </c>
      <c r="M133" s="57"/>
      <c r="N133" s="78">
        <f>168+504+672+588+368</f>
        <v>2300</v>
      </c>
      <c r="O133" s="58">
        <f>N133*E133</f>
        <v>0</v>
      </c>
      <c r="P133" s="60">
        <f>IF(D133&gt;0,ROUND((N133/D133)*100,0),0)</f>
        <v>100</v>
      </c>
      <c r="Q133" s="79">
        <f>K133-N133</f>
        <v>0</v>
      </c>
      <c r="R133" s="58">
        <f>Q133*E133</f>
        <v>0</v>
      </c>
      <c r="S133" s="58"/>
      <c r="T133" s="58"/>
      <c r="U133" s="61">
        <f t="shared" si="35"/>
        <v>0</v>
      </c>
    </row>
    <row r="134" spans="1:21" ht="18" hidden="1" customHeight="1">
      <c r="A134" s="49">
        <f>SUBTOTAL(103,$B$9:B134)</f>
        <v>32</v>
      </c>
      <c r="B134" s="62" t="s">
        <v>161</v>
      </c>
      <c r="C134" s="51" t="s">
        <v>56</v>
      </c>
      <c r="D134" s="63"/>
      <c r="E134" s="53">
        <v>0</v>
      </c>
      <c r="F134" s="64"/>
      <c r="G134" s="55">
        <f t="shared" si="29"/>
        <v>0</v>
      </c>
      <c r="H134" s="56"/>
      <c r="I134" s="57"/>
      <c r="J134" s="57"/>
      <c r="K134" s="58">
        <f t="shared" si="30"/>
        <v>0</v>
      </c>
      <c r="L134" s="59">
        <f t="shared" si="31"/>
        <v>0</v>
      </c>
      <c r="M134" s="57"/>
      <c r="N134" s="57"/>
      <c r="O134" s="58">
        <f t="shared" si="32"/>
        <v>0</v>
      </c>
      <c r="P134" s="60">
        <f t="shared" si="33"/>
        <v>0</v>
      </c>
      <c r="Q134" s="58">
        <f t="shared" si="34"/>
        <v>0</v>
      </c>
      <c r="R134" s="58">
        <f t="shared" si="28"/>
        <v>0</v>
      </c>
      <c r="S134" s="58"/>
      <c r="T134" s="58"/>
      <c r="U134" s="61">
        <f t="shared" si="35"/>
        <v>0</v>
      </c>
    </row>
    <row r="135" spans="1:21" ht="18" customHeight="1">
      <c r="A135" s="49">
        <f>SUBTOTAL(103,$B$9:B135)</f>
        <v>33</v>
      </c>
      <c r="B135" s="62" t="s">
        <v>162</v>
      </c>
      <c r="C135" s="51" t="s">
        <v>56</v>
      </c>
      <c r="D135" s="77">
        <v>4</v>
      </c>
      <c r="E135" s="53">
        <v>0</v>
      </c>
      <c r="F135" s="64"/>
      <c r="G135" s="55">
        <f>D135*E135</f>
        <v>0</v>
      </c>
      <c r="H135" s="56"/>
      <c r="I135" s="78"/>
      <c r="J135" s="57">
        <v>4</v>
      </c>
      <c r="K135" s="58">
        <f>H135+J135</f>
        <v>4</v>
      </c>
      <c r="L135" s="59">
        <f>IF(D135&gt;0,ROUND((K135/D135)*100,0),0)</f>
        <v>100</v>
      </c>
      <c r="M135" s="57"/>
      <c r="N135" s="57">
        <f>4</f>
        <v>4</v>
      </c>
      <c r="O135" s="58">
        <f>N135*E135</f>
        <v>0</v>
      </c>
      <c r="P135" s="60">
        <f>IF(D135&gt;0,ROUND((N135/D135)*100,0),0)</f>
        <v>100</v>
      </c>
      <c r="Q135" s="58">
        <f>K135-N135</f>
        <v>0</v>
      </c>
      <c r="R135" s="58">
        <f>Q135*E135</f>
        <v>0</v>
      </c>
      <c r="S135" s="58"/>
      <c r="T135" s="58"/>
      <c r="U135" s="61">
        <f t="shared" si="35"/>
        <v>0</v>
      </c>
    </row>
    <row r="136" spans="1:21" ht="18" customHeight="1">
      <c r="A136" s="49">
        <f>SUBTOTAL(103,$B$9:B136)</f>
        <v>34</v>
      </c>
      <c r="B136" s="62" t="s">
        <v>163</v>
      </c>
      <c r="C136" s="51" t="s">
        <v>56</v>
      </c>
      <c r="D136" s="77">
        <v>50</v>
      </c>
      <c r="E136" s="53">
        <v>0</v>
      </c>
      <c r="F136" s="64"/>
      <c r="G136" s="55">
        <f t="shared" si="29"/>
        <v>0</v>
      </c>
      <c r="H136" s="56"/>
      <c r="I136" s="78"/>
      <c r="J136" s="57">
        <v>50</v>
      </c>
      <c r="K136" s="58">
        <f t="shared" si="30"/>
        <v>50</v>
      </c>
      <c r="L136" s="59">
        <f t="shared" si="31"/>
        <v>100</v>
      </c>
      <c r="M136" s="57"/>
      <c r="N136" s="57">
        <f>50</f>
        <v>50</v>
      </c>
      <c r="O136" s="58">
        <f t="shared" si="32"/>
        <v>0</v>
      </c>
      <c r="P136" s="60">
        <f t="shared" si="33"/>
        <v>100</v>
      </c>
      <c r="Q136" s="58">
        <f t="shared" si="34"/>
        <v>0</v>
      </c>
      <c r="R136" s="58">
        <f t="shared" si="28"/>
        <v>0</v>
      </c>
      <c r="S136" s="58"/>
      <c r="T136" s="58"/>
      <c r="U136" s="61">
        <f t="shared" si="35"/>
        <v>0</v>
      </c>
    </row>
    <row r="137" spans="1:21" ht="18" customHeight="1">
      <c r="A137" s="49">
        <f>SUBTOTAL(103,$B$9:B137)</f>
        <v>35</v>
      </c>
      <c r="B137" s="62" t="s">
        <v>164</v>
      </c>
      <c r="C137" s="51" t="s">
        <v>56</v>
      </c>
      <c r="D137" s="77">
        <v>5</v>
      </c>
      <c r="E137" s="53">
        <v>0</v>
      </c>
      <c r="F137" s="64"/>
      <c r="G137" s="55">
        <f t="shared" si="29"/>
        <v>0</v>
      </c>
      <c r="H137" s="56"/>
      <c r="I137" s="78"/>
      <c r="J137" s="57">
        <f>5</f>
        <v>5</v>
      </c>
      <c r="K137" s="58">
        <f t="shared" si="30"/>
        <v>5</v>
      </c>
      <c r="L137" s="59">
        <f t="shared" si="31"/>
        <v>100</v>
      </c>
      <c r="M137" s="57"/>
      <c r="N137" s="57">
        <v>5</v>
      </c>
      <c r="O137" s="58">
        <f t="shared" si="32"/>
        <v>0</v>
      </c>
      <c r="P137" s="60">
        <f t="shared" si="33"/>
        <v>100</v>
      </c>
      <c r="Q137" s="58">
        <f t="shared" si="34"/>
        <v>0</v>
      </c>
      <c r="R137" s="58">
        <f t="shared" si="28"/>
        <v>0</v>
      </c>
      <c r="S137" s="58"/>
      <c r="T137" s="58"/>
      <c r="U137" s="61">
        <f t="shared" si="35"/>
        <v>0</v>
      </c>
    </row>
    <row r="138" spans="1:21" ht="18" customHeight="1">
      <c r="A138" s="49">
        <f>SUBTOTAL(103,$B$9:B138)</f>
        <v>36</v>
      </c>
      <c r="B138" s="62" t="s">
        <v>165</v>
      </c>
      <c r="C138" s="51" t="s">
        <v>56</v>
      </c>
      <c r="D138" s="77">
        <v>60</v>
      </c>
      <c r="E138" s="53">
        <v>0</v>
      </c>
      <c r="F138" s="64"/>
      <c r="G138" s="55">
        <f t="shared" si="29"/>
        <v>0</v>
      </c>
      <c r="H138" s="56"/>
      <c r="I138" s="78"/>
      <c r="J138" s="57">
        <f>60</f>
        <v>60</v>
      </c>
      <c r="K138" s="58">
        <f t="shared" si="30"/>
        <v>60</v>
      </c>
      <c r="L138" s="59">
        <f t="shared" si="31"/>
        <v>100</v>
      </c>
      <c r="M138" s="57"/>
      <c r="N138" s="57">
        <f>60</f>
        <v>60</v>
      </c>
      <c r="O138" s="58">
        <f t="shared" si="32"/>
        <v>0</v>
      </c>
      <c r="P138" s="60">
        <f t="shared" si="33"/>
        <v>100</v>
      </c>
      <c r="Q138" s="58">
        <f t="shared" si="34"/>
        <v>0</v>
      </c>
      <c r="R138" s="58">
        <f t="shared" si="28"/>
        <v>0</v>
      </c>
      <c r="S138" s="58"/>
      <c r="T138" s="58"/>
      <c r="U138" s="61">
        <f t="shared" si="35"/>
        <v>0</v>
      </c>
    </row>
    <row r="139" spans="1:21" ht="18" hidden="1" customHeight="1">
      <c r="A139" s="49">
        <f>SUBTOTAL(103,$B$9:B139)</f>
        <v>36</v>
      </c>
      <c r="B139" s="62" t="s">
        <v>166</v>
      </c>
      <c r="C139" s="51" t="s">
        <v>56</v>
      </c>
      <c r="D139" s="63"/>
      <c r="E139" s="53">
        <v>0</v>
      </c>
      <c r="F139" s="64"/>
      <c r="G139" s="55">
        <f t="shared" si="29"/>
        <v>0</v>
      </c>
      <c r="H139" s="56"/>
      <c r="I139" s="57"/>
      <c r="J139" s="57"/>
      <c r="K139" s="58">
        <f t="shared" si="30"/>
        <v>0</v>
      </c>
      <c r="L139" s="59">
        <f t="shared" si="31"/>
        <v>0</v>
      </c>
      <c r="M139" s="57"/>
      <c r="N139" s="57"/>
      <c r="O139" s="58">
        <f t="shared" si="32"/>
        <v>0</v>
      </c>
      <c r="P139" s="60">
        <f t="shared" si="33"/>
        <v>0</v>
      </c>
      <c r="Q139" s="58">
        <f t="shared" si="34"/>
        <v>0</v>
      </c>
      <c r="R139" s="58">
        <f t="shared" si="28"/>
        <v>0</v>
      </c>
      <c r="S139" s="58"/>
      <c r="T139" s="58"/>
      <c r="U139" s="61">
        <f t="shared" si="35"/>
        <v>0</v>
      </c>
    </row>
    <row r="140" spans="1:21" ht="18" hidden="1" customHeight="1">
      <c r="A140" s="49">
        <f>SUBTOTAL(103,$B$9:B140)</f>
        <v>36</v>
      </c>
      <c r="B140" s="62" t="s">
        <v>167</v>
      </c>
      <c r="C140" s="51" t="s">
        <v>56</v>
      </c>
      <c r="D140" s="63"/>
      <c r="E140" s="53">
        <v>0</v>
      </c>
      <c r="F140" s="64"/>
      <c r="G140" s="55">
        <f t="shared" si="29"/>
        <v>0</v>
      </c>
      <c r="H140" s="56"/>
      <c r="I140" s="57"/>
      <c r="J140" s="57"/>
      <c r="K140" s="58">
        <f t="shared" si="30"/>
        <v>0</v>
      </c>
      <c r="L140" s="59">
        <f t="shared" si="31"/>
        <v>0</v>
      </c>
      <c r="M140" s="57"/>
      <c r="N140" s="57"/>
      <c r="O140" s="58">
        <f t="shared" si="32"/>
        <v>0</v>
      </c>
      <c r="P140" s="60">
        <f t="shared" si="33"/>
        <v>0</v>
      </c>
      <c r="Q140" s="58">
        <f t="shared" si="34"/>
        <v>0</v>
      </c>
      <c r="R140" s="58">
        <f t="shared" si="28"/>
        <v>0</v>
      </c>
      <c r="S140" s="58"/>
      <c r="T140" s="58"/>
      <c r="U140" s="61">
        <f t="shared" si="35"/>
        <v>0</v>
      </c>
    </row>
    <row r="141" spans="1:21" s="75" customFormat="1" ht="18" hidden="1" customHeight="1">
      <c r="A141" s="49">
        <f>SUBTOTAL(103,$B$9:B141)</f>
        <v>36</v>
      </c>
      <c r="B141" s="50" t="s">
        <v>168</v>
      </c>
      <c r="C141" s="81" t="s">
        <v>56</v>
      </c>
      <c r="D141" s="66"/>
      <c r="E141" s="53">
        <v>0</v>
      </c>
      <c r="F141" s="64"/>
      <c r="G141" s="68">
        <f t="shared" si="29"/>
        <v>0</v>
      </c>
      <c r="H141" s="69"/>
      <c r="I141" s="70"/>
      <c r="J141" s="70"/>
      <c r="K141" s="58">
        <f t="shared" si="30"/>
        <v>0</v>
      </c>
      <c r="L141" s="72">
        <f t="shared" si="31"/>
        <v>0</v>
      </c>
      <c r="M141" s="70"/>
      <c r="N141" s="70"/>
      <c r="O141" s="71">
        <f t="shared" si="32"/>
        <v>0</v>
      </c>
      <c r="P141" s="73">
        <f t="shared" si="33"/>
        <v>0</v>
      </c>
      <c r="Q141" s="58">
        <f t="shared" si="34"/>
        <v>0</v>
      </c>
      <c r="R141" s="71">
        <f t="shared" si="28"/>
        <v>0</v>
      </c>
      <c r="S141" s="71"/>
      <c r="T141" s="71"/>
      <c r="U141" s="61">
        <f t="shared" si="35"/>
        <v>0</v>
      </c>
    </row>
    <row r="142" spans="1:21" ht="18" hidden="1" customHeight="1">
      <c r="A142" s="49">
        <f>SUBTOTAL(103,$B$9:B142)</f>
        <v>36</v>
      </c>
      <c r="B142" s="62" t="s">
        <v>169</v>
      </c>
      <c r="C142" s="51" t="s">
        <v>56</v>
      </c>
      <c r="D142" s="63"/>
      <c r="E142" s="53">
        <v>0</v>
      </c>
      <c r="F142" s="64"/>
      <c r="G142" s="55">
        <f t="shared" si="29"/>
        <v>0</v>
      </c>
      <c r="H142" s="56"/>
      <c r="I142" s="57"/>
      <c r="J142" s="57"/>
      <c r="K142" s="58">
        <f t="shared" si="30"/>
        <v>0</v>
      </c>
      <c r="L142" s="59">
        <f t="shared" si="31"/>
        <v>0</v>
      </c>
      <c r="M142" s="57"/>
      <c r="N142" s="57"/>
      <c r="O142" s="58">
        <f t="shared" si="32"/>
        <v>0</v>
      </c>
      <c r="P142" s="60">
        <f t="shared" si="33"/>
        <v>0</v>
      </c>
      <c r="Q142" s="58">
        <f t="shared" si="34"/>
        <v>0</v>
      </c>
      <c r="R142" s="58">
        <f t="shared" si="28"/>
        <v>0</v>
      </c>
      <c r="S142" s="58"/>
      <c r="T142" s="58"/>
      <c r="U142" s="61">
        <f t="shared" si="35"/>
        <v>0</v>
      </c>
    </row>
    <row r="143" spans="1:21" ht="18" hidden="1" customHeight="1">
      <c r="A143" s="49">
        <f>SUBTOTAL(103,$B$9:B143)</f>
        <v>36</v>
      </c>
      <c r="B143" s="62" t="s">
        <v>170</v>
      </c>
      <c r="C143" s="51" t="s">
        <v>56</v>
      </c>
      <c r="D143" s="63"/>
      <c r="E143" s="53">
        <v>0</v>
      </c>
      <c r="F143" s="64"/>
      <c r="G143" s="55">
        <f t="shared" si="29"/>
        <v>0</v>
      </c>
      <c r="H143" s="56"/>
      <c r="I143" s="57"/>
      <c r="J143" s="57"/>
      <c r="K143" s="58">
        <f t="shared" si="30"/>
        <v>0</v>
      </c>
      <c r="L143" s="59">
        <f t="shared" si="31"/>
        <v>0</v>
      </c>
      <c r="M143" s="57"/>
      <c r="N143" s="57"/>
      <c r="O143" s="58">
        <f t="shared" si="32"/>
        <v>0</v>
      </c>
      <c r="P143" s="60">
        <f t="shared" si="33"/>
        <v>0</v>
      </c>
      <c r="Q143" s="58">
        <f t="shared" si="34"/>
        <v>0</v>
      </c>
      <c r="R143" s="58">
        <f t="shared" si="28"/>
        <v>0</v>
      </c>
      <c r="S143" s="58"/>
      <c r="T143" s="58"/>
      <c r="U143" s="61">
        <f t="shared" si="35"/>
        <v>0</v>
      </c>
    </row>
    <row r="144" spans="1:21" ht="18" hidden="1" customHeight="1">
      <c r="A144" s="49">
        <f>SUBTOTAL(103,$B$9:B144)</f>
        <v>36</v>
      </c>
      <c r="B144" s="62" t="s">
        <v>171</v>
      </c>
      <c r="C144" s="51" t="s">
        <v>56</v>
      </c>
      <c r="D144" s="63"/>
      <c r="E144" s="53">
        <v>0</v>
      </c>
      <c r="F144" s="64"/>
      <c r="G144" s="55">
        <f t="shared" si="29"/>
        <v>0</v>
      </c>
      <c r="H144" s="56"/>
      <c r="I144" s="57"/>
      <c r="J144" s="57"/>
      <c r="K144" s="58">
        <f t="shared" si="30"/>
        <v>0</v>
      </c>
      <c r="L144" s="59">
        <f t="shared" si="31"/>
        <v>0</v>
      </c>
      <c r="M144" s="57"/>
      <c r="N144" s="57"/>
      <c r="O144" s="58">
        <f t="shared" si="32"/>
        <v>0</v>
      </c>
      <c r="P144" s="60">
        <f t="shared" si="33"/>
        <v>0</v>
      </c>
      <c r="Q144" s="58">
        <f t="shared" si="34"/>
        <v>0</v>
      </c>
      <c r="R144" s="58">
        <f t="shared" si="28"/>
        <v>0</v>
      </c>
      <c r="S144" s="58"/>
      <c r="T144" s="58"/>
      <c r="U144" s="61">
        <f t="shared" si="35"/>
        <v>0</v>
      </c>
    </row>
    <row r="145" spans="1:21" ht="18" hidden="1" customHeight="1">
      <c r="A145" s="49">
        <f>SUBTOTAL(103,$B$9:B145)</f>
        <v>36</v>
      </c>
      <c r="B145" s="62" t="s">
        <v>172</v>
      </c>
      <c r="C145" s="51" t="s">
        <v>56</v>
      </c>
      <c r="D145" s="63"/>
      <c r="E145" s="53">
        <v>0</v>
      </c>
      <c r="F145" s="64"/>
      <c r="G145" s="55">
        <f>D145*E145</f>
        <v>0</v>
      </c>
      <c r="H145" s="56"/>
      <c r="I145" s="57"/>
      <c r="J145" s="57"/>
      <c r="K145" s="58">
        <f>H145+J145</f>
        <v>0</v>
      </c>
      <c r="L145" s="59">
        <f>IF(D145&gt;0,ROUND((K145/D145)*100,0),0)</f>
        <v>0</v>
      </c>
      <c r="M145" s="57"/>
      <c r="N145" s="57"/>
      <c r="O145" s="58">
        <f>N145*E145</f>
        <v>0</v>
      </c>
      <c r="P145" s="60">
        <f>IF(D145&gt;0,ROUND((N145/D145)*100,0),0)</f>
        <v>0</v>
      </c>
      <c r="Q145" s="58">
        <f>K145-N145</f>
        <v>0</v>
      </c>
      <c r="R145" s="58">
        <f>Q145*E145</f>
        <v>0</v>
      </c>
      <c r="S145" s="58"/>
      <c r="T145" s="58"/>
      <c r="U145" s="61">
        <f t="shared" si="35"/>
        <v>0</v>
      </c>
    </row>
    <row r="146" spans="1:21" ht="18" customHeight="1">
      <c r="A146" s="49">
        <f>SUBTOTAL(103,$B$9:B146)</f>
        <v>37</v>
      </c>
      <c r="B146" s="62" t="s">
        <v>173</v>
      </c>
      <c r="C146" s="51" t="s">
        <v>56</v>
      </c>
      <c r="D146" s="77">
        <v>500</v>
      </c>
      <c r="E146" s="53">
        <v>0</v>
      </c>
      <c r="F146" s="64"/>
      <c r="G146" s="55">
        <f t="shared" si="29"/>
        <v>0</v>
      </c>
      <c r="H146" s="56"/>
      <c r="I146" s="78"/>
      <c r="J146" s="57">
        <f>270+18+108+104+104</f>
        <v>604</v>
      </c>
      <c r="K146" s="58">
        <f t="shared" si="30"/>
        <v>604</v>
      </c>
      <c r="L146" s="59">
        <f t="shared" si="31"/>
        <v>121</v>
      </c>
      <c r="M146" s="57"/>
      <c r="N146" s="57">
        <f>270+18+108+104+104</f>
        <v>604</v>
      </c>
      <c r="O146" s="58">
        <f t="shared" si="32"/>
        <v>0</v>
      </c>
      <c r="P146" s="60">
        <f t="shared" si="33"/>
        <v>121</v>
      </c>
      <c r="Q146" s="58">
        <f t="shared" si="34"/>
        <v>0</v>
      </c>
      <c r="R146" s="58">
        <f t="shared" si="28"/>
        <v>0</v>
      </c>
      <c r="S146" s="58"/>
      <c r="T146" s="58"/>
      <c r="U146" s="61">
        <f t="shared" si="35"/>
        <v>-104</v>
      </c>
    </row>
    <row r="147" spans="1:21" ht="18" customHeight="1">
      <c r="A147" s="49">
        <f>SUBTOTAL(103,$B$9:B147)</f>
        <v>38</v>
      </c>
      <c r="B147" s="62" t="s">
        <v>174</v>
      </c>
      <c r="C147" s="51" t="s">
        <v>56</v>
      </c>
      <c r="D147" s="77">
        <v>3400</v>
      </c>
      <c r="E147" s="53">
        <v>0</v>
      </c>
      <c r="F147" s="64"/>
      <c r="G147" s="55">
        <f t="shared" si="29"/>
        <v>0</v>
      </c>
      <c r="H147" s="56"/>
      <c r="I147" s="78"/>
      <c r="J147" s="57">
        <f>288+576+198+198+216+36+360+468+468+234+54+304</f>
        <v>3400</v>
      </c>
      <c r="K147" s="58">
        <f t="shared" si="30"/>
        <v>3400</v>
      </c>
      <c r="L147" s="59">
        <f t="shared" si="31"/>
        <v>100</v>
      </c>
      <c r="M147" s="57"/>
      <c r="N147" s="57">
        <f>288+576+198+198+216+36+360+468+468+234+54+304</f>
        <v>3400</v>
      </c>
      <c r="O147" s="58">
        <f t="shared" si="32"/>
        <v>0</v>
      </c>
      <c r="P147" s="60">
        <f t="shared" si="33"/>
        <v>100</v>
      </c>
      <c r="Q147" s="58">
        <f t="shared" si="34"/>
        <v>0</v>
      </c>
      <c r="R147" s="58">
        <f t="shared" si="28"/>
        <v>0</v>
      </c>
      <c r="S147" s="58"/>
      <c r="T147" s="58"/>
      <c r="U147" s="61">
        <f t="shared" si="35"/>
        <v>0</v>
      </c>
    </row>
    <row r="148" spans="1:21" ht="18" customHeight="1">
      <c r="A148" s="49">
        <f>SUBTOTAL(103,$B$9:B148)</f>
        <v>39</v>
      </c>
      <c r="B148" s="62" t="s">
        <v>175</v>
      </c>
      <c r="C148" s="51" t="s">
        <v>56</v>
      </c>
      <c r="D148" s="63">
        <v>0</v>
      </c>
      <c r="E148" s="53">
        <v>0</v>
      </c>
      <c r="F148" s="64"/>
      <c r="G148" s="55">
        <f t="shared" si="29"/>
        <v>0</v>
      </c>
      <c r="H148" s="56"/>
      <c r="I148" s="57"/>
      <c r="J148" s="57">
        <f>576</f>
        <v>576</v>
      </c>
      <c r="K148" s="58">
        <f t="shared" si="30"/>
        <v>576</v>
      </c>
      <c r="L148" s="59">
        <f t="shared" si="31"/>
        <v>0</v>
      </c>
      <c r="M148" s="57"/>
      <c r="N148" s="57">
        <f>576</f>
        <v>576</v>
      </c>
      <c r="O148" s="58">
        <f t="shared" si="32"/>
        <v>0</v>
      </c>
      <c r="P148" s="60">
        <f t="shared" si="33"/>
        <v>0</v>
      </c>
      <c r="Q148" s="58">
        <f t="shared" si="34"/>
        <v>0</v>
      </c>
      <c r="R148" s="58">
        <f t="shared" si="28"/>
        <v>0</v>
      </c>
      <c r="S148" s="58"/>
      <c r="T148" s="58"/>
      <c r="U148" s="61">
        <f t="shared" si="35"/>
        <v>-576</v>
      </c>
    </row>
    <row r="149" spans="1:21" ht="18" customHeight="1">
      <c r="A149" s="49">
        <f>SUBTOTAL(103,$B$9:B149)</f>
        <v>40</v>
      </c>
      <c r="B149" s="62" t="s">
        <v>176</v>
      </c>
      <c r="C149" s="51" t="s">
        <v>56</v>
      </c>
      <c r="D149" s="77">
        <v>900</v>
      </c>
      <c r="E149" s="53">
        <v>0</v>
      </c>
      <c r="F149" s="64"/>
      <c r="G149" s="55">
        <f t="shared" si="29"/>
        <v>0</v>
      </c>
      <c r="H149" s="56"/>
      <c r="I149" s="78"/>
      <c r="J149" s="57">
        <f>256+576+68</f>
        <v>900</v>
      </c>
      <c r="K149" s="58">
        <f t="shared" si="30"/>
        <v>900</v>
      </c>
      <c r="L149" s="59">
        <f t="shared" si="31"/>
        <v>100</v>
      </c>
      <c r="M149" s="57"/>
      <c r="N149" s="57">
        <f>256+576+68</f>
        <v>900</v>
      </c>
      <c r="O149" s="58">
        <f t="shared" si="32"/>
        <v>0</v>
      </c>
      <c r="P149" s="60">
        <f t="shared" si="33"/>
        <v>100</v>
      </c>
      <c r="Q149" s="58">
        <f t="shared" si="34"/>
        <v>0</v>
      </c>
      <c r="R149" s="58">
        <f t="shared" si="28"/>
        <v>0</v>
      </c>
      <c r="S149" s="58"/>
      <c r="T149" s="58"/>
      <c r="U149" s="61">
        <f t="shared" si="35"/>
        <v>0</v>
      </c>
    </row>
    <row r="150" spans="1:21" ht="18" customHeight="1">
      <c r="A150" s="49">
        <f>SUBTOTAL(103,$B$9:B150)</f>
        <v>41</v>
      </c>
      <c r="B150" s="62" t="s">
        <v>177</v>
      </c>
      <c r="C150" s="51" t="s">
        <v>56</v>
      </c>
      <c r="D150" s="77">
        <v>0</v>
      </c>
      <c r="E150" s="53">
        <v>0</v>
      </c>
      <c r="F150" s="64"/>
      <c r="G150" s="55">
        <f t="shared" si="29"/>
        <v>0</v>
      </c>
      <c r="H150" s="56"/>
      <c r="I150" s="78">
        <v>112</v>
      </c>
      <c r="J150" s="57">
        <v>112</v>
      </c>
      <c r="K150" s="58">
        <f t="shared" si="30"/>
        <v>112</v>
      </c>
      <c r="L150" s="59">
        <f t="shared" si="31"/>
        <v>0</v>
      </c>
      <c r="M150" s="57">
        <v>112</v>
      </c>
      <c r="N150" s="57">
        <f>112</f>
        <v>112</v>
      </c>
      <c r="O150" s="58">
        <f t="shared" si="32"/>
        <v>0</v>
      </c>
      <c r="P150" s="60">
        <f t="shared" si="33"/>
        <v>0</v>
      </c>
      <c r="Q150" s="58">
        <f t="shared" si="34"/>
        <v>0</v>
      </c>
      <c r="R150" s="58">
        <f t="shared" si="28"/>
        <v>0</v>
      </c>
      <c r="S150" s="58"/>
      <c r="T150" s="58"/>
      <c r="U150" s="61">
        <f t="shared" si="35"/>
        <v>-112</v>
      </c>
    </row>
    <row r="151" spans="1:21" ht="18" customHeight="1">
      <c r="A151" s="49">
        <f>SUBTOTAL(103,$B$9:B151)</f>
        <v>42</v>
      </c>
      <c r="B151" s="76" t="s">
        <v>178</v>
      </c>
      <c r="C151" s="51" t="s">
        <v>56</v>
      </c>
      <c r="D151" s="77">
        <f>360+57</f>
        <v>417</v>
      </c>
      <c r="E151" s="53">
        <v>0</v>
      </c>
      <c r="F151" s="64"/>
      <c r="G151" s="55">
        <f t="shared" si="29"/>
        <v>0</v>
      </c>
      <c r="H151" s="56"/>
      <c r="I151" s="78"/>
      <c r="J151" s="57">
        <f>32+64+80+48+64+16+48+16+49</f>
        <v>417</v>
      </c>
      <c r="K151" s="58">
        <f t="shared" si="30"/>
        <v>417</v>
      </c>
      <c r="L151" s="59">
        <f t="shared" si="31"/>
        <v>100</v>
      </c>
      <c r="M151" s="57"/>
      <c r="N151" s="78">
        <f>32+64+80+48+64+16+48+16+49</f>
        <v>417</v>
      </c>
      <c r="O151" s="58">
        <f t="shared" si="32"/>
        <v>0</v>
      </c>
      <c r="P151" s="60">
        <f t="shared" si="33"/>
        <v>100</v>
      </c>
      <c r="Q151" s="79">
        <f t="shared" si="34"/>
        <v>0</v>
      </c>
      <c r="R151" s="58">
        <f t="shared" si="28"/>
        <v>0</v>
      </c>
      <c r="S151" s="58"/>
      <c r="T151" s="58"/>
      <c r="U151" s="61">
        <f t="shared" si="35"/>
        <v>0</v>
      </c>
    </row>
    <row r="152" spans="1:21" ht="18" hidden="1" customHeight="1">
      <c r="A152" s="49">
        <f>SUBTOTAL(103,$B$9:B152)</f>
        <v>42</v>
      </c>
      <c r="B152" s="62" t="s">
        <v>179</v>
      </c>
      <c r="C152" s="51" t="s">
        <v>56</v>
      </c>
      <c r="D152" s="63"/>
      <c r="E152" s="53">
        <v>0</v>
      </c>
      <c r="F152" s="64"/>
      <c r="G152" s="55">
        <f t="shared" si="29"/>
        <v>0</v>
      </c>
      <c r="H152" s="56"/>
      <c r="I152" s="57"/>
      <c r="J152" s="57"/>
      <c r="K152" s="58">
        <f t="shared" si="30"/>
        <v>0</v>
      </c>
      <c r="L152" s="59">
        <f t="shared" si="31"/>
        <v>0</v>
      </c>
      <c r="M152" s="57"/>
      <c r="N152" s="57"/>
      <c r="O152" s="58">
        <f t="shared" si="32"/>
        <v>0</v>
      </c>
      <c r="P152" s="60">
        <f t="shared" si="33"/>
        <v>0</v>
      </c>
      <c r="Q152" s="58">
        <f t="shared" si="34"/>
        <v>0</v>
      </c>
      <c r="R152" s="58">
        <f t="shared" si="28"/>
        <v>0</v>
      </c>
      <c r="S152" s="58"/>
      <c r="T152" s="58"/>
      <c r="U152" s="61">
        <f t="shared" si="35"/>
        <v>0</v>
      </c>
    </row>
    <row r="153" spans="1:21" ht="18" customHeight="1">
      <c r="A153" s="49">
        <f>SUBTOTAL(103,$B$9:B153)</f>
        <v>43</v>
      </c>
      <c r="B153" s="76" t="s">
        <v>180</v>
      </c>
      <c r="C153" s="51" t="s">
        <v>56</v>
      </c>
      <c r="D153" s="77">
        <v>3500</v>
      </c>
      <c r="E153" s="53">
        <v>0</v>
      </c>
      <c r="F153" s="64"/>
      <c r="G153" s="55">
        <f t="shared" si="29"/>
        <v>0</v>
      </c>
      <c r="H153" s="56"/>
      <c r="I153" s="78"/>
      <c r="J153" s="57">
        <f>48+64+160+128+528+288+64+16+256+640+768+384+16+112+28</f>
        <v>3500</v>
      </c>
      <c r="K153" s="58">
        <f t="shared" si="30"/>
        <v>3500</v>
      </c>
      <c r="L153" s="59">
        <f t="shared" si="31"/>
        <v>100</v>
      </c>
      <c r="M153" s="57"/>
      <c r="N153" s="78">
        <f>48+64+160+128+528+288+64+16+256+640+768+384+16+112+28</f>
        <v>3500</v>
      </c>
      <c r="O153" s="58">
        <f t="shared" si="32"/>
        <v>0</v>
      </c>
      <c r="P153" s="60">
        <f t="shared" si="33"/>
        <v>100</v>
      </c>
      <c r="Q153" s="79">
        <f t="shared" si="34"/>
        <v>0</v>
      </c>
      <c r="R153" s="58">
        <f t="shared" si="28"/>
        <v>0</v>
      </c>
      <c r="S153" s="58"/>
      <c r="T153" s="58"/>
      <c r="U153" s="61">
        <f t="shared" si="35"/>
        <v>0</v>
      </c>
    </row>
    <row r="154" spans="1:21" ht="18" hidden="1" customHeight="1">
      <c r="A154" s="49">
        <f>SUBTOTAL(103,$B$9:B154)</f>
        <v>43</v>
      </c>
      <c r="B154" s="62" t="s">
        <v>181</v>
      </c>
      <c r="C154" s="51" t="s">
        <v>56</v>
      </c>
      <c r="D154" s="63"/>
      <c r="E154" s="53">
        <v>0</v>
      </c>
      <c r="F154" s="64"/>
      <c r="G154" s="55">
        <f>D154*E154</f>
        <v>0</v>
      </c>
      <c r="H154" s="56"/>
      <c r="I154" s="57"/>
      <c r="J154" s="57"/>
      <c r="K154" s="58">
        <f>H154+J154</f>
        <v>0</v>
      </c>
      <c r="L154" s="59">
        <f>IF(D154&gt;0,ROUND((K154/D154)*100,0),0)</f>
        <v>0</v>
      </c>
      <c r="M154" s="57"/>
      <c r="N154" s="57"/>
      <c r="O154" s="58">
        <f>N154*E154</f>
        <v>0</v>
      </c>
      <c r="P154" s="60">
        <f>IF(D154&gt;0,ROUND((N154/D154)*100,0),0)</f>
        <v>0</v>
      </c>
      <c r="Q154" s="58">
        <f>K154-N154</f>
        <v>0</v>
      </c>
      <c r="R154" s="58">
        <f>Q154*E154</f>
        <v>0</v>
      </c>
      <c r="S154" s="58"/>
      <c r="T154" s="58"/>
      <c r="U154" s="61">
        <f t="shared" si="35"/>
        <v>0</v>
      </c>
    </row>
    <row r="155" spans="1:21" ht="18" hidden="1" customHeight="1">
      <c r="A155" s="49">
        <f>SUBTOTAL(103,$B$9:B155)</f>
        <v>43</v>
      </c>
      <c r="B155" s="62" t="s">
        <v>182</v>
      </c>
      <c r="C155" s="51" t="s">
        <v>56</v>
      </c>
      <c r="D155" s="63"/>
      <c r="E155" s="53">
        <v>0</v>
      </c>
      <c r="F155" s="64"/>
      <c r="G155" s="55">
        <f>D155*E155</f>
        <v>0</v>
      </c>
      <c r="H155" s="56"/>
      <c r="I155" s="57"/>
      <c r="J155" s="57"/>
      <c r="K155" s="58">
        <f>H155+J155</f>
        <v>0</v>
      </c>
      <c r="L155" s="59">
        <f>IF(D155&gt;0,ROUND((K155/D155)*100,0),0)</f>
        <v>0</v>
      </c>
      <c r="M155" s="57"/>
      <c r="N155" s="57"/>
      <c r="O155" s="58">
        <f>N155*E155</f>
        <v>0</v>
      </c>
      <c r="P155" s="60">
        <f>IF(D155&gt;0,ROUND((N155/D155)*100,0),0)</f>
        <v>0</v>
      </c>
      <c r="Q155" s="58">
        <f>K155-N155</f>
        <v>0</v>
      </c>
      <c r="R155" s="58">
        <f>Q155*E155</f>
        <v>0</v>
      </c>
      <c r="S155" s="58"/>
      <c r="T155" s="58"/>
      <c r="U155" s="61">
        <f t="shared" si="35"/>
        <v>0</v>
      </c>
    </row>
    <row r="156" spans="1:21" ht="18" customHeight="1">
      <c r="A156" s="49">
        <f>SUBTOTAL(103,$B$9:B156)</f>
        <v>44</v>
      </c>
      <c r="B156" s="76" t="s">
        <v>183</v>
      </c>
      <c r="C156" s="51" t="s">
        <v>56</v>
      </c>
      <c r="D156" s="77">
        <v>1450</v>
      </c>
      <c r="E156" s="53">
        <v>0</v>
      </c>
      <c r="F156" s="64"/>
      <c r="G156" s="55">
        <f t="shared" si="29"/>
        <v>0</v>
      </c>
      <c r="H156" s="56"/>
      <c r="I156" s="78"/>
      <c r="J156" s="57">
        <f>192+64+64+128+96+96+320+128+128+176+16+42</f>
        <v>1450</v>
      </c>
      <c r="K156" s="58">
        <f t="shared" si="30"/>
        <v>1450</v>
      </c>
      <c r="L156" s="59">
        <f t="shared" si="31"/>
        <v>100</v>
      </c>
      <c r="M156" s="57"/>
      <c r="N156" s="78">
        <f>192+64+64+128+96+96+320+128+128+176+16+42</f>
        <v>1450</v>
      </c>
      <c r="O156" s="58">
        <f t="shared" si="32"/>
        <v>0</v>
      </c>
      <c r="P156" s="60">
        <f t="shared" si="33"/>
        <v>100</v>
      </c>
      <c r="Q156" s="79">
        <f t="shared" si="34"/>
        <v>0</v>
      </c>
      <c r="R156" s="58">
        <f t="shared" si="28"/>
        <v>0</v>
      </c>
      <c r="S156" s="58"/>
      <c r="T156" s="58"/>
      <c r="U156" s="61">
        <f t="shared" si="35"/>
        <v>0</v>
      </c>
    </row>
    <row r="157" spans="1:21" ht="18" customHeight="1">
      <c r="A157" s="49">
        <f>SUBTOTAL(103,$B$9:B157)</f>
        <v>45</v>
      </c>
      <c r="B157" s="76" t="s">
        <v>184</v>
      </c>
      <c r="C157" s="51" t="s">
        <v>56</v>
      </c>
      <c r="D157" s="77">
        <v>0</v>
      </c>
      <c r="E157" s="53">
        <v>0</v>
      </c>
      <c r="F157" s="64"/>
      <c r="G157" s="55">
        <f t="shared" si="29"/>
        <v>0</v>
      </c>
      <c r="H157" s="56"/>
      <c r="I157" s="78">
        <v>64</v>
      </c>
      <c r="J157" s="57">
        <f>144+64</f>
        <v>208</v>
      </c>
      <c r="K157" s="58">
        <f t="shared" si="30"/>
        <v>208</v>
      </c>
      <c r="L157" s="59">
        <f t="shared" si="31"/>
        <v>0</v>
      </c>
      <c r="M157" s="57">
        <v>64</v>
      </c>
      <c r="N157" s="78">
        <f>144+64</f>
        <v>208</v>
      </c>
      <c r="O157" s="58">
        <f t="shared" si="32"/>
        <v>0</v>
      </c>
      <c r="P157" s="60">
        <f t="shared" si="33"/>
        <v>0</v>
      </c>
      <c r="Q157" s="79">
        <f t="shared" si="34"/>
        <v>0</v>
      </c>
      <c r="R157" s="58">
        <f t="shared" si="28"/>
        <v>0</v>
      </c>
      <c r="S157" s="58"/>
      <c r="T157" s="58"/>
      <c r="U157" s="61">
        <f t="shared" si="35"/>
        <v>-208</v>
      </c>
    </row>
    <row r="158" spans="1:21" ht="18" hidden="1" customHeight="1">
      <c r="A158" s="49">
        <f>SUBTOTAL(103,$B$9:B158)</f>
        <v>45</v>
      </c>
      <c r="B158" s="62" t="s">
        <v>185</v>
      </c>
      <c r="C158" s="51" t="s">
        <v>56</v>
      </c>
      <c r="D158" s="63"/>
      <c r="E158" s="53">
        <v>0</v>
      </c>
      <c r="F158" s="64"/>
      <c r="G158" s="55">
        <f t="shared" si="29"/>
        <v>0</v>
      </c>
      <c r="H158" s="56"/>
      <c r="I158" s="57"/>
      <c r="J158" s="57"/>
      <c r="K158" s="58">
        <f t="shared" si="30"/>
        <v>0</v>
      </c>
      <c r="L158" s="59">
        <f t="shared" si="31"/>
        <v>0</v>
      </c>
      <c r="M158" s="57"/>
      <c r="N158" s="57"/>
      <c r="O158" s="58">
        <f t="shared" si="32"/>
        <v>0</v>
      </c>
      <c r="P158" s="60">
        <f t="shared" si="33"/>
        <v>0</v>
      </c>
      <c r="Q158" s="58">
        <f t="shared" si="34"/>
        <v>0</v>
      </c>
      <c r="R158" s="58">
        <f t="shared" si="28"/>
        <v>0</v>
      </c>
      <c r="S158" s="58"/>
      <c r="T158" s="58"/>
      <c r="U158" s="61">
        <f t="shared" si="35"/>
        <v>0</v>
      </c>
    </row>
    <row r="159" spans="1:21" ht="18" hidden="1" customHeight="1">
      <c r="A159" s="49">
        <f>SUBTOTAL(103,$B$9:B159)</f>
        <v>45</v>
      </c>
      <c r="B159" s="62" t="s">
        <v>186</v>
      </c>
      <c r="C159" s="51" t="s">
        <v>56</v>
      </c>
      <c r="D159" s="63"/>
      <c r="E159" s="53">
        <v>0</v>
      </c>
      <c r="F159" s="64"/>
      <c r="G159" s="55">
        <f t="shared" si="29"/>
        <v>0</v>
      </c>
      <c r="H159" s="56"/>
      <c r="I159" s="57"/>
      <c r="J159" s="57"/>
      <c r="K159" s="58">
        <f t="shared" si="30"/>
        <v>0</v>
      </c>
      <c r="L159" s="59">
        <f t="shared" si="31"/>
        <v>0</v>
      </c>
      <c r="M159" s="57"/>
      <c r="N159" s="57"/>
      <c r="O159" s="58">
        <f t="shared" si="32"/>
        <v>0</v>
      </c>
      <c r="P159" s="60">
        <f t="shared" si="33"/>
        <v>0</v>
      </c>
      <c r="Q159" s="58">
        <f t="shared" si="34"/>
        <v>0</v>
      </c>
      <c r="R159" s="58">
        <f t="shared" si="28"/>
        <v>0</v>
      </c>
      <c r="S159" s="58"/>
      <c r="T159" s="58"/>
      <c r="U159" s="61">
        <f t="shared" si="35"/>
        <v>0</v>
      </c>
    </row>
    <row r="160" spans="1:21" ht="18" customHeight="1">
      <c r="A160" s="49">
        <f>SUBTOTAL(103,$B$9:B160)</f>
        <v>46</v>
      </c>
      <c r="B160" s="62" t="s">
        <v>187</v>
      </c>
      <c r="C160" s="51" t="s">
        <v>56</v>
      </c>
      <c r="D160" s="77">
        <v>150</v>
      </c>
      <c r="E160" s="53">
        <v>0</v>
      </c>
      <c r="F160" s="64"/>
      <c r="G160" s="55">
        <f t="shared" si="29"/>
        <v>0</v>
      </c>
      <c r="H160" s="56"/>
      <c r="I160" s="78"/>
      <c r="J160" s="57">
        <f>64+86</f>
        <v>150</v>
      </c>
      <c r="K160" s="58">
        <f t="shared" si="30"/>
        <v>150</v>
      </c>
      <c r="L160" s="59">
        <f t="shared" si="31"/>
        <v>100</v>
      </c>
      <c r="M160" s="57"/>
      <c r="N160" s="57">
        <f>64+86</f>
        <v>150</v>
      </c>
      <c r="O160" s="58">
        <f t="shared" si="32"/>
        <v>0</v>
      </c>
      <c r="P160" s="60">
        <f t="shared" si="33"/>
        <v>100</v>
      </c>
      <c r="Q160" s="58">
        <f t="shared" si="34"/>
        <v>0</v>
      </c>
      <c r="R160" s="58">
        <f t="shared" si="28"/>
        <v>0</v>
      </c>
      <c r="S160" s="58"/>
      <c r="T160" s="58"/>
      <c r="U160" s="61">
        <f t="shared" si="35"/>
        <v>0</v>
      </c>
    </row>
    <row r="161" spans="1:21" ht="18" customHeight="1">
      <c r="A161" s="49">
        <f>SUBTOTAL(103,$B$9:B161)</f>
        <v>47</v>
      </c>
      <c r="B161" s="76" t="s">
        <v>188</v>
      </c>
      <c r="C161" s="51" t="s">
        <v>56</v>
      </c>
      <c r="D161" s="77">
        <f>750+39</f>
        <v>789</v>
      </c>
      <c r="E161" s="53">
        <v>0</v>
      </c>
      <c r="F161" s="64"/>
      <c r="G161" s="55">
        <f t="shared" si="29"/>
        <v>0</v>
      </c>
      <c r="H161" s="56"/>
      <c r="I161" s="78"/>
      <c r="J161" s="57">
        <f>192+192+256+80+32+37</f>
        <v>789</v>
      </c>
      <c r="K161" s="58">
        <f t="shared" si="30"/>
        <v>789</v>
      </c>
      <c r="L161" s="59">
        <f t="shared" si="31"/>
        <v>100</v>
      </c>
      <c r="M161" s="57"/>
      <c r="N161" s="78">
        <f>192+192+256+80+32+37</f>
        <v>789</v>
      </c>
      <c r="O161" s="58">
        <f t="shared" si="32"/>
        <v>0</v>
      </c>
      <c r="P161" s="60">
        <f t="shared" si="33"/>
        <v>100</v>
      </c>
      <c r="Q161" s="79">
        <f t="shared" si="34"/>
        <v>0</v>
      </c>
      <c r="R161" s="58">
        <f t="shared" si="28"/>
        <v>0</v>
      </c>
      <c r="S161" s="58"/>
      <c r="T161" s="58"/>
      <c r="U161" s="61">
        <f t="shared" si="35"/>
        <v>0</v>
      </c>
    </row>
    <row r="162" spans="1:21" ht="18" customHeight="1">
      <c r="A162" s="49">
        <f>SUBTOTAL(103,$B$9:B162)</f>
        <v>48</v>
      </c>
      <c r="B162" s="76" t="s">
        <v>189</v>
      </c>
      <c r="C162" s="51" t="s">
        <v>56</v>
      </c>
      <c r="D162" s="77">
        <v>0</v>
      </c>
      <c r="E162" s="53">
        <v>0</v>
      </c>
      <c r="F162" s="64"/>
      <c r="G162" s="55">
        <f t="shared" si="29"/>
        <v>0</v>
      </c>
      <c r="H162" s="56"/>
      <c r="I162" s="78"/>
      <c r="J162" s="57">
        <f>128</f>
        <v>128</v>
      </c>
      <c r="K162" s="58">
        <f t="shared" si="30"/>
        <v>128</v>
      </c>
      <c r="L162" s="59">
        <f t="shared" si="31"/>
        <v>0</v>
      </c>
      <c r="M162" s="57"/>
      <c r="N162" s="78">
        <f>128</f>
        <v>128</v>
      </c>
      <c r="O162" s="58">
        <f t="shared" si="32"/>
        <v>0</v>
      </c>
      <c r="P162" s="60">
        <f t="shared" si="33"/>
        <v>0</v>
      </c>
      <c r="Q162" s="79">
        <f t="shared" si="34"/>
        <v>0</v>
      </c>
      <c r="R162" s="58">
        <f t="shared" si="28"/>
        <v>0</v>
      </c>
      <c r="S162" s="58"/>
      <c r="T162" s="58"/>
      <c r="U162" s="61">
        <f t="shared" si="35"/>
        <v>-128</v>
      </c>
    </row>
    <row r="163" spans="1:21" ht="18" customHeight="1">
      <c r="A163" s="49">
        <f>SUBTOTAL(103,$B$9:B163)</f>
        <v>49</v>
      </c>
      <c r="B163" s="62" t="s">
        <v>190</v>
      </c>
      <c r="C163" s="51" t="s">
        <v>56</v>
      </c>
      <c r="D163" s="63">
        <v>0</v>
      </c>
      <c r="E163" s="53">
        <v>0</v>
      </c>
      <c r="F163" s="64"/>
      <c r="G163" s="55">
        <f t="shared" si="29"/>
        <v>0</v>
      </c>
      <c r="H163" s="56"/>
      <c r="I163" s="57">
        <v>576</v>
      </c>
      <c r="J163" s="57">
        <f>112+576</f>
        <v>688</v>
      </c>
      <c r="K163" s="58">
        <f t="shared" si="30"/>
        <v>688</v>
      </c>
      <c r="L163" s="59">
        <f t="shared" si="31"/>
        <v>0</v>
      </c>
      <c r="M163" s="57">
        <v>576</v>
      </c>
      <c r="N163" s="57">
        <f>112+576</f>
        <v>688</v>
      </c>
      <c r="O163" s="58">
        <f t="shared" si="32"/>
        <v>0</v>
      </c>
      <c r="P163" s="60">
        <f t="shared" si="33"/>
        <v>0</v>
      </c>
      <c r="Q163" s="58">
        <f t="shared" si="34"/>
        <v>0</v>
      </c>
      <c r="R163" s="58">
        <f t="shared" si="28"/>
        <v>0</v>
      </c>
      <c r="S163" s="58"/>
      <c r="T163" s="58"/>
      <c r="U163" s="61">
        <f t="shared" si="35"/>
        <v>-688</v>
      </c>
    </row>
    <row r="164" spans="1:21" ht="18" customHeight="1">
      <c r="A164" s="49">
        <f>SUBTOTAL(103,$B$9:B164)</f>
        <v>50</v>
      </c>
      <c r="B164" s="62" t="s">
        <v>191</v>
      </c>
      <c r="C164" s="51" t="s">
        <v>56</v>
      </c>
      <c r="D164" s="63">
        <v>0</v>
      </c>
      <c r="E164" s="53">
        <v>0</v>
      </c>
      <c r="F164" s="64"/>
      <c r="G164" s="55">
        <f t="shared" si="29"/>
        <v>0</v>
      </c>
      <c r="H164" s="56"/>
      <c r="I164" s="57">
        <v>80</v>
      </c>
      <c r="J164" s="57">
        <v>80</v>
      </c>
      <c r="K164" s="58">
        <f t="shared" si="30"/>
        <v>80</v>
      </c>
      <c r="L164" s="59">
        <f t="shared" si="31"/>
        <v>0</v>
      </c>
      <c r="M164" s="57">
        <v>80</v>
      </c>
      <c r="N164" s="57">
        <f>80</f>
        <v>80</v>
      </c>
      <c r="O164" s="58">
        <f t="shared" si="32"/>
        <v>0</v>
      </c>
      <c r="P164" s="60">
        <f t="shared" si="33"/>
        <v>0</v>
      </c>
      <c r="Q164" s="58">
        <f t="shared" si="34"/>
        <v>0</v>
      </c>
      <c r="R164" s="58">
        <f t="shared" si="28"/>
        <v>0</v>
      </c>
      <c r="S164" s="58"/>
      <c r="T164" s="58"/>
      <c r="U164" s="61">
        <f t="shared" si="35"/>
        <v>-80</v>
      </c>
    </row>
    <row r="165" spans="1:21" ht="18" hidden="1" customHeight="1">
      <c r="A165" s="49">
        <f>SUBTOTAL(103,$B$9:B165)</f>
        <v>50</v>
      </c>
      <c r="B165" s="62" t="s">
        <v>192</v>
      </c>
      <c r="C165" s="51" t="s">
        <v>56</v>
      </c>
      <c r="D165" s="63"/>
      <c r="E165" s="53">
        <v>0</v>
      </c>
      <c r="F165" s="64"/>
      <c r="G165" s="55">
        <f t="shared" si="29"/>
        <v>0</v>
      </c>
      <c r="H165" s="56"/>
      <c r="I165" s="57"/>
      <c r="J165" s="57"/>
      <c r="K165" s="58">
        <f t="shared" si="30"/>
        <v>0</v>
      </c>
      <c r="L165" s="59">
        <f t="shared" si="31"/>
        <v>0</v>
      </c>
      <c r="M165" s="57"/>
      <c r="N165" s="57"/>
      <c r="O165" s="58">
        <f t="shared" si="32"/>
        <v>0</v>
      </c>
      <c r="P165" s="60">
        <f t="shared" si="33"/>
        <v>0</v>
      </c>
      <c r="Q165" s="58">
        <f t="shared" si="34"/>
        <v>0</v>
      </c>
      <c r="R165" s="58">
        <f t="shared" si="28"/>
        <v>0</v>
      </c>
      <c r="S165" s="58"/>
      <c r="T165" s="58"/>
      <c r="U165" s="61">
        <f t="shared" si="35"/>
        <v>0</v>
      </c>
    </row>
    <row r="166" spans="1:21" ht="18" hidden="1" customHeight="1">
      <c r="A166" s="49">
        <f>SUBTOTAL(103,$B$9:B166)</f>
        <v>50</v>
      </c>
      <c r="B166" s="62" t="s">
        <v>193</v>
      </c>
      <c r="C166" s="51" t="s">
        <v>56</v>
      </c>
      <c r="D166" s="63"/>
      <c r="E166" s="53">
        <v>0</v>
      </c>
      <c r="F166" s="64"/>
      <c r="G166" s="55">
        <f t="shared" si="29"/>
        <v>0</v>
      </c>
      <c r="H166" s="56"/>
      <c r="I166" s="57"/>
      <c r="J166" s="57"/>
      <c r="K166" s="58">
        <f t="shared" si="30"/>
        <v>0</v>
      </c>
      <c r="L166" s="59">
        <f t="shared" si="31"/>
        <v>0</v>
      </c>
      <c r="M166" s="57"/>
      <c r="N166" s="57"/>
      <c r="O166" s="58">
        <f t="shared" si="32"/>
        <v>0</v>
      </c>
      <c r="P166" s="60">
        <f t="shared" si="33"/>
        <v>0</v>
      </c>
      <c r="Q166" s="58">
        <f t="shared" si="34"/>
        <v>0</v>
      </c>
      <c r="R166" s="58">
        <f t="shared" si="28"/>
        <v>0</v>
      </c>
      <c r="S166" s="58"/>
      <c r="T166" s="58"/>
      <c r="U166" s="61">
        <f t="shared" si="35"/>
        <v>0</v>
      </c>
    </row>
    <row r="167" spans="1:21" ht="18" customHeight="1">
      <c r="A167" s="49">
        <f>SUBTOTAL(103,$B$9:B167)</f>
        <v>51</v>
      </c>
      <c r="B167" s="62" t="s">
        <v>194</v>
      </c>
      <c r="C167" s="51" t="s">
        <v>56</v>
      </c>
      <c r="D167" s="77">
        <v>65</v>
      </c>
      <c r="E167" s="53">
        <v>0</v>
      </c>
      <c r="F167" s="64"/>
      <c r="G167" s="55">
        <f t="shared" si="29"/>
        <v>0</v>
      </c>
      <c r="H167" s="56"/>
      <c r="I167" s="78"/>
      <c r="J167" s="57">
        <f>65</f>
        <v>65</v>
      </c>
      <c r="K167" s="58">
        <f t="shared" si="30"/>
        <v>65</v>
      </c>
      <c r="L167" s="59">
        <f t="shared" si="31"/>
        <v>100</v>
      </c>
      <c r="M167" s="57"/>
      <c r="N167" s="57">
        <f>65</f>
        <v>65</v>
      </c>
      <c r="O167" s="58">
        <f t="shared" si="32"/>
        <v>0</v>
      </c>
      <c r="P167" s="60">
        <f t="shared" si="33"/>
        <v>100</v>
      </c>
      <c r="Q167" s="58">
        <f t="shared" si="34"/>
        <v>0</v>
      </c>
      <c r="R167" s="58">
        <f t="shared" si="28"/>
        <v>0</v>
      </c>
      <c r="S167" s="58"/>
      <c r="T167" s="58"/>
      <c r="U167" s="61">
        <f t="shared" si="35"/>
        <v>0</v>
      </c>
    </row>
    <row r="168" spans="1:21" ht="18" customHeight="1">
      <c r="A168" s="49">
        <f>SUBTOTAL(103,$B$9:B168)</f>
        <v>52</v>
      </c>
      <c r="B168" s="62" t="s">
        <v>195</v>
      </c>
      <c r="C168" s="51" t="s">
        <v>56</v>
      </c>
      <c r="D168" s="63">
        <v>1</v>
      </c>
      <c r="E168" s="53">
        <v>0</v>
      </c>
      <c r="F168" s="64"/>
      <c r="G168" s="55">
        <f t="shared" si="29"/>
        <v>0</v>
      </c>
      <c r="H168" s="56"/>
      <c r="I168" s="57"/>
      <c r="J168" s="57">
        <v>1</v>
      </c>
      <c r="K168" s="58">
        <f t="shared" si="30"/>
        <v>1</v>
      </c>
      <c r="L168" s="59">
        <f t="shared" si="31"/>
        <v>100</v>
      </c>
      <c r="M168" s="57"/>
      <c r="N168" s="57">
        <v>1</v>
      </c>
      <c r="O168" s="58">
        <f t="shared" si="32"/>
        <v>0</v>
      </c>
      <c r="P168" s="60">
        <f t="shared" si="33"/>
        <v>100</v>
      </c>
      <c r="Q168" s="58">
        <f t="shared" si="34"/>
        <v>0</v>
      </c>
      <c r="R168" s="58">
        <f t="shared" si="28"/>
        <v>0</v>
      </c>
      <c r="S168" s="58"/>
      <c r="T168" s="58"/>
      <c r="U168" s="61">
        <f t="shared" si="35"/>
        <v>0</v>
      </c>
    </row>
    <row r="169" spans="1:21" ht="18" hidden="1" customHeight="1">
      <c r="A169" s="49">
        <f>SUBTOTAL(103,$B$9:B169)</f>
        <v>52</v>
      </c>
      <c r="B169" s="62" t="s">
        <v>196</v>
      </c>
      <c r="C169" s="51" t="s">
        <v>56</v>
      </c>
      <c r="D169" s="63"/>
      <c r="E169" s="53">
        <v>0</v>
      </c>
      <c r="F169" s="64"/>
      <c r="G169" s="55">
        <f t="shared" si="29"/>
        <v>0</v>
      </c>
      <c r="H169" s="56"/>
      <c r="I169" s="57"/>
      <c r="J169" s="57"/>
      <c r="K169" s="58">
        <f t="shared" si="30"/>
        <v>0</v>
      </c>
      <c r="L169" s="59">
        <f t="shared" si="31"/>
        <v>0</v>
      </c>
      <c r="M169" s="57"/>
      <c r="N169" s="57"/>
      <c r="O169" s="58">
        <f t="shared" si="32"/>
        <v>0</v>
      </c>
      <c r="P169" s="60">
        <f t="shared" si="33"/>
        <v>0</v>
      </c>
      <c r="Q169" s="58">
        <f t="shared" si="34"/>
        <v>0</v>
      </c>
      <c r="R169" s="58">
        <f t="shared" ref="R169:R242" si="36">Q169*E169</f>
        <v>0</v>
      </c>
      <c r="S169" s="58"/>
      <c r="T169" s="58"/>
      <c r="U169" s="61">
        <f t="shared" si="35"/>
        <v>0</v>
      </c>
    </row>
    <row r="170" spans="1:21" ht="18" hidden="1" customHeight="1">
      <c r="A170" s="49">
        <f>SUBTOTAL(103,$B$9:B170)</f>
        <v>52</v>
      </c>
      <c r="B170" s="62" t="s">
        <v>197</v>
      </c>
      <c r="C170" s="51" t="s">
        <v>56</v>
      </c>
      <c r="D170" s="63"/>
      <c r="E170" s="53">
        <v>0</v>
      </c>
      <c r="F170" s="64"/>
      <c r="G170" s="55">
        <f t="shared" si="29"/>
        <v>0</v>
      </c>
      <c r="H170" s="56"/>
      <c r="I170" s="57"/>
      <c r="J170" s="57"/>
      <c r="K170" s="58">
        <f t="shared" si="30"/>
        <v>0</v>
      </c>
      <c r="L170" s="59">
        <f t="shared" si="31"/>
        <v>0</v>
      </c>
      <c r="M170" s="57"/>
      <c r="N170" s="57"/>
      <c r="O170" s="58">
        <f t="shared" si="32"/>
        <v>0</v>
      </c>
      <c r="P170" s="60">
        <f t="shared" si="33"/>
        <v>0</v>
      </c>
      <c r="Q170" s="58">
        <f t="shared" si="34"/>
        <v>0</v>
      </c>
      <c r="R170" s="58">
        <f t="shared" si="36"/>
        <v>0</v>
      </c>
      <c r="S170" s="58"/>
      <c r="T170" s="58"/>
      <c r="U170" s="61">
        <f t="shared" si="35"/>
        <v>0</v>
      </c>
    </row>
    <row r="171" spans="1:21" ht="18" hidden="1" customHeight="1">
      <c r="A171" s="49">
        <f>SUBTOTAL(103,$B$9:B171)</f>
        <v>52</v>
      </c>
      <c r="B171" s="62" t="s">
        <v>198</v>
      </c>
      <c r="C171" s="51" t="s">
        <v>56</v>
      </c>
      <c r="D171" s="63"/>
      <c r="E171" s="53">
        <v>0</v>
      </c>
      <c r="F171" s="64"/>
      <c r="G171" s="55">
        <f t="shared" si="29"/>
        <v>0</v>
      </c>
      <c r="H171" s="56"/>
      <c r="I171" s="57"/>
      <c r="J171" s="57"/>
      <c r="K171" s="58">
        <f t="shared" si="30"/>
        <v>0</v>
      </c>
      <c r="L171" s="59">
        <f t="shared" si="31"/>
        <v>0</v>
      </c>
      <c r="M171" s="57"/>
      <c r="N171" s="57"/>
      <c r="O171" s="58">
        <f t="shared" si="32"/>
        <v>0</v>
      </c>
      <c r="P171" s="60">
        <f t="shared" si="33"/>
        <v>0</v>
      </c>
      <c r="Q171" s="58">
        <f t="shared" si="34"/>
        <v>0</v>
      </c>
      <c r="R171" s="58">
        <f t="shared" si="36"/>
        <v>0</v>
      </c>
      <c r="S171" s="58"/>
      <c r="T171" s="58"/>
      <c r="U171" s="61">
        <f t="shared" si="35"/>
        <v>0</v>
      </c>
    </row>
    <row r="172" spans="1:21" ht="18" hidden="1" customHeight="1">
      <c r="A172" s="49">
        <f>SUBTOTAL(103,$B$9:B172)</f>
        <v>52</v>
      </c>
      <c r="B172" s="62" t="s">
        <v>199</v>
      </c>
      <c r="C172" s="51" t="s">
        <v>56</v>
      </c>
      <c r="D172" s="63"/>
      <c r="E172" s="53">
        <v>0</v>
      </c>
      <c r="F172" s="64"/>
      <c r="G172" s="55">
        <f t="shared" si="29"/>
        <v>0</v>
      </c>
      <c r="H172" s="56"/>
      <c r="I172" s="57"/>
      <c r="J172" s="57"/>
      <c r="K172" s="58">
        <f t="shared" si="30"/>
        <v>0</v>
      </c>
      <c r="L172" s="59">
        <f t="shared" si="31"/>
        <v>0</v>
      </c>
      <c r="M172" s="57"/>
      <c r="N172" s="57"/>
      <c r="O172" s="58">
        <f t="shared" si="32"/>
        <v>0</v>
      </c>
      <c r="P172" s="60">
        <f t="shared" si="33"/>
        <v>0</v>
      </c>
      <c r="Q172" s="58">
        <f t="shared" si="34"/>
        <v>0</v>
      </c>
      <c r="R172" s="58">
        <f t="shared" si="36"/>
        <v>0</v>
      </c>
      <c r="S172" s="58"/>
      <c r="T172" s="58"/>
      <c r="U172" s="61">
        <f t="shared" si="35"/>
        <v>0</v>
      </c>
    </row>
    <row r="173" spans="1:21" ht="18" hidden="1" customHeight="1">
      <c r="A173" s="49">
        <f>SUBTOTAL(103,$B$9:B173)</f>
        <v>52</v>
      </c>
      <c r="B173" s="62" t="s">
        <v>200</v>
      </c>
      <c r="C173" s="51" t="s">
        <v>56</v>
      </c>
      <c r="D173" s="63"/>
      <c r="E173" s="53">
        <v>0</v>
      </c>
      <c r="F173" s="64"/>
      <c r="G173" s="55">
        <f t="shared" si="29"/>
        <v>0</v>
      </c>
      <c r="H173" s="56"/>
      <c r="I173" s="57"/>
      <c r="J173" s="57"/>
      <c r="K173" s="58">
        <f t="shared" si="30"/>
        <v>0</v>
      </c>
      <c r="L173" s="59">
        <f t="shared" si="31"/>
        <v>0</v>
      </c>
      <c r="M173" s="57"/>
      <c r="N173" s="57"/>
      <c r="O173" s="58">
        <f t="shared" si="32"/>
        <v>0</v>
      </c>
      <c r="P173" s="60">
        <f t="shared" si="33"/>
        <v>0</v>
      </c>
      <c r="Q173" s="58">
        <f t="shared" si="34"/>
        <v>0</v>
      </c>
      <c r="R173" s="58">
        <f t="shared" si="36"/>
        <v>0</v>
      </c>
      <c r="S173" s="58"/>
      <c r="T173" s="58"/>
      <c r="U173" s="61">
        <f t="shared" si="35"/>
        <v>0</v>
      </c>
    </row>
    <row r="174" spans="1:21" ht="18" hidden="1" customHeight="1">
      <c r="A174" s="49">
        <f>SUBTOTAL(103,$B$9:B174)</f>
        <v>52</v>
      </c>
      <c r="B174" s="62" t="s">
        <v>201</v>
      </c>
      <c r="C174" s="51" t="s">
        <v>56</v>
      </c>
      <c r="D174" s="63"/>
      <c r="E174" s="53">
        <v>0</v>
      </c>
      <c r="F174" s="64"/>
      <c r="G174" s="55">
        <f t="shared" si="29"/>
        <v>0</v>
      </c>
      <c r="H174" s="56"/>
      <c r="I174" s="57"/>
      <c r="J174" s="57"/>
      <c r="K174" s="58">
        <f t="shared" si="30"/>
        <v>0</v>
      </c>
      <c r="L174" s="59">
        <f t="shared" si="31"/>
        <v>0</v>
      </c>
      <c r="M174" s="57"/>
      <c r="N174" s="57"/>
      <c r="O174" s="58">
        <f t="shared" si="32"/>
        <v>0</v>
      </c>
      <c r="P174" s="60">
        <f t="shared" si="33"/>
        <v>0</v>
      </c>
      <c r="Q174" s="58">
        <f t="shared" si="34"/>
        <v>0</v>
      </c>
      <c r="R174" s="58">
        <f t="shared" si="36"/>
        <v>0</v>
      </c>
      <c r="S174" s="58"/>
      <c r="T174" s="58"/>
      <c r="U174" s="61">
        <f t="shared" si="35"/>
        <v>0</v>
      </c>
    </row>
    <row r="175" spans="1:21" ht="18" hidden="1" customHeight="1">
      <c r="A175" s="49">
        <f>SUBTOTAL(103,$B$9:B175)</f>
        <v>52</v>
      </c>
      <c r="B175" s="62" t="s">
        <v>202</v>
      </c>
      <c r="C175" s="51" t="s">
        <v>56</v>
      </c>
      <c r="D175" s="63"/>
      <c r="E175" s="53">
        <v>0</v>
      </c>
      <c r="F175" s="64"/>
      <c r="G175" s="55">
        <f t="shared" si="29"/>
        <v>0</v>
      </c>
      <c r="H175" s="56"/>
      <c r="I175" s="57"/>
      <c r="J175" s="57"/>
      <c r="K175" s="58">
        <f t="shared" si="30"/>
        <v>0</v>
      </c>
      <c r="L175" s="59">
        <f t="shared" si="31"/>
        <v>0</v>
      </c>
      <c r="M175" s="57"/>
      <c r="N175" s="57"/>
      <c r="O175" s="58">
        <f t="shared" si="32"/>
        <v>0</v>
      </c>
      <c r="P175" s="60">
        <f t="shared" si="33"/>
        <v>0</v>
      </c>
      <c r="Q175" s="58">
        <f t="shared" si="34"/>
        <v>0</v>
      </c>
      <c r="R175" s="58">
        <f t="shared" si="36"/>
        <v>0</v>
      </c>
      <c r="S175" s="58"/>
      <c r="T175" s="58"/>
      <c r="U175" s="61">
        <f t="shared" si="35"/>
        <v>0</v>
      </c>
    </row>
    <row r="176" spans="1:21" ht="18" hidden="1" customHeight="1">
      <c r="A176" s="49">
        <f>SUBTOTAL(103,$B$9:B176)</f>
        <v>52</v>
      </c>
      <c r="B176" s="62" t="s">
        <v>203</v>
      </c>
      <c r="C176" s="51" t="s">
        <v>56</v>
      </c>
      <c r="D176" s="63"/>
      <c r="E176" s="53">
        <v>0</v>
      </c>
      <c r="F176" s="64"/>
      <c r="G176" s="55">
        <f t="shared" si="29"/>
        <v>0</v>
      </c>
      <c r="H176" s="56"/>
      <c r="I176" s="57"/>
      <c r="J176" s="57"/>
      <c r="K176" s="58">
        <f t="shared" si="30"/>
        <v>0</v>
      </c>
      <c r="L176" s="59">
        <f t="shared" si="31"/>
        <v>0</v>
      </c>
      <c r="M176" s="57"/>
      <c r="N176" s="57"/>
      <c r="O176" s="58">
        <f t="shared" si="32"/>
        <v>0</v>
      </c>
      <c r="P176" s="60">
        <f t="shared" si="33"/>
        <v>0</v>
      </c>
      <c r="Q176" s="58">
        <f t="shared" si="34"/>
        <v>0</v>
      </c>
      <c r="R176" s="58">
        <f t="shared" si="36"/>
        <v>0</v>
      </c>
      <c r="S176" s="58"/>
      <c r="T176" s="58"/>
      <c r="U176" s="61">
        <f t="shared" si="35"/>
        <v>0</v>
      </c>
    </row>
    <row r="177" spans="1:21" ht="18" customHeight="1">
      <c r="A177" s="49">
        <f>SUBTOTAL(103,$B$9:B177)</f>
        <v>53</v>
      </c>
      <c r="B177" s="62" t="s">
        <v>204</v>
      </c>
      <c r="C177" s="51" t="s">
        <v>56</v>
      </c>
      <c r="D177" s="77">
        <v>60</v>
      </c>
      <c r="E177" s="53">
        <v>0</v>
      </c>
      <c r="F177" s="64"/>
      <c r="G177" s="55">
        <f t="shared" si="29"/>
        <v>0</v>
      </c>
      <c r="H177" s="56"/>
      <c r="I177" s="78"/>
      <c r="J177" s="57">
        <f>50+10</f>
        <v>60</v>
      </c>
      <c r="K177" s="58">
        <f t="shared" si="30"/>
        <v>60</v>
      </c>
      <c r="L177" s="59">
        <f t="shared" si="31"/>
        <v>100</v>
      </c>
      <c r="M177" s="57"/>
      <c r="N177" s="57">
        <f>50+10</f>
        <v>60</v>
      </c>
      <c r="O177" s="58">
        <f t="shared" si="32"/>
        <v>0</v>
      </c>
      <c r="P177" s="60">
        <f t="shared" si="33"/>
        <v>100</v>
      </c>
      <c r="Q177" s="58">
        <f t="shared" si="34"/>
        <v>0</v>
      </c>
      <c r="R177" s="58">
        <f t="shared" si="36"/>
        <v>0</v>
      </c>
      <c r="S177" s="58"/>
      <c r="T177" s="58"/>
      <c r="U177" s="61">
        <f t="shared" si="35"/>
        <v>0</v>
      </c>
    </row>
    <row r="178" spans="1:21" ht="33" customHeight="1">
      <c r="A178" s="49">
        <f>SUBTOTAL(103,$B$9:B178)</f>
        <v>54</v>
      </c>
      <c r="B178" s="50" t="s">
        <v>205</v>
      </c>
      <c r="C178" s="51" t="s">
        <v>56</v>
      </c>
      <c r="D178" s="77">
        <v>3</v>
      </c>
      <c r="E178" s="53">
        <v>0</v>
      </c>
      <c r="F178" s="64"/>
      <c r="G178" s="55">
        <f t="shared" si="29"/>
        <v>0</v>
      </c>
      <c r="H178" s="56"/>
      <c r="I178" s="78"/>
      <c r="J178" s="57">
        <v>3</v>
      </c>
      <c r="K178" s="58">
        <f t="shared" si="30"/>
        <v>3</v>
      </c>
      <c r="L178" s="59">
        <f t="shared" si="31"/>
        <v>100</v>
      </c>
      <c r="M178" s="57"/>
      <c r="N178" s="57">
        <v>3</v>
      </c>
      <c r="O178" s="58">
        <f t="shared" si="32"/>
        <v>0</v>
      </c>
      <c r="P178" s="60">
        <f t="shared" si="33"/>
        <v>100</v>
      </c>
      <c r="Q178" s="58">
        <f t="shared" si="34"/>
        <v>0</v>
      </c>
      <c r="R178" s="58">
        <f t="shared" si="36"/>
        <v>0</v>
      </c>
      <c r="S178" s="58"/>
      <c r="T178" s="58"/>
      <c r="U178" s="61">
        <f t="shared" si="35"/>
        <v>0</v>
      </c>
    </row>
    <row r="179" spans="1:21" ht="18" hidden="1" customHeight="1">
      <c r="A179" s="49">
        <f>SUBTOTAL(103,$B$9:B179)</f>
        <v>54</v>
      </c>
      <c r="B179" s="62" t="s">
        <v>206</v>
      </c>
      <c r="C179" s="51" t="s">
        <v>56</v>
      </c>
      <c r="D179" s="63"/>
      <c r="E179" s="53">
        <v>0</v>
      </c>
      <c r="F179" s="64"/>
      <c r="G179" s="55">
        <f t="shared" si="29"/>
        <v>0</v>
      </c>
      <c r="H179" s="56"/>
      <c r="I179" s="57"/>
      <c r="J179" s="57"/>
      <c r="K179" s="58">
        <f t="shared" si="30"/>
        <v>0</v>
      </c>
      <c r="L179" s="59">
        <f t="shared" si="31"/>
        <v>0</v>
      </c>
      <c r="M179" s="57"/>
      <c r="N179" s="57"/>
      <c r="O179" s="58">
        <f t="shared" si="32"/>
        <v>0</v>
      </c>
      <c r="P179" s="60">
        <f t="shared" si="33"/>
        <v>0</v>
      </c>
      <c r="Q179" s="58">
        <f t="shared" si="34"/>
        <v>0</v>
      </c>
      <c r="R179" s="58">
        <f t="shared" si="36"/>
        <v>0</v>
      </c>
      <c r="S179" s="58"/>
      <c r="T179" s="58"/>
      <c r="U179" s="61">
        <f t="shared" si="35"/>
        <v>0</v>
      </c>
    </row>
    <row r="180" spans="1:21" ht="18" customHeight="1">
      <c r="A180" s="49">
        <f>SUBTOTAL(103,$B$9:B180)</f>
        <v>55</v>
      </c>
      <c r="B180" s="62" t="s">
        <v>207</v>
      </c>
      <c r="C180" s="51" t="s">
        <v>56</v>
      </c>
      <c r="D180" s="77">
        <v>3580</v>
      </c>
      <c r="E180" s="53">
        <v>0</v>
      </c>
      <c r="F180" s="64"/>
      <c r="G180" s="55">
        <f t="shared" si="29"/>
        <v>0</v>
      </c>
      <c r="H180" s="56"/>
      <c r="I180" s="78"/>
      <c r="J180" s="57">
        <f>1968+246+410+164+164+328+82+218</f>
        <v>3580</v>
      </c>
      <c r="K180" s="58">
        <f>H180+J180</f>
        <v>3580</v>
      </c>
      <c r="L180" s="59">
        <f t="shared" si="31"/>
        <v>100</v>
      </c>
      <c r="M180" s="57"/>
      <c r="N180" s="57">
        <f>1968+246+410+164+164+328+82+218</f>
        <v>3580</v>
      </c>
      <c r="O180" s="58">
        <f t="shared" si="32"/>
        <v>0</v>
      </c>
      <c r="P180" s="60">
        <f t="shared" si="33"/>
        <v>100</v>
      </c>
      <c r="Q180" s="58">
        <f t="shared" si="34"/>
        <v>0</v>
      </c>
      <c r="R180" s="58">
        <f t="shared" si="36"/>
        <v>0</v>
      </c>
      <c r="S180" s="58"/>
      <c r="T180" s="58"/>
      <c r="U180" s="61">
        <f t="shared" si="35"/>
        <v>0</v>
      </c>
    </row>
    <row r="181" spans="1:21" ht="18" customHeight="1">
      <c r="A181" s="49">
        <f>SUBTOTAL(103,$B$9:B181)</f>
        <v>56</v>
      </c>
      <c r="B181" s="62" t="s">
        <v>208</v>
      </c>
      <c r="C181" s="51" t="s">
        <v>56</v>
      </c>
      <c r="D181" s="77">
        <v>0</v>
      </c>
      <c r="E181" s="53">
        <v>0</v>
      </c>
      <c r="F181" s="64"/>
      <c r="G181" s="55">
        <f t="shared" si="29"/>
        <v>0</v>
      </c>
      <c r="H181" s="56"/>
      <c r="I181" s="78"/>
      <c r="J181" s="57">
        <f>160</f>
        <v>160</v>
      </c>
      <c r="K181" s="58">
        <f>H181+J181</f>
        <v>160</v>
      </c>
      <c r="L181" s="59">
        <f t="shared" si="31"/>
        <v>0</v>
      </c>
      <c r="M181" s="57"/>
      <c r="N181" s="57">
        <f>160</f>
        <v>160</v>
      </c>
      <c r="O181" s="58">
        <f t="shared" si="32"/>
        <v>0</v>
      </c>
      <c r="P181" s="60">
        <f t="shared" si="33"/>
        <v>0</v>
      </c>
      <c r="Q181" s="58">
        <f t="shared" si="34"/>
        <v>0</v>
      </c>
      <c r="R181" s="58">
        <f t="shared" si="36"/>
        <v>0</v>
      </c>
      <c r="S181" s="58"/>
      <c r="T181" s="58"/>
      <c r="U181" s="61">
        <f t="shared" si="35"/>
        <v>-160</v>
      </c>
    </row>
    <row r="182" spans="1:21" ht="18" hidden="1" customHeight="1">
      <c r="A182" s="49">
        <f>SUBTOTAL(103,$B$9:B182)</f>
        <v>56</v>
      </c>
      <c r="B182" s="62" t="s">
        <v>209</v>
      </c>
      <c r="C182" s="51" t="s">
        <v>56</v>
      </c>
      <c r="D182" s="63"/>
      <c r="E182" s="53">
        <v>0</v>
      </c>
      <c r="F182" s="64"/>
      <c r="G182" s="55">
        <f t="shared" si="29"/>
        <v>0</v>
      </c>
      <c r="H182" s="56"/>
      <c r="I182" s="57"/>
      <c r="J182" s="57"/>
      <c r="K182" s="58">
        <f t="shared" si="30"/>
        <v>0</v>
      </c>
      <c r="L182" s="59">
        <f t="shared" si="31"/>
        <v>0</v>
      </c>
      <c r="M182" s="57"/>
      <c r="N182" s="57"/>
      <c r="O182" s="58">
        <f t="shared" si="32"/>
        <v>0</v>
      </c>
      <c r="P182" s="60">
        <f t="shared" si="33"/>
        <v>0</v>
      </c>
      <c r="Q182" s="58">
        <f t="shared" si="34"/>
        <v>0</v>
      </c>
      <c r="R182" s="58">
        <f t="shared" si="36"/>
        <v>0</v>
      </c>
      <c r="S182" s="58"/>
      <c r="T182" s="58"/>
      <c r="U182" s="61">
        <f t="shared" si="35"/>
        <v>0</v>
      </c>
    </row>
    <row r="183" spans="1:21" ht="18" hidden="1" customHeight="1">
      <c r="A183" s="49">
        <f>SUBTOTAL(103,$B$9:B183)</f>
        <v>56</v>
      </c>
      <c r="B183" s="62" t="s">
        <v>210</v>
      </c>
      <c r="C183" s="51" t="s">
        <v>56</v>
      </c>
      <c r="D183" s="63"/>
      <c r="E183" s="53">
        <v>0</v>
      </c>
      <c r="F183" s="64"/>
      <c r="G183" s="55">
        <f t="shared" si="29"/>
        <v>0</v>
      </c>
      <c r="H183" s="56"/>
      <c r="I183" s="57"/>
      <c r="J183" s="57"/>
      <c r="K183" s="58">
        <f t="shared" si="30"/>
        <v>0</v>
      </c>
      <c r="L183" s="59">
        <f t="shared" si="31"/>
        <v>0</v>
      </c>
      <c r="M183" s="57"/>
      <c r="N183" s="57"/>
      <c r="O183" s="58">
        <f t="shared" si="32"/>
        <v>0</v>
      </c>
      <c r="P183" s="60">
        <f t="shared" si="33"/>
        <v>0</v>
      </c>
      <c r="Q183" s="58">
        <f t="shared" si="34"/>
        <v>0</v>
      </c>
      <c r="R183" s="58">
        <f t="shared" si="36"/>
        <v>0</v>
      </c>
      <c r="S183" s="58"/>
      <c r="T183" s="58"/>
      <c r="U183" s="61">
        <f t="shared" si="35"/>
        <v>0</v>
      </c>
    </row>
    <row r="184" spans="1:21" ht="18" hidden="1" customHeight="1">
      <c r="A184" s="49">
        <f>SUBTOTAL(103,$B$9:B184)</f>
        <v>56</v>
      </c>
      <c r="B184" s="62" t="s">
        <v>211</v>
      </c>
      <c r="C184" s="51" t="s">
        <v>56</v>
      </c>
      <c r="D184" s="63"/>
      <c r="E184" s="53">
        <v>0</v>
      </c>
      <c r="F184" s="64"/>
      <c r="G184" s="55">
        <f t="shared" si="29"/>
        <v>0</v>
      </c>
      <c r="H184" s="56"/>
      <c r="I184" s="57"/>
      <c r="J184" s="57"/>
      <c r="K184" s="58">
        <f t="shared" si="30"/>
        <v>0</v>
      </c>
      <c r="L184" s="59">
        <f t="shared" si="31"/>
        <v>0</v>
      </c>
      <c r="M184" s="57"/>
      <c r="N184" s="57"/>
      <c r="O184" s="58">
        <f t="shared" si="32"/>
        <v>0</v>
      </c>
      <c r="P184" s="60">
        <f t="shared" si="33"/>
        <v>0</v>
      </c>
      <c r="Q184" s="58">
        <f t="shared" si="34"/>
        <v>0</v>
      </c>
      <c r="R184" s="58">
        <f t="shared" si="36"/>
        <v>0</v>
      </c>
      <c r="S184" s="58"/>
      <c r="T184" s="58"/>
      <c r="U184" s="61">
        <f t="shared" si="35"/>
        <v>0</v>
      </c>
    </row>
    <row r="185" spans="1:21" ht="18" hidden="1" customHeight="1">
      <c r="A185" s="49">
        <f>SUBTOTAL(103,$B$9:B185)</f>
        <v>56</v>
      </c>
      <c r="B185" s="62" t="s">
        <v>212</v>
      </c>
      <c r="C185" s="51" t="s">
        <v>33</v>
      </c>
      <c r="D185" s="63"/>
      <c r="E185" s="53">
        <v>0</v>
      </c>
      <c r="F185" s="64"/>
      <c r="G185" s="55">
        <f t="shared" si="29"/>
        <v>0</v>
      </c>
      <c r="H185" s="56"/>
      <c r="I185" s="57"/>
      <c r="J185" s="57"/>
      <c r="K185" s="58">
        <f t="shared" si="30"/>
        <v>0</v>
      </c>
      <c r="L185" s="59">
        <f t="shared" si="31"/>
        <v>0</v>
      </c>
      <c r="M185" s="57"/>
      <c r="N185" s="57"/>
      <c r="O185" s="58">
        <f t="shared" si="32"/>
        <v>0</v>
      </c>
      <c r="P185" s="60">
        <f t="shared" si="33"/>
        <v>0</v>
      </c>
      <c r="Q185" s="58">
        <f t="shared" si="34"/>
        <v>0</v>
      </c>
      <c r="R185" s="58">
        <f t="shared" si="36"/>
        <v>0</v>
      </c>
      <c r="S185" s="58"/>
      <c r="T185" s="58"/>
      <c r="U185" s="61">
        <f t="shared" si="35"/>
        <v>0</v>
      </c>
    </row>
    <row r="186" spans="1:21" s="75" customFormat="1" ht="18.600000000000001" customHeight="1">
      <c r="A186" s="49">
        <f>SUBTOTAL(103,$B$9:B186)</f>
        <v>57</v>
      </c>
      <c r="B186" s="50" t="s">
        <v>213</v>
      </c>
      <c r="C186" s="81" t="s">
        <v>56</v>
      </c>
      <c r="D186" s="83">
        <v>31</v>
      </c>
      <c r="E186" s="82">
        <v>0</v>
      </c>
      <c r="F186" s="67"/>
      <c r="G186" s="68">
        <f t="shared" si="29"/>
        <v>0</v>
      </c>
      <c r="H186" s="69"/>
      <c r="I186" s="89"/>
      <c r="J186" s="70">
        <f>31</f>
        <v>31</v>
      </c>
      <c r="K186" s="71">
        <f t="shared" si="30"/>
        <v>31</v>
      </c>
      <c r="L186" s="72">
        <f t="shared" si="31"/>
        <v>100</v>
      </c>
      <c r="M186" s="70"/>
      <c r="N186" s="70">
        <v>31</v>
      </c>
      <c r="O186" s="71">
        <f t="shared" si="32"/>
        <v>0</v>
      </c>
      <c r="P186" s="73">
        <f t="shared" si="33"/>
        <v>100</v>
      </c>
      <c r="Q186" s="71">
        <f t="shared" si="34"/>
        <v>0</v>
      </c>
      <c r="R186" s="71">
        <f t="shared" si="36"/>
        <v>0</v>
      </c>
      <c r="S186" s="71"/>
      <c r="T186" s="71"/>
      <c r="U186" s="61">
        <f t="shared" si="35"/>
        <v>0</v>
      </c>
    </row>
    <row r="187" spans="1:21" s="75" customFormat="1" ht="19.5" customHeight="1">
      <c r="A187" s="49">
        <f>SUBTOTAL(103,$B$9:B187)</f>
        <v>58</v>
      </c>
      <c r="B187" s="50" t="s">
        <v>214</v>
      </c>
      <c r="C187" s="81" t="s">
        <v>56</v>
      </c>
      <c r="D187" s="83">
        <v>40</v>
      </c>
      <c r="E187" s="82">
        <v>0</v>
      </c>
      <c r="F187" s="67"/>
      <c r="G187" s="68">
        <f t="shared" si="29"/>
        <v>0</v>
      </c>
      <c r="H187" s="69"/>
      <c r="I187" s="89"/>
      <c r="J187" s="70">
        <f>40</f>
        <v>40</v>
      </c>
      <c r="K187" s="71">
        <f t="shared" si="30"/>
        <v>40</v>
      </c>
      <c r="L187" s="72">
        <f t="shared" si="31"/>
        <v>100</v>
      </c>
      <c r="M187" s="70"/>
      <c r="N187" s="70">
        <f>40</f>
        <v>40</v>
      </c>
      <c r="O187" s="71">
        <f t="shared" si="32"/>
        <v>0</v>
      </c>
      <c r="P187" s="73">
        <f t="shared" si="33"/>
        <v>100</v>
      </c>
      <c r="Q187" s="71">
        <f t="shared" si="34"/>
        <v>0</v>
      </c>
      <c r="R187" s="71">
        <f t="shared" si="36"/>
        <v>0</v>
      </c>
      <c r="S187" s="71"/>
      <c r="T187" s="71"/>
      <c r="U187" s="61">
        <f t="shared" si="35"/>
        <v>0</v>
      </c>
    </row>
    <row r="188" spans="1:21" ht="18" hidden="1" customHeight="1">
      <c r="A188" s="49">
        <f>SUBTOTAL(103,$B$9:B188)</f>
        <v>58</v>
      </c>
      <c r="B188" s="62" t="s">
        <v>215</v>
      </c>
      <c r="C188" s="86" t="s">
        <v>131</v>
      </c>
      <c r="D188" s="63"/>
      <c r="E188" s="53">
        <v>0</v>
      </c>
      <c r="F188" s="64"/>
      <c r="G188" s="55">
        <f t="shared" si="29"/>
        <v>0</v>
      </c>
      <c r="H188" s="56"/>
      <c r="I188" s="57"/>
      <c r="J188" s="57"/>
      <c r="K188" s="58">
        <f t="shared" si="30"/>
        <v>0</v>
      </c>
      <c r="L188" s="59">
        <f t="shared" si="31"/>
        <v>0</v>
      </c>
      <c r="M188" s="57"/>
      <c r="N188" s="57"/>
      <c r="O188" s="58">
        <f t="shared" si="32"/>
        <v>0</v>
      </c>
      <c r="P188" s="60">
        <f t="shared" si="33"/>
        <v>0</v>
      </c>
      <c r="Q188" s="58">
        <f t="shared" si="34"/>
        <v>0</v>
      </c>
      <c r="R188" s="58">
        <f t="shared" si="36"/>
        <v>0</v>
      </c>
      <c r="S188" s="58"/>
      <c r="T188" s="58"/>
      <c r="U188" s="61">
        <f t="shared" si="35"/>
        <v>0</v>
      </c>
    </row>
    <row r="189" spans="1:21" ht="18" hidden="1" customHeight="1">
      <c r="A189" s="49">
        <f>SUBTOTAL(103,$B$9:B189)</f>
        <v>58</v>
      </c>
      <c r="B189" s="62" t="s">
        <v>216</v>
      </c>
      <c r="C189" s="51" t="s">
        <v>51</v>
      </c>
      <c r="D189" s="63"/>
      <c r="E189" s="53">
        <v>0</v>
      </c>
      <c r="F189" s="64"/>
      <c r="G189" s="55">
        <f t="shared" si="29"/>
        <v>0</v>
      </c>
      <c r="H189" s="56"/>
      <c r="I189" s="57"/>
      <c r="J189" s="57"/>
      <c r="K189" s="58">
        <f t="shared" si="30"/>
        <v>0</v>
      </c>
      <c r="L189" s="59">
        <f t="shared" si="31"/>
        <v>0</v>
      </c>
      <c r="M189" s="57"/>
      <c r="N189" s="57"/>
      <c r="O189" s="58">
        <f t="shared" si="32"/>
        <v>0</v>
      </c>
      <c r="P189" s="60">
        <f t="shared" si="33"/>
        <v>0</v>
      </c>
      <c r="Q189" s="58">
        <f t="shared" si="34"/>
        <v>0</v>
      </c>
      <c r="R189" s="58">
        <f t="shared" si="36"/>
        <v>0</v>
      </c>
      <c r="S189" s="58"/>
      <c r="T189" s="58"/>
      <c r="U189" s="61">
        <f t="shared" si="35"/>
        <v>0</v>
      </c>
    </row>
    <row r="190" spans="1:21" ht="18" customHeight="1">
      <c r="A190" s="49">
        <f>SUBTOTAL(103,$B$9:B190)</f>
        <v>59</v>
      </c>
      <c r="B190" s="76" t="s">
        <v>217</v>
      </c>
      <c r="C190" s="51" t="s">
        <v>51</v>
      </c>
      <c r="D190" s="77">
        <v>500</v>
      </c>
      <c r="E190" s="53">
        <v>0</v>
      </c>
      <c r="F190" s="64"/>
      <c r="G190" s="55">
        <f t="shared" si="29"/>
        <v>0</v>
      </c>
      <c r="H190" s="56"/>
      <c r="I190" s="78"/>
      <c r="J190" s="57">
        <v>500</v>
      </c>
      <c r="K190" s="58">
        <f t="shared" si="30"/>
        <v>500</v>
      </c>
      <c r="L190" s="59">
        <f t="shared" si="31"/>
        <v>100</v>
      </c>
      <c r="M190" s="57"/>
      <c r="N190" s="78">
        <v>500</v>
      </c>
      <c r="O190" s="58">
        <f t="shared" si="32"/>
        <v>0</v>
      </c>
      <c r="P190" s="60">
        <f t="shared" si="33"/>
        <v>100</v>
      </c>
      <c r="Q190" s="79">
        <f t="shared" si="34"/>
        <v>0</v>
      </c>
      <c r="R190" s="58">
        <f t="shared" si="36"/>
        <v>0</v>
      </c>
      <c r="S190" s="58"/>
      <c r="T190" s="58"/>
      <c r="U190" s="61">
        <f t="shared" si="35"/>
        <v>0</v>
      </c>
    </row>
    <row r="191" spans="1:21" ht="18" customHeight="1">
      <c r="A191" s="49">
        <f>SUBTOTAL(103,$B$9:B191)</f>
        <v>60</v>
      </c>
      <c r="B191" s="76" t="s">
        <v>218</v>
      </c>
      <c r="C191" s="51" t="s">
        <v>51</v>
      </c>
      <c r="D191" s="77">
        <v>500</v>
      </c>
      <c r="E191" s="53">
        <v>0</v>
      </c>
      <c r="F191" s="64"/>
      <c r="G191" s="55">
        <f t="shared" si="29"/>
        <v>0</v>
      </c>
      <c r="H191" s="56"/>
      <c r="I191" s="78"/>
      <c r="J191" s="57">
        <v>500</v>
      </c>
      <c r="K191" s="58">
        <f t="shared" si="30"/>
        <v>500</v>
      </c>
      <c r="L191" s="59">
        <f t="shared" si="31"/>
        <v>100</v>
      </c>
      <c r="M191" s="57"/>
      <c r="N191" s="78">
        <v>500</v>
      </c>
      <c r="O191" s="58">
        <f t="shared" si="32"/>
        <v>0</v>
      </c>
      <c r="P191" s="60">
        <f t="shared" si="33"/>
        <v>100</v>
      </c>
      <c r="Q191" s="79">
        <f t="shared" si="34"/>
        <v>0</v>
      </c>
      <c r="R191" s="58">
        <f t="shared" si="36"/>
        <v>0</v>
      </c>
      <c r="S191" s="58"/>
      <c r="T191" s="58"/>
      <c r="U191" s="61">
        <f t="shared" si="35"/>
        <v>0</v>
      </c>
    </row>
    <row r="192" spans="1:21" ht="18" hidden="1" customHeight="1">
      <c r="A192" s="49">
        <f>SUBTOTAL(103,$B$9:B192)</f>
        <v>60</v>
      </c>
      <c r="B192" s="62" t="s">
        <v>219</v>
      </c>
      <c r="C192" s="51" t="s">
        <v>33</v>
      </c>
      <c r="D192" s="63"/>
      <c r="E192" s="53">
        <v>0</v>
      </c>
      <c r="F192" s="64"/>
      <c r="G192" s="55">
        <f t="shared" si="29"/>
        <v>0</v>
      </c>
      <c r="H192" s="90"/>
      <c r="I192" s="57"/>
      <c r="J192" s="91"/>
      <c r="K192" s="58">
        <f t="shared" si="30"/>
        <v>0</v>
      </c>
      <c r="L192" s="59">
        <f t="shared" si="31"/>
        <v>0</v>
      </c>
      <c r="M192" s="57"/>
      <c r="N192" s="57"/>
      <c r="O192" s="58">
        <f t="shared" si="32"/>
        <v>0</v>
      </c>
      <c r="P192" s="60">
        <f t="shared" si="33"/>
        <v>0</v>
      </c>
      <c r="Q192" s="58">
        <f t="shared" si="34"/>
        <v>0</v>
      </c>
      <c r="R192" s="58">
        <f t="shared" si="36"/>
        <v>0</v>
      </c>
      <c r="S192" s="58"/>
      <c r="T192" s="58"/>
      <c r="U192" s="61">
        <f t="shared" si="35"/>
        <v>0</v>
      </c>
    </row>
    <row r="193" spans="1:21" ht="18" customHeight="1">
      <c r="A193" s="49">
        <f>SUBTOTAL(103,$B$9:B193)</f>
        <v>61</v>
      </c>
      <c r="B193" s="88" t="s">
        <v>220</v>
      </c>
      <c r="C193" s="51" t="s">
        <v>33</v>
      </c>
      <c r="D193" s="77">
        <v>10000</v>
      </c>
      <c r="E193" s="53">
        <v>0</v>
      </c>
      <c r="F193" s="64"/>
      <c r="G193" s="55">
        <f t="shared" si="29"/>
        <v>0</v>
      </c>
      <c r="H193" s="56"/>
      <c r="I193" s="78"/>
      <c r="J193" s="57">
        <f>7180+2820</f>
        <v>10000</v>
      </c>
      <c r="K193" s="58">
        <f t="shared" si="30"/>
        <v>10000</v>
      </c>
      <c r="L193" s="59">
        <f t="shared" si="31"/>
        <v>100</v>
      </c>
      <c r="M193" s="57"/>
      <c r="N193" s="78">
        <f>7180+2820</f>
        <v>10000</v>
      </c>
      <c r="O193" s="58">
        <f t="shared" si="32"/>
        <v>0</v>
      </c>
      <c r="P193" s="60">
        <f t="shared" si="33"/>
        <v>100</v>
      </c>
      <c r="Q193" s="79">
        <f t="shared" si="34"/>
        <v>0</v>
      </c>
      <c r="R193" s="58">
        <f t="shared" si="36"/>
        <v>0</v>
      </c>
      <c r="S193" s="58"/>
      <c r="T193" s="58"/>
      <c r="U193" s="61">
        <f t="shared" si="35"/>
        <v>0</v>
      </c>
    </row>
    <row r="194" spans="1:21" ht="18" customHeight="1">
      <c r="A194" s="49">
        <f>SUBTOTAL(103,$B$9:B194)</f>
        <v>62</v>
      </c>
      <c r="B194" s="62" t="s">
        <v>221</v>
      </c>
      <c r="C194" s="51" t="s">
        <v>33</v>
      </c>
      <c r="D194" s="77">
        <v>300</v>
      </c>
      <c r="E194" s="53">
        <v>0</v>
      </c>
      <c r="F194" s="64"/>
      <c r="G194" s="55">
        <f t="shared" si="29"/>
        <v>0</v>
      </c>
      <c r="H194" s="56"/>
      <c r="I194" s="78"/>
      <c r="J194" s="57">
        <v>300</v>
      </c>
      <c r="K194" s="58">
        <f t="shared" si="30"/>
        <v>300</v>
      </c>
      <c r="L194" s="59">
        <f t="shared" si="31"/>
        <v>100</v>
      </c>
      <c r="M194" s="57"/>
      <c r="N194" s="57">
        <v>300</v>
      </c>
      <c r="O194" s="58">
        <f t="shared" si="32"/>
        <v>0</v>
      </c>
      <c r="P194" s="60">
        <f t="shared" si="33"/>
        <v>100</v>
      </c>
      <c r="Q194" s="58">
        <f t="shared" si="34"/>
        <v>0</v>
      </c>
      <c r="R194" s="58">
        <f t="shared" si="36"/>
        <v>0</v>
      </c>
      <c r="S194" s="58"/>
      <c r="T194" s="58"/>
      <c r="U194" s="61">
        <f t="shared" si="35"/>
        <v>0</v>
      </c>
    </row>
    <row r="195" spans="1:21" ht="18" hidden="1" customHeight="1">
      <c r="A195" s="49">
        <f>SUBTOTAL(103,$B$9:B195)</f>
        <v>62</v>
      </c>
      <c r="B195" s="62" t="s">
        <v>222</v>
      </c>
      <c r="C195" s="51" t="s">
        <v>51</v>
      </c>
      <c r="D195" s="63"/>
      <c r="E195" s="53">
        <v>0</v>
      </c>
      <c r="F195" s="64"/>
      <c r="G195" s="55">
        <f t="shared" si="29"/>
        <v>0</v>
      </c>
      <c r="H195" s="56"/>
      <c r="I195" s="57"/>
      <c r="J195" s="57"/>
      <c r="K195" s="58">
        <f t="shared" si="30"/>
        <v>0</v>
      </c>
      <c r="L195" s="59">
        <f t="shared" si="31"/>
        <v>0</v>
      </c>
      <c r="M195" s="57"/>
      <c r="N195" s="57"/>
      <c r="O195" s="58">
        <f t="shared" si="32"/>
        <v>0</v>
      </c>
      <c r="P195" s="60">
        <f t="shared" si="33"/>
        <v>0</v>
      </c>
      <c r="Q195" s="58">
        <f t="shared" si="34"/>
        <v>0</v>
      </c>
      <c r="R195" s="58">
        <f t="shared" si="36"/>
        <v>0</v>
      </c>
      <c r="S195" s="58"/>
      <c r="T195" s="58"/>
      <c r="U195" s="61">
        <f t="shared" si="35"/>
        <v>0</v>
      </c>
    </row>
    <row r="196" spans="1:21" ht="18" hidden="1" customHeight="1">
      <c r="A196" s="49">
        <f>SUBTOTAL(103,$B$9:B196)</f>
        <v>62</v>
      </c>
      <c r="B196" s="92" t="s">
        <v>223</v>
      </c>
      <c r="C196" s="51" t="s">
        <v>51</v>
      </c>
      <c r="D196" s="63"/>
      <c r="E196" s="53">
        <v>0</v>
      </c>
      <c r="F196" s="64"/>
      <c r="G196" s="55">
        <f t="shared" si="29"/>
        <v>0</v>
      </c>
      <c r="H196" s="56"/>
      <c r="I196" s="57"/>
      <c r="J196" s="57"/>
      <c r="K196" s="58">
        <f t="shared" si="30"/>
        <v>0</v>
      </c>
      <c r="L196" s="59">
        <f t="shared" si="31"/>
        <v>0</v>
      </c>
      <c r="M196" s="57"/>
      <c r="N196" s="57"/>
      <c r="O196" s="58">
        <f t="shared" si="32"/>
        <v>0</v>
      </c>
      <c r="P196" s="60">
        <f t="shared" si="33"/>
        <v>0</v>
      </c>
      <c r="Q196" s="58">
        <f t="shared" si="34"/>
        <v>0</v>
      </c>
      <c r="R196" s="58">
        <f t="shared" si="36"/>
        <v>0</v>
      </c>
      <c r="S196" s="58"/>
      <c r="T196" s="58"/>
      <c r="U196" s="61">
        <f t="shared" si="35"/>
        <v>0</v>
      </c>
    </row>
    <row r="197" spans="1:21" ht="18" customHeight="1">
      <c r="A197" s="49">
        <f>SUBTOTAL(103,$B$9:B197)</f>
        <v>63</v>
      </c>
      <c r="B197" s="76" t="s">
        <v>224</v>
      </c>
      <c r="C197" s="51" t="s">
        <v>51</v>
      </c>
      <c r="D197" s="77">
        <v>4000</v>
      </c>
      <c r="E197" s="53">
        <v>0</v>
      </c>
      <c r="F197" s="64"/>
      <c r="G197" s="55">
        <f t="shared" ref="G197:G272" si="37">D197*E197</f>
        <v>0</v>
      </c>
      <c r="H197" s="56"/>
      <c r="I197" s="78"/>
      <c r="J197" s="57">
        <f>2584+1416</f>
        <v>4000</v>
      </c>
      <c r="K197" s="58">
        <f t="shared" ref="K197:K272" si="38">H197+J197</f>
        <v>4000</v>
      </c>
      <c r="L197" s="59">
        <f t="shared" ref="L197:L272" si="39">IF(D197&gt;0,ROUND((K197/D197)*100,0),0)</f>
        <v>100</v>
      </c>
      <c r="M197" s="57"/>
      <c r="N197" s="78">
        <f>1768+816+1416</f>
        <v>4000</v>
      </c>
      <c r="O197" s="58">
        <f t="shared" ref="O197:O272" si="40">N197*E197</f>
        <v>0</v>
      </c>
      <c r="P197" s="60">
        <f t="shared" ref="P197:P272" si="41">IF(D197&gt;0,ROUND((N197/D197)*100,0),0)</f>
        <v>100</v>
      </c>
      <c r="Q197" s="79">
        <f>K197-N197</f>
        <v>0</v>
      </c>
      <c r="R197" s="58">
        <f t="shared" si="36"/>
        <v>0</v>
      </c>
      <c r="S197" s="58"/>
      <c r="T197" s="58"/>
      <c r="U197" s="61">
        <f t="shared" ref="U197:U272" si="42">D197-K197</f>
        <v>0</v>
      </c>
    </row>
    <row r="198" spans="1:21" ht="18" hidden="1" customHeight="1">
      <c r="A198" s="49">
        <f>SUBTOTAL(103,$B$9:B198)</f>
        <v>63</v>
      </c>
      <c r="B198" s="62" t="s">
        <v>225</v>
      </c>
      <c r="C198" s="51" t="s">
        <v>51</v>
      </c>
      <c r="D198" s="63"/>
      <c r="E198" s="53">
        <v>0</v>
      </c>
      <c r="F198" s="64"/>
      <c r="G198" s="55">
        <f t="shared" si="37"/>
        <v>0</v>
      </c>
      <c r="H198" s="56"/>
      <c r="I198" s="57"/>
      <c r="J198" s="57"/>
      <c r="K198" s="58">
        <f t="shared" si="38"/>
        <v>0</v>
      </c>
      <c r="L198" s="59">
        <f t="shared" si="39"/>
        <v>0</v>
      </c>
      <c r="M198" s="57"/>
      <c r="N198" s="57"/>
      <c r="O198" s="58">
        <f t="shared" si="40"/>
        <v>0</v>
      </c>
      <c r="P198" s="60">
        <f t="shared" si="41"/>
        <v>0</v>
      </c>
      <c r="Q198" s="58">
        <f t="shared" ref="Q198:Q212" si="43">K198-N198</f>
        <v>0</v>
      </c>
      <c r="R198" s="58">
        <f t="shared" si="36"/>
        <v>0</v>
      </c>
      <c r="S198" s="58"/>
      <c r="T198" s="58"/>
      <c r="U198" s="61">
        <f t="shared" si="42"/>
        <v>0</v>
      </c>
    </row>
    <row r="199" spans="1:21" ht="18" customHeight="1">
      <c r="A199" s="49">
        <f>SUBTOTAL(103,$B$9:B199)</f>
        <v>64</v>
      </c>
      <c r="B199" s="62" t="s">
        <v>226</v>
      </c>
      <c r="C199" s="51" t="s">
        <v>51</v>
      </c>
      <c r="D199" s="77">
        <v>1000</v>
      </c>
      <c r="E199" s="53">
        <v>0</v>
      </c>
      <c r="F199" s="64"/>
      <c r="G199" s="55">
        <f t="shared" si="37"/>
        <v>0</v>
      </c>
      <c r="H199" s="56"/>
      <c r="I199" s="78"/>
      <c r="J199" s="57">
        <f>1000</f>
        <v>1000</v>
      </c>
      <c r="K199" s="58">
        <f t="shared" si="38"/>
        <v>1000</v>
      </c>
      <c r="L199" s="59">
        <f t="shared" si="39"/>
        <v>100</v>
      </c>
      <c r="M199" s="57"/>
      <c r="N199" s="57">
        <v>1000</v>
      </c>
      <c r="O199" s="58">
        <f t="shared" si="40"/>
        <v>0</v>
      </c>
      <c r="P199" s="60">
        <f t="shared" si="41"/>
        <v>100</v>
      </c>
      <c r="Q199" s="58">
        <f t="shared" si="43"/>
        <v>0</v>
      </c>
      <c r="R199" s="58">
        <f t="shared" si="36"/>
        <v>0</v>
      </c>
      <c r="S199" s="58"/>
      <c r="T199" s="58"/>
      <c r="U199" s="61">
        <f t="shared" si="42"/>
        <v>0</v>
      </c>
    </row>
    <row r="200" spans="1:21" ht="18" customHeight="1">
      <c r="A200" s="49">
        <f>SUBTOTAL(103,$B$9:B200)</f>
        <v>65</v>
      </c>
      <c r="B200" s="62" t="s">
        <v>227</v>
      </c>
      <c r="C200" s="51" t="s">
        <v>51</v>
      </c>
      <c r="D200" s="63">
        <v>2000</v>
      </c>
      <c r="E200" s="53">
        <v>0</v>
      </c>
      <c r="F200" s="64"/>
      <c r="G200" s="55">
        <f t="shared" si="37"/>
        <v>0</v>
      </c>
      <c r="H200" s="56"/>
      <c r="I200" s="57"/>
      <c r="J200" s="57">
        <v>2000</v>
      </c>
      <c r="K200" s="58">
        <f t="shared" si="38"/>
        <v>2000</v>
      </c>
      <c r="L200" s="59">
        <f t="shared" si="39"/>
        <v>100</v>
      </c>
      <c r="M200" s="57"/>
      <c r="N200" s="57">
        <v>2000</v>
      </c>
      <c r="O200" s="58">
        <f t="shared" si="40"/>
        <v>0</v>
      </c>
      <c r="P200" s="60">
        <f t="shared" si="41"/>
        <v>100</v>
      </c>
      <c r="Q200" s="58">
        <f t="shared" si="43"/>
        <v>0</v>
      </c>
      <c r="R200" s="58">
        <f t="shared" si="36"/>
        <v>0</v>
      </c>
      <c r="S200" s="58"/>
      <c r="T200" s="58"/>
      <c r="U200" s="61">
        <f t="shared" si="42"/>
        <v>0</v>
      </c>
    </row>
    <row r="201" spans="1:21" ht="18" customHeight="1">
      <c r="A201" s="49">
        <f>SUBTOTAL(103,$B$9:B201)</f>
        <v>66</v>
      </c>
      <c r="B201" s="62" t="s">
        <v>228</v>
      </c>
      <c r="C201" s="51" t="s">
        <v>51</v>
      </c>
      <c r="D201" s="63">
        <v>2500</v>
      </c>
      <c r="E201" s="53">
        <v>0</v>
      </c>
      <c r="F201" s="64"/>
      <c r="G201" s="55">
        <f t="shared" si="37"/>
        <v>0</v>
      </c>
      <c r="H201" s="56"/>
      <c r="I201" s="57"/>
      <c r="J201" s="57">
        <v>2500</v>
      </c>
      <c r="K201" s="58">
        <f t="shared" si="38"/>
        <v>2500</v>
      </c>
      <c r="L201" s="59">
        <f t="shared" si="39"/>
        <v>100</v>
      </c>
      <c r="M201" s="57"/>
      <c r="N201" s="57">
        <v>2500</v>
      </c>
      <c r="O201" s="58">
        <f t="shared" si="40"/>
        <v>0</v>
      </c>
      <c r="P201" s="60">
        <f t="shared" si="41"/>
        <v>100</v>
      </c>
      <c r="Q201" s="58">
        <f t="shared" si="43"/>
        <v>0</v>
      </c>
      <c r="R201" s="58">
        <f t="shared" si="36"/>
        <v>0</v>
      </c>
      <c r="S201" s="58"/>
      <c r="T201" s="58"/>
      <c r="U201" s="61">
        <f t="shared" si="42"/>
        <v>0</v>
      </c>
    </row>
    <row r="202" spans="1:21" ht="18" customHeight="1">
      <c r="A202" s="49">
        <f>SUBTOTAL(103,$B$9:B202)</f>
        <v>67</v>
      </c>
      <c r="B202" s="62" t="s">
        <v>229</v>
      </c>
      <c r="C202" s="51" t="s">
        <v>51</v>
      </c>
      <c r="D202" s="63">
        <v>2500</v>
      </c>
      <c r="E202" s="53">
        <v>0</v>
      </c>
      <c r="F202" s="64"/>
      <c r="G202" s="55">
        <f t="shared" si="37"/>
        <v>0</v>
      </c>
      <c r="H202" s="56"/>
      <c r="I202" s="57"/>
      <c r="J202" s="57">
        <v>2500</v>
      </c>
      <c r="K202" s="58">
        <f t="shared" si="38"/>
        <v>2500</v>
      </c>
      <c r="L202" s="59">
        <f t="shared" si="39"/>
        <v>100</v>
      </c>
      <c r="M202" s="57"/>
      <c r="N202" s="57">
        <v>2500</v>
      </c>
      <c r="O202" s="58">
        <f t="shared" si="40"/>
        <v>0</v>
      </c>
      <c r="P202" s="60">
        <f t="shared" si="41"/>
        <v>100</v>
      </c>
      <c r="Q202" s="58">
        <f t="shared" si="43"/>
        <v>0</v>
      </c>
      <c r="R202" s="58">
        <f t="shared" si="36"/>
        <v>0</v>
      </c>
      <c r="S202" s="58"/>
      <c r="T202" s="58"/>
      <c r="U202" s="61">
        <f t="shared" si="42"/>
        <v>0</v>
      </c>
    </row>
    <row r="203" spans="1:21" ht="17.25" hidden="1" customHeight="1">
      <c r="A203" s="49">
        <f>SUBTOTAL(103,$B$9:B203)</f>
        <v>67</v>
      </c>
      <c r="B203" s="62" t="s">
        <v>230</v>
      </c>
      <c r="C203" s="51" t="s">
        <v>51</v>
      </c>
      <c r="D203" s="63"/>
      <c r="E203" s="53">
        <v>0</v>
      </c>
      <c r="F203" s="64"/>
      <c r="G203" s="55">
        <f t="shared" si="37"/>
        <v>0</v>
      </c>
      <c r="H203" s="56"/>
      <c r="I203" s="57"/>
      <c r="J203" s="57"/>
      <c r="K203" s="58">
        <f t="shared" si="38"/>
        <v>0</v>
      </c>
      <c r="L203" s="59">
        <f t="shared" si="39"/>
        <v>0</v>
      </c>
      <c r="M203" s="57"/>
      <c r="N203" s="57"/>
      <c r="O203" s="58">
        <f t="shared" si="40"/>
        <v>0</v>
      </c>
      <c r="P203" s="60">
        <f t="shared" si="41"/>
        <v>0</v>
      </c>
      <c r="Q203" s="58">
        <f t="shared" si="43"/>
        <v>0</v>
      </c>
      <c r="R203" s="58">
        <f t="shared" si="36"/>
        <v>0</v>
      </c>
      <c r="S203" s="58"/>
      <c r="T203" s="58"/>
      <c r="U203" s="61">
        <f t="shared" si="42"/>
        <v>0</v>
      </c>
    </row>
    <row r="204" spans="1:21" ht="18" customHeight="1">
      <c r="A204" s="49">
        <f>SUBTOTAL(103,$B$9:B204)</f>
        <v>68</v>
      </c>
      <c r="B204" s="62" t="s">
        <v>230</v>
      </c>
      <c r="C204" s="51" t="s">
        <v>231</v>
      </c>
      <c r="D204" s="63">
        <v>0</v>
      </c>
      <c r="E204" s="53">
        <v>0</v>
      </c>
      <c r="F204" s="64"/>
      <c r="G204" s="55">
        <f t="shared" si="37"/>
        <v>0</v>
      </c>
      <c r="H204" s="56"/>
      <c r="I204" s="78"/>
      <c r="J204" s="57">
        <f>50+60+4</f>
        <v>114</v>
      </c>
      <c r="K204" s="58">
        <f t="shared" si="38"/>
        <v>114</v>
      </c>
      <c r="L204" s="59">
        <f t="shared" si="39"/>
        <v>0</v>
      </c>
      <c r="M204" s="57"/>
      <c r="N204" s="57">
        <f>50+60+4</f>
        <v>114</v>
      </c>
      <c r="O204" s="58">
        <f t="shared" si="40"/>
        <v>0</v>
      </c>
      <c r="P204" s="60">
        <f t="shared" si="41"/>
        <v>0</v>
      </c>
      <c r="Q204" s="58">
        <f t="shared" si="43"/>
        <v>0</v>
      </c>
      <c r="R204" s="58">
        <f t="shared" si="36"/>
        <v>0</v>
      </c>
      <c r="S204" s="58"/>
      <c r="T204" s="58"/>
      <c r="U204" s="61">
        <f t="shared" si="42"/>
        <v>-114</v>
      </c>
    </row>
    <row r="205" spans="1:21" ht="18" customHeight="1">
      <c r="A205" s="49">
        <f>SUBTOTAL(103,$B$9:B205)</f>
        <v>69</v>
      </c>
      <c r="B205" s="62" t="s">
        <v>232</v>
      </c>
      <c r="C205" s="51" t="s">
        <v>231</v>
      </c>
      <c r="D205" s="63">
        <v>0</v>
      </c>
      <c r="E205" s="53">
        <v>0</v>
      </c>
      <c r="F205" s="64"/>
      <c r="G205" s="55">
        <f t="shared" si="37"/>
        <v>0</v>
      </c>
      <c r="H205" s="56"/>
      <c r="I205" s="78"/>
      <c r="J205" s="57">
        <v>5</v>
      </c>
      <c r="K205" s="58">
        <f t="shared" si="38"/>
        <v>5</v>
      </c>
      <c r="L205" s="59">
        <f t="shared" si="39"/>
        <v>0</v>
      </c>
      <c r="M205" s="57"/>
      <c r="N205" s="57">
        <v>5</v>
      </c>
      <c r="O205" s="58">
        <f t="shared" si="40"/>
        <v>0</v>
      </c>
      <c r="P205" s="60">
        <f t="shared" si="41"/>
        <v>0</v>
      </c>
      <c r="Q205" s="58">
        <f t="shared" si="43"/>
        <v>0</v>
      </c>
      <c r="R205" s="58">
        <f t="shared" si="36"/>
        <v>0</v>
      </c>
      <c r="S205" s="58"/>
      <c r="T205" s="58"/>
      <c r="U205" s="61">
        <f t="shared" si="42"/>
        <v>-5</v>
      </c>
    </row>
    <row r="206" spans="1:21" ht="18" customHeight="1">
      <c r="A206" s="49">
        <f>SUBTOTAL(103,$B$9:B206)</f>
        <v>70</v>
      </c>
      <c r="B206" s="76" t="s">
        <v>233</v>
      </c>
      <c r="C206" s="51" t="s">
        <v>231</v>
      </c>
      <c r="D206" s="63">
        <v>0</v>
      </c>
      <c r="E206" s="53">
        <v>0</v>
      </c>
      <c r="F206" s="64"/>
      <c r="G206" s="55">
        <f t="shared" si="37"/>
        <v>0</v>
      </c>
      <c r="H206" s="56"/>
      <c r="I206" s="78">
        <v>256</v>
      </c>
      <c r="J206" s="57">
        <f>256+768+180+320+480+512+768+769+229+16+336+774+960+576+80+170+461+256</f>
        <v>7911</v>
      </c>
      <c r="K206" s="58">
        <f>H206+J206</f>
        <v>7911</v>
      </c>
      <c r="L206" s="59">
        <f t="shared" si="39"/>
        <v>0</v>
      </c>
      <c r="M206" s="57">
        <v>256</v>
      </c>
      <c r="N206" s="78">
        <f>256+768+180+320+480+512+768+769+229+16+336+774+960+576+80+170+461+256</f>
        <v>7911</v>
      </c>
      <c r="O206" s="58">
        <f t="shared" si="40"/>
        <v>0</v>
      </c>
      <c r="P206" s="60">
        <f t="shared" si="41"/>
        <v>0</v>
      </c>
      <c r="Q206" s="79">
        <f t="shared" si="43"/>
        <v>0</v>
      </c>
      <c r="R206" s="58">
        <f t="shared" si="36"/>
        <v>0</v>
      </c>
      <c r="S206" s="58"/>
      <c r="T206" s="58"/>
      <c r="U206" s="61">
        <f t="shared" si="42"/>
        <v>-7911</v>
      </c>
    </row>
    <row r="207" spans="1:21" ht="18" customHeight="1">
      <c r="A207" s="49">
        <f>SUBTOTAL(103,$B$9:B207)</f>
        <v>71</v>
      </c>
      <c r="B207" s="62" t="s">
        <v>234</v>
      </c>
      <c r="C207" s="51" t="s">
        <v>51</v>
      </c>
      <c r="D207" s="77">
        <v>2000</v>
      </c>
      <c r="E207" s="53">
        <v>0</v>
      </c>
      <c r="F207" s="64"/>
      <c r="G207" s="55">
        <f t="shared" si="37"/>
        <v>0</v>
      </c>
      <c r="H207" s="56"/>
      <c r="I207" s="78"/>
      <c r="J207" s="57">
        <v>2000</v>
      </c>
      <c r="K207" s="58">
        <f t="shared" ref="K207" si="44">H207+J207</f>
        <v>2000</v>
      </c>
      <c r="L207" s="59">
        <f t="shared" si="39"/>
        <v>100</v>
      </c>
      <c r="M207" s="57"/>
      <c r="N207" s="57">
        <v>2000</v>
      </c>
      <c r="O207" s="58">
        <f t="shared" si="40"/>
        <v>0</v>
      </c>
      <c r="P207" s="60">
        <f t="shared" si="41"/>
        <v>100</v>
      </c>
      <c r="Q207" s="58">
        <f t="shared" si="43"/>
        <v>0</v>
      </c>
      <c r="R207" s="58">
        <f t="shared" si="36"/>
        <v>0</v>
      </c>
      <c r="S207" s="58"/>
      <c r="T207" s="58"/>
      <c r="U207" s="61">
        <f t="shared" si="42"/>
        <v>0</v>
      </c>
    </row>
    <row r="208" spans="1:21" ht="18" customHeight="1">
      <c r="A208" s="49">
        <f>SUBTOTAL(103,$B$9:B208)</f>
        <v>72</v>
      </c>
      <c r="B208" s="62" t="s">
        <v>235</v>
      </c>
      <c r="C208" s="51" t="s">
        <v>51</v>
      </c>
      <c r="D208" s="77">
        <v>500</v>
      </c>
      <c r="E208" s="53">
        <v>0</v>
      </c>
      <c r="F208" s="64"/>
      <c r="G208" s="55">
        <f t="shared" si="37"/>
        <v>0</v>
      </c>
      <c r="H208" s="56"/>
      <c r="I208" s="78"/>
      <c r="J208" s="57">
        <v>500</v>
      </c>
      <c r="K208" s="58">
        <f t="shared" si="38"/>
        <v>500</v>
      </c>
      <c r="L208" s="59">
        <f t="shared" si="39"/>
        <v>100</v>
      </c>
      <c r="M208" s="57"/>
      <c r="N208" s="57">
        <v>500</v>
      </c>
      <c r="O208" s="58">
        <f t="shared" si="40"/>
        <v>0</v>
      </c>
      <c r="P208" s="60">
        <f t="shared" si="41"/>
        <v>100</v>
      </c>
      <c r="Q208" s="58">
        <f t="shared" si="43"/>
        <v>0</v>
      </c>
      <c r="R208" s="58">
        <f t="shared" si="36"/>
        <v>0</v>
      </c>
      <c r="S208" s="58"/>
      <c r="T208" s="58"/>
      <c r="U208" s="61">
        <f t="shared" si="42"/>
        <v>0</v>
      </c>
    </row>
    <row r="209" spans="1:21" ht="18" customHeight="1">
      <c r="A209" s="49">
        <f>SUBTOTAL(103,$B$9:B209)</f>
        <v>73</v>
      </c>
      <c r="B209" s="76" t="s">
        <v>236</v>
      </c>
      <c r="C209" s="51" t="s">
        <v>51</v>
      </c>
      <c r="D209" s="77">
        <v>500</v>
      </c>
      <c r="E209" s="53">
        <v>0</v>
      </c>
      <c r="F209" s="64"/>
      <c r="G209" s="55">
        <f t="shared" si="37"/>
        <v>0</v>
      </c>
      <c r="H209" s="56"/>
      <c r="I209" s="78"/>
      <c r="J209" s="57">
        <v>500</v>
      </c>
      <c r="K209" s="58">
        <f t="shared" si="38"/>
        <v>500</v>
      </c>
      <c r="L209" s="59">
        <f t="shared" si="39"/>
        <v>100</v>
      </c>
      <c r="M209" s="57"/>
      <c r="N209" s="78">
        <v>500</v>
      </c>
      <c r="O209" s="58">
        <f t="shared" si="40"/>
        <v>0</v>
      </c>
      <c r="P209" s="60">
        <f t="shared" si="41"/>
        <v>100</v>
      </c>
      <c r="Q209" s="79">
        <f t="shared" si="43"/>
        <v>0</v>
      </c>
      <c r="R209" s="58">
        <f t="shared" si="36"/>
        <v>0</v>
      </c>
      <c r="S209" s="58"/>
      <c r="T209" s="58"/>
      <c r="U209" s="61">
        <f t="shared" si="42"/>
        <v>0</v>
      </c>
    </row>
    <row r="210" spans="1:21" ht="18" hidden="1" customHeight="1">
      <c r="A210" s="49">
        <f>SUBTOTAL(103,$B$9:B210)</f>
        <v>73</v>
      </c>
      <c r="B210" s="62" t="s">
        <v>237</v>
      </c>
      <c r="C210" s="51" t="s">
        <v>51</v>
      </c>
      <c r="D210" s="63"/>
      <c r="E210" s="53">
        <v>0</v>
      </c>
      <c r="F210" s="64"/>
      <c r="G210" s="55">
        <f t="shared" si="37"/>
        <v>0</v>
      </c>
      <c r="H210" s="56"/>
      <c r="I210" s="57"/>
      <c r="J210" s="57"/>
      <c r="K210" s="58">
        <f t="shared" si="38"/>
        <v>0</v>
      </c>
      <c r="L210" s="59">
        <f t="shared" si="39"/>
        <v>0</v>
      </c>
      <c r="M210" s="57"/>
      <c r="N210" s="57"/>
      <c r="O210" s="58">
        <f t="shared" si="40"/>
        <v>0</v>
      </c>
      <c r="P210" s="60">
        <f t="shared" si="41"/>
        <v>0</v>
      </c>
      <c r="Q210" s="58">
        <f t="shared" si="43"/>
        <v>0</v>
      </c>
      <c r="R210" s="58">
        <f t="shared" si="36"/>
        <v>0</v>
      </c>
      <c r="S210" s="58"/>
      <c r="T210" s="58"/>
      <c r="U210" s="61">
        <f t="shared" si="42"/>
        <v>0</v>
      </c>
    </row>
    <row r="211" spans="1:21" ht="18" hidden="1" customHeight="1">
      <c r="A211" s="49">
        <f>SUBTOTAL(103,$B$9:B211)</f>
        <v>73</v>
      </c>
      <c r="B211" s="62" t="s">
        <v>238</v>
      </c>
      <c r="C211" s="51" t="s">
        <v>51</v>
      </c>
      <c r="D211" s="63"/>
      <c r="E211" s="53">
        <v>0</v>
      </c>
      <c r="F211" s="64"/>
      <c r="G211" s="55">
        <f t="shared" si="37"/>
        <v>0</v>
      </c>
      <c r="H211" s="56"/>
      <c r="I211" s="57"/>
      <c r="J211" s="57"/>
      <c r="K211" s="58">
        <f t="shared" si="38"/>
        <v>0</v>
      </c>
      <c r="L211" s="59">
        <f t="shared" si="39"/>
        <v>0</v>
      </c>
      <c r="M211" s="57"/>
      <c r="N211" s="57"/>
      <c r="O211" s="58">
        <f t="shared" si="40"/>
        <v>0</v>
      </c>
      <c r="P211" s="60">
        <f t="shared" si="41"/>
        <v>0</v>
      </c>
      <c r="Q211" s="58">
        <f t="shared" si="43"/>
        <v>0</v>
      </c>
      <c r="R211" s="58">
        <f t="shared" si="36"/>
        <v>0</v>
      </c>
      <c r="S211" s="58"/>
      <c r="T211" s="58"/>
      <c r="U211" s="61">
        <f t="shared" si="42"/>
        <v>0</v>
      </c>
    </row>
    <row r="212" spans="1:21" ht="18" hidden="1" customHeight="1">
      <c r="A212" s="49">
        <f>SUBTOTAL(103,$B$9:B212)</f>
        <v>73</v>
      </c>
      <c r="B212" s="62" t="s">
        <v>239</v>
      </c>
      <c r="C212" s="51" t="s">
        <v>51</v>
      </c>
      <c r="D212" s="63"/>
      <c r="E212" s="53">
        <v>0</v>
      </c>
      <c r="F212" s="64"/>
      <c r="G212" s="55">
        <f t="shared" si="37"/>
        <v>0</v>
      </c>
      <c r="H212" s="56"/>
      <c r="I212" s="57"/>
      <c r="J212" s="57"/>
      <c r="K212" s="58">
        <f t="shared" si="38"/>
        <v>0</v>
      </c>
      <c r="L212" s="59">
        <f t="shared" si="39"/>
        <v>0</v>
      </c>
      <c r="M212" s="57"/>
      <c r="N212" s="57"/>
      <c r="O212" s="58">
        <f t="shared" si="40"/>
        <v>0</v>
      </c>
      <c r="P212" s="60">
        <f t="shared" si="41"/>
        <v>0</v>
      </c>
      <c r="Q212" s="58">
        <f t="shared" si="43"/>
        <v>0</v>
      </c>
      <c r="R212" s="58">
        <f t="shared" si="36"/>
        <v>0</v>
      </c>
      <c r="S212" s="58"/>
      <c r="T212" s="58"/>
      <c r="U212" s="61">
        <f t="shared" si="42"/>
        <v>0</v>
      </c>
    </row>
    <row r="213" spans="1:21" ht="18" hidden="1" customHeight="1">
      <c r="A213" s="49">
        <f>SUBTOTAL(103,$B$9:B213)</f>
        <v>73</v>
      </c>
      <c r="B213" s="62" t="s">
        <v>240</v>
      </c>
      <c r="C213" s="51" t="s">
        <v>51</v>
      </c>
      <c r="D213" s="63"/>
      <c r="E213" s="53">
        <v>0</v>
      </c>
      <c r="F213" s="64"/>
      <c r="G213" s="55">
        <f t="shared" si="37"/>
        <v>0</v>
      </c>
      <c r="H213" s="56"/>
      <c r="I213" s="57"/>
      <c r="J213" s="57"/>
      <c r="K213" s="58">
        <f t="shared" si="38"/>
        <v>0</v>
      </c>
      <c r="L213" s="59">
        <f t="shared" si="39"/>
        <v>0</v>
      </c>
      <c r="M213" s="57"/>
      <c r="N213" s="57"/>
      <c r="O213" s="58">
        <f t="shared" si="40"/>
        <v>0</v>
      </c>
      <c r="P213" s="60">
        <f t="shared" si="41"/>
        <v>0</v>
      </c>
      <c r="Q213" s="58">
        <f>K213-N213</f>
        <v>0</v>
      </c>
      <c r="R213" s="58">
        <f t="shared" si="36"/>
        <v>0</v>
      </c>
      <c r="S213" s="58"/>
      <c r="T213" s="58"/>
      <c r="U213" s="61">
        <f t="shared" si="42"/>
        <v>0</v>
      </c>
    </row>
    <row r="214" spans="1:21" ht="18" hidden="1" customHeight="1">
      <c r="A214" s="49">
        <f>SUBTOTAL(103,$B$9:B214)</f>
        <v>73</v>
      </c>
      <c r="B214" s="62" t="s">
        <v>241</v>
      </c>
      <c r="C214" s="51" t="s">
        <v>51</v>
      </c>
      <c r="D214" s="63"/>
      <c r="E214" s="53">
        <v>0</v>
      </c>
      <c r="F214" s="64"/>
      <c r="G214" s="55">
        <f t="shared" si="37"/>
        <v>0</v>
      </c>
      <c r="H214" s="56"/>
      <c r="I214" s="57"/>
      <c r="J214" s="57"/>
      <c r="K214" s="58">
        <f t="shared" si="38"/>
        <v>0</v>
      </c>
      <c r="L214" s="59">
        <f t="shared" si="39"/>
        <v>0</v>
      </c>
      <c r="M214" s="57"/>
      <c r="N214" s="57"/>
      <c r="O214" s="58">
        <f t="shared" si="40"/>
        <v>0</v>
      </c>
      <c r="P214" s="60">
        <f t="shared" si="41"/>
        <v>0</v>
      </c>
      <c r="Q214" s="58">
        <f t="shared" ref="Q214:Q278" si="45">K214-N214</f>
        <v>0</v>
      </c>
      <c r="R214" s="58">
        <f t="shared" si="36"/>
        <v>0</v>
      </c>
      <c r="S214" s="58"/>
      <c r="T214" s="58"/>
      <c r="U214" s="61">
        <f t="shared" si="42"/>
        <v>0</v>
      </c>
    </row>
    <row r="215" spans="1:21" ht="18" hidden="1" customHeight="1">
      <c r="A215" s="49">
        <f>SUBTOTAL(103,$B$9:B215)</f>
        <v>73</v>
      </c>
      <c r="B215" s="62" t="s">
        <v>242</v>
      </c>
      <c r="C215" s="51" t="s">
        <v>51</v>
      </c>
      <c r="D215" s="63"/>
      <c r="E215" s="53">
        <v>0</v>
      </c>
      <c r="F215" s="64"/>
      <c r="G215" s="55">
        <f t="shared" si="37"/>
        <v>0</v>
      </c>
      <c r="H215" s="56"/>
      <c r="I215" s="57"/>
      <c r="J215" s="57"/>
      <c r="K215" s="58">
        <f t="shared" si="38"/>
        <v>0</v>
      </c>
      <c r="L215" s="59">
        <f t="shared" si="39"/>
        <v>0</v>
      </c>
      <c r="M215" s="57"/>
      <c r="N215" s="57"/>
      <c r="O215" s="58">
        <f t="shared" si="40"/>
        <v>0</v>
      </c>
      <c r="P215" s="60">
        <f t="shared" si="41"/>
        <v>0</v>
      </c>
      <c r="Q215" s="58">
        <f t="shared" si="45"/>
        <v>0</v>
      </c>
      <c r="R215" s="58">
        <f t="shared" si="36"/>
        <v>0</v>
      </c>
      <c r="S215" s="58"/>
      <c r="T215" s="58"/>
      <c r="U215" s="61">
        <f t="shared" si="42"/>
        <v>0</v>
      </c>
    </row>
    <row r="216" spans="1:21" ht="18" hidden="1" customHeight="1">
      <c r="A216" s="49">
        <f>SUBTOTAL(103,$B$9:B216)</f>
        <v>73</v>
      </c>
      <c r="B216" s="62" t="s">
        <v>243</v>
      </c>
      <c r="C216" s="51" t="s">
        <v>51</v>
      </c>
      <c r="D216" s="63"/>
      <c r="E216" s="53">
        <v>0</v>
      </c>
      <c r="F216" s="64"/>
      <c r="G216" s="55">
        <f t="shared" si="37"/>
        <v>0</v>
      </c>
      <c r="H216" s="56"/>
      <c r="I216" s="57"/>
      <c r="J216" s="57"/>
      <c r="K216" s="58">
        <f t="shared" si="38"/>
        <v>0</v>
      </c>
      <c r="L216" s="59">
        <f t="shared" si="39"/>
        <v>0</v>
      </c>
      <c r="M216" s="57"/>
      <c r="N216" s="57"/>
      <c r="O216" s="58">
        <f t="shared" si="40"/>
        <v>0</v>
      </c>
      <c r="P216" s="60">
        <f t="shared" si="41"/>
        <v>0</v>
      </c>
      <c r="Q216" s="58">
        <f t="shared" si="45"/>
        <v>0</v>
      </c>
      <c r="R216" s="58">
        <f t="shared" si="36"/>
        <v>0</v>
      </c>
      <c r="S216" s="58"/>
      <c r="T216" s="58"/>
      <c r="U216" s="61">
        <f t="shared" si="42"/>
        <v>0</v>
      </c>
    </row>
    <row r="217" spans="1:21" ht="18" customHeight="1">
      <c r="A217" s="49">
        <f>SUBTOTAL(103,$B$9:B217)</f>
        <v>74</v>
      </c>
      <c r="B217" s="62" t="s">
        <v>244</v>
      </c>
      <c r="C217" s="51" t="s">
        <v>51</v>
      </c>
      <c r="D217" s="77">
        <v>500</v>
      </c>
      <c r="E217" s="53">
        <v>0</v>
      </c>
      <c r="F217" s="64"/>
      <c r="G217" s="55">
        <f t="shared" si="37"/>
        <v>0</v>
      </c>
      <c r="H217" s="56"/>
      <c r="I217" s="78"/>
      <c r="J217" s="57">
        <v>500</v>
      </c>
      <c r="K217" s="58">
        <f t="shared" si="38"/>
        <v>500</v>
      </c>
      <c r="L217" s="59">
        <f t="shared" si="39"/>
        <v>100</v>
      </c>
      <c r="M217" s="57"/>
      <c r="N217" s="57">
        <f>250+250</f>
        <v>500</v>
      </c>
      <c r="O217" s="58">
        <f t="shared" si="40"/>
        <v>0</v>
      </c>
      <c r="P217" s="60">
        <f t="shared" si="41"/>
        <v>100</v>
      </c>
      <c r="Q217" s="58">
        <f t="shared" si="45"/>
        <v>0</v>
      </c>
      <c r="R217" s="58">
        <f t="shared" si="36"/>
        <v>0</v>
      </c>
      <c r="S217" s="58"/>
      <c r="T217" s="58"/>
      <c r="U217" s="61">
        <f t="shared" si="42"/>
        <v>0</v>
      </c>
    </row>
    <row r="218" spans="1:21" ht="18" hidden="1" customHeight="1">
      <c r="A218" s="49">
        <f>SUBTOTAL(103,$B$9:B218)</f>
        <v>74</v>
      </c>
      <c r="B218" s="92" t="s">
        <v>245</v>
      </c>
      <c r="C218" s="51" t="s">
        <v>51</v>
      </c>
      <c r="D218" s="63"/>
      <c r="E218" s="53">
        <v>0</v>
      </c>
      <c r="F218" s="64"/>
      <c r="G218" s="55">
        <f t="shared" si="37"/>
        <v>0</v>
      </c>
      <c r="H218" s="56"/>
      <c r="I218" s="57"/>
      <c r="J218" s="57"/>
      <c r="K218" s="58">
        <f t="shared" si="38"/>
        <v>0</v>
      </c>
      <c r="L218" s="59">
        <f t="shared" si="39"/>
        <v>0</v>
      </c>
      <c r="M218" s="57"/>
      <c r="N218" s="57"/>
      <c r="O218" s="58">
        <f t="shared" si="40"/>
        <v>0</v>
      </c>
      <c r="P218" s="60">
        <f t="shared" si="41"/>
        <v>0</v>
      </c>
      <c r="Q218" s="58">
        <f t="shared" si="45"/>
        <v>0</v>
      </c>
      <c r="R218" s="58">
        <f t="shared" si="36"/>
        <v>0</v>
      </c>
      <c r="S218" s="58"/>
      <c r="T218" s="58"/>
      <c r="U218" s="61">
        <f t="shared" si="42"/>
        <v>0</v>
      </c>
    </row>
    <row r="219" spans="1:21" ht="18" hidden="1" customHeight="1">
      <c r="A219" s="49">
        <f>SUBTOTAL(103,$B$9:B219)</f>
        <v>74</v>
      </c>
      <c r="B219" s="62" t="s">
        <v>246</v>
      </c>
      <c r="C219" s="51" t="s">
        <v>51</v>
      </c>
      <c r="D219" s="63"/>
      <c r="E219" s="53">
        <v>0</v>
      </c>
      <c r="F219" s="64"/>
      <c r="G219" s="55">
        <f t="shared" si="37"/>
        <v>0</v>
      </c>
      <c r="H219" s="56"/>
      <c r="I219" s="57"/>
      <c r="J219" s="57"/>
      <c r="K219" s="58">
        <f t="shared" si="38"/>
        <v>0</v>
      </c>
      <c r="L219" s="59">
        <f t="shared" si="39"/>
        <v>0</v>
      </c>
      <c r="M219" s="57"/>
      <c r="N219" s="57"/>
      <c r="O219" s="58">
        <f t="shared" si="40"/>
        <v>0</v>
      </c>
      <c r="P219" s="60">
        <f t="shared" si="41"/>
        <v>0</v>
      </c>
      <c r="Q219" s="58">
        <f t="shared" si="45"/>
        <v>0</v>
      </c>
      <c r="R219" s="58">
        <f t="shared" si="36"/>
        <v>0</v>
      </c>
      <c r="S219" s="58"/>
      <c r="T219" s="58"/>
      <c r="U219" s="61">
        <f t="shared" si="42"/>
        <v>0</v>
      </c>
    </row>
    <row r="220" spans="1:21" ht="18" hidden="1" customHeight="1">
      <c r="A220" s="49">
        <f>SUBTOTAL(103,$B$9:B220)</f>
        <v>74</v>
      </c>
      <c r="B220" s="62" t="s">
        <v>247</v>
      </c>
      <c r="C220" s="51" t="s">
        <v>51</v>
      </c>
      <c r="D220" s="63"/>
      <c r="E220" s="53">
        <v>0</v>
      </c>
      <c r="F220" s="64"/>
      <c r="G220" s="55">
        <f t="shared" si="37"/>
        <v>0</v>
      </c>
      <c r="H220" s="56"/>
      <c r="I220" s="57"/>
      <c r="J220" s="57"/>
      <c r="K220" s="58">
        <f t="shared" si="38"/>
        <v>0</v>
      </c>
      <c r="L220" s="59">
        <f t="shared" si="39"/>
        <v>0</v>
      </c>
      <c r="M220" s="57"/>
      <c r="N220" s="57"/>
      <c r="O220" s="58">
        <f t="shared" si="40"/>
        <v>0</v>
      </c>
      <c r="P220" s="60">
        <f t="shared" si="41"/>
        <v>0</v>
      </c>
      <c r="Q220" s="58">
        <f t="shared" si="45"/>
        <v>0</v>
      </c>
      <c r="R220" s="58">
        <f t="shared" si="36"/>
        <v>0</v>
      </c>
      <c r="S220" s="58"/>
      <c r="T220" s="58"/>
      <c r="U220" s="61">
        <f t="shared" si="42"/>
        <v>0</v>
      </c>
    </row>
    <row r="221" spans="1:21" ht="18" hidden="1" customHeight="1">
      <c r="A221" s="49">
        <f>SUBTOTAL(103,$B$9:B221)</f>
        <v>74</v>
      </c>
      <c r="B221" s="62" t="s">
        <v>248</v>
      </c>
      <c r="C221" s="51" t="s">
        <v>37</v>
      </c>
      <c r="D221" s="63"/>
      <c r="E221" s="53">
        <v>0</v>
      </c>
      <c r="F221" s="64"/>
      <c r="G221" s="55">
        <f t="shared" si="37"/>
        <v>0</v>
      </c>
      <c r="H221" s="56"/>
      <c r="I221" s="57"/>
      <c r="J221" s="57"/>
      <c r="K221" s="58">
        <f t="shared" si="38"/>
        <v>0</v>
      </c>
      <c r="L221" s="59">
        <f t="shared" si="39"/>
        <v>0</v>
      </c>
      <c r="M221" s="57"/>
      <c r="N221" s="57"/>
      <c r="O221" s="58">
        <f t="shared" si="40"/>
        <v>0</v>
      </c>
      <c r="P221" s="60">
        <f t="shared" si="41"/>
        <v>0</v>
      </c>
      <c r="Q221" s="58">
        <f t="shared" si="45"/>
        <v>0</v>
      </c>
      <c r="R221" s="58">
        <f t="shared" si="36"/>
        <v>0</v>
      </c>
      <c r="S221" s="58"/>
      <c r="T221" s="58"/>
      <c r="U221" s="61">
        <f t="shared" si="42"/>
        <v>0</v>
      </c>
    </row>
    <row r="222" spans="1:21" ht="18" hidden="1" customHeight="1">
      <c r="A222" s="49">
        <f>SUBTOTAL(103,$B$9:B222)</f>
        <v>74</v>
      </c>
      <c r="B222" s="62" t="s">
        <v>249</v>
      </c>
      <c r="C222" s="51" t="s">
        <v>51</v>
      </c>
      <c r="D222" s="63"/>
      <c r="E222" s="53">
        <v>0</v>
      </c>
      <c r="F222" s="64"/>
      <c r="G222" s="55">
        <f t="shared" si="37"/>
        <v>0</v>
      </c>
      <c r="H222" s="56"/>
      <c r="I222" s="57"/>
      <c r="J222" s="57"/>
      <c r="K222" s="58">
        <f t="shared" si="38"/>
        <v>0</v>
      </c>
      <c r="L222" s="59">
        <f t="shared" si="39"/>
        <v>0</v>
      </c>
      <c r="M222" s="57"/>
      <c r="N222" s="57"/>
      <c r="O222" s="58">
        <f t="shared" si="40"/>
        <v>0</v>
      </c>
      <c r="P222" s="60">
        <f t="shared" si="41"/>
        <v>0</v>
      </c>
      <c r="Q222" s="58">
        <f t="shared" si="45"/>
        <v>0</v>
      </c>
      <c r="R222" s="58">
        <f t="shared" si="36"/>
        <v>0</v>
      </c>
      <c r="S222" s="58"/>
      <c r="T222" s="58"/>
      <c r="U222" s="61">
        <f t="shared" si="42"/>
        <v>0</v>
      </c>
    </row>
    <row r="223" spans="1:21" ht="18" hidden="1" customHeight="1">
      <c r="A223" s="49">
        <f>SUBTOTAL(103,$B$9:B223)</f>
        <v>74</v>
      </c>
      <c r="B223" s="62" t="s">
        <v>250</v>
      </c>
      <c r="C223" s="51" t="s">
        <v>51</v>
      </c>
      <c r="D223" s="63"/>
      <c r="E223" s="53">
        <v>0</v>
      </c>
      <c r="F223" s="64"/>
      <c r="G223" s="55">
        <f t="shared" si="37"/>
        <v>0</v>
      </c>
      <c r="H223" s="56"/>
      <c r="I223" s="57"/>
      <c r="J223" s="57"/>
      <c r="K223" s="58">
        <f t="shared" si="38"/>
        <v>0</v>
      </c>
      <c r="L223" s="59">
        <f t="shared" si="39"/>
        <v>0</v>
      </c>
      <c r="M223" s="57"/>
      <c r="N223" s="57"/>
      <c r="O223" s="58">
        <f t="shared" si="40"/>
        <v>0</v>
      </c>
      <c r="P223" s="60">
        <f t="shared" si="41"/>
        <v>0</v>
      </c>
      <c r="Q223" s="58">
        <f t="shared" si="45"/>
        <v>0</v>
      </c>
      <c r="R223" s="58">
        <f t="shared" si="36"/>
        <v>0</v>
      </c>
      <c r="S223" s="58"/>
      <c r="T223" s="58"/>
      <c r="U223" s="61">
        <f t="shared" si="42"/>
        <v>0</v>
      </c>
    </row>
    <row r="224" spans="1:21" ht="18" hidden="1" customHeight="1">
      <c r="A224" s="49">
        <f>SUBTOTAL(103,$B$9:B224)</f>
        <v>74</v>
      </c>
      <c r="B224" s="62" t="s">
        <v>251</v>
      </c>
      <c r="C224" s="51" t="s">
        <v>51</v>
      </c>
      <c r="D224" s="63"/>
      <c r="E224" s="53">
        <v>0</v>
      </c>
      <c r="F224" s="64"/>
      <c r="G224" s="55">
        <f t="shared" si="37"/>
        <v>0</v>
      </c>
      <c r="H224" s="56"/>
      <c r="I224" s="57"/>
      <c r="J224" s="57"/>
      <c r="K224" s="58">
        <f t="shared" si="38"/>
        <v>0</v>
      </c>
      <c r="L224" s="59">
        <f t="shared" si="39"/>
        <v>0</v>
      </c>
      <c r="M224" s="57"/>
      <c r="N224" s="57"/>
      <c r="O224" s="58">
        <f t="shared" si="40"/>
        <v>0</v>
      </c>
      <c r="P224" s="60">
        <f t="shared" si="41"/>
        <v>0</v>
      </c>
      <c r="Q224" s="58">
        <f t="shared" si="45"/>
        <v>0</v>
      </c>
      <c r="R224" s="58">
        <f t="shared" si="36"/>
        <v>0</v>
      </c>
      <c r="S224" s="58"/>
      <c r="T224" s="58"/>
      <c r="U224" s="61">
        <f t="shared" si="42"/>
        <v>0</v>
      </c>
    </row>
    <row r="225" spans="1:21" ht="18" hidden="1" customHeight="1">
      <c r="A225" s="49">
        <f>SUBTOTAL(103,$B$9:B225)</f>
        <v>74</v>
      </c>
      <c r="B225" s="62" t="s">
        <v>252</v>
      </c>
      <c r="C225" s="51" t="s">
        <v>51</v>
      </c>
      <c r="D225" s="63"/>
      <c r="E225" s="53">
        <v>0</v>
      </c>
      <c r="F225" s="64"/>
      <c r="G225" s="55">
        <f t="shared" si="37"/>
        <v>0</v>
      </c>
      <c r="H225" s="56"/>
      <c r="I225" s="57"/>
      <c r="J225" s="57"/>
      <c r="K225" s="58">
        <f t="shared" si="38"/>
        <v>0</v>
      </c>
      <c r="L225" s="59">
        <f t="shared" si="39"/>
        <v>0</v>
      </c>
      <c r="M225" s="57"/>
      <c r="N225" s="57"/>
      <c r="O225" s="58">
        <f t="shared" si="40"/>
        <v>0</v>
      </c>
      <c r="P225" s="60">
        <f t="shared" si="41"/>
        <v>0</v>
      </c>
      <c r="Q225" s="58">
        <f t="shared" si="45"/>
        <v>0</v>
      </c>
      <c r="R225" s="58">
        <f t="shared" si="36"/>
        <v>0</v>
      </c>
      <c r="S225" s="58"/>
      <c r="T225" s="58"/>
      <c r="U225" s="61">
        <f t="shared" si="42"/>
        <v>0</v>
      </c>
    </row>
    <row r="226" spans="1:21" ht="18" hidden="1" customHeight="1">
      <c r="A226" s="49">
        <f>SUBTOTAL(103,$B$9:B226)</f>
        <v>74</v>
      </c>
      <c r="B226" s="62" t="s">
        <v>253</v>
      </c>
      <c r="C226" s="51" t="s">
        <v>51</v>
      </c>
      <c r="D226" s="63"/>
      <c r="E226" s="53">
        <v>0</v>
      </c>
      <c r="F226" s="64"/>
      <c r="G226" s="55">
        <f t="shared" si="37"/>
        <v>0</v>
      </c>
      <c r="H226" s="56"/>
      <c r="I226" s="57"/>
      <c r="J226" s="57"/>
      <c r="K226" s="58">
        <f t="shared" si="38"/>
        <v>0</v>
      </c>
      <c r="L226" s="59">
        <f t="shared" si="39"/>
        <v>0</v>
      </c>
      <c r="M226" s="57"/>
      <c r="N226" s="57"/>
      <c r="O226" s="58">
        <f t="shared" si="40"/>
        <v>0</v>
      </c>
      <c r="P226" s="60">
        <f t="shared" si="41"/>
        <v>0</v>
      </c>
      <c r="Q226" s="58">
        <f t="shared" si="45"/>
        <v>0</v>
      </c>
      <c r="R226" s="58">
        <f t="shared" si="36"/>
        <v>0</v>
      </c>
      <c r="S226" s="58"/>
      <c r="T226" s="58"/>
      <c r="U226" s="61">
        <f t="shared" si="42"/>
        <v>0</v>
      </c>
    </row>
    <row r="227" spans="1:21" ht="18" hidden="1" customHeight="1">
      <c r="A227" s="49">
        <f>SUBTOTAL(103,$B$9:B227)</f>
        <v>74</v>
      </c>
      <c r="B227" s="62" t="s">
        <v>254</v>
      </c>
      <c r="C227" s="51" t="s">
        <v>51</v>
      </c>
      <c r="D227" s="63"/>
      <c r="E227" s="53">
        <v>0</v>
      </c>
      <c r="F227" s="64"/>
      <c r="G227" s="55">
        <f t="shared" si="37"/>
        <v>0</v>
      </c>
      <c r="H227" s="56"/>
      <c r="I227" s="57"/>
      <c r="J227" s="57"/>
      <c r="K227" s="58">
        <f t="shared" si="38"/>
        <v>0</v>
      </c>
      <c r="L227" s="59">
        <f t="shared" si="39"/>
        <v>0</v>
      </c>
      <c r="M227" s="57"/>
      <c r="N227" s="57"/>
      <c r="O227" s="58">
        <f t="shared" si="40"/>
        <v>0</v>
      </c>
      <c r="P227" s="60">
        <f t="shared" si="41"/>
        <v>0</v>
      </c>
      <c r="Q227" s="58">
        <f t="shared" si="45"/>
        <v>0</v>
      </c>
      <c r="R227" s="58">
        <f t="shared" si="36"/>
        <v>0</v>
      </c>
      <c r="S227" s="58"/>
      <c r="T227" s="58"/>
      <c r="U227" s="61">
        <f t="shared" si="42"/>
        <v>0</v>
      </c>
    </row>
    <row r="228" spans="1:21" ht="18" customHeight="1">
      <c r="A228" s="49">
        <f>SUBTOTAL(103,$B$9:B228)</f>
        <v>75</v>
      </c>
      <c r="B228" s="62" t="s">
        <v>255</v>
      </c>
      <c r="C228" s="51" t="s">
        <v>51</v>
      </c>
      <c r="D228" s="77">
        <f>3140+2000</f>
        <v>5140</v>
      </c>
      <c r="E228" s="53">
        <v>0</v>
      </c>
      <c r="F228" s="64"/>
      <c r="G228" s="55">
        <f t="shared" si="37"/>
        <v>0</v>
      </c>
      <c r="H228" s="56"/>
      <c r="I228" s="78"/>
      <c r="J228" s="57">
        <f>3140+2000</f>
        <v>5140</v>
      </c>
      <c r="K228" s="58">
        <f t="shared" si="38"/>
        <v>5140</v>
      </c>
      <c r="L228" s="59">
        <f t="shared" si="39"/>
        <v>100</v>
      </c>
      <c r="M228" s="57"/>
      <c r="N228" s="57">
        <f>2000+2132+1008</f>
        <v>5140</v>
      </c>
      <c r="O228" s="58">
        <f t="shared" si="40"/>
        <v>0</v>
      </c>
      <c r="P228" s="60">
        <f t="shared" si="41"/>
        <v>100</v>
      </c>
      <c r="Q228" s="58">
        <f t="shared" si="45"/>
        <v>0</v>
      </c>
      <c r="R228" s="58">
        <f t="shared" si="36"/>
        <v>0</v>
      </c>
      <c r="S228" s="58"/>
      <c r="T228" s="58"/>
      <c r="U228" s="61">
        <f t="shared" si="42"/>
        <v>0</v>
      </c>
    </row>
    <row r="229" spans="1:21" ht="18" customHeight="1">
      <c r="A229" s="49">
        <f>SUBTOTAL(103,$B$9:B229)</f>
        <v>76</v>
      </c>
      <c r="B229" s="62" t="s">
        <v>256</v>
      </c>
      <c r="C229" s="51" t="s">
        <v>51</v>
      </c>
      <c r="D229" s="77">
        <f>3229+2000</f>
        <v>5229</v>
      </c>
      <c r="E229" s="53">
        <v>0</v>
      </c>
      <c r="F229" s="64"/>
      <c r="G229" s="55">
        <f t="shared" si="37"/>
        <v>0</v>
      </c>
      <c r="H229" s="56"/>
      <c r="I229" s="78"/>
      <c r="J229" s="57">
        <f>3229+2000</f>
        <v>5229</v>
      </c>
      <c r="K229" s="58">
        <f t="shared" si="38"/>
        <v>5229</v>
      </c>
      <c r="L229" s="59">
        <f t="shared" si="39"/>
        <v>100</v>
      </c>
      <c r="M229" s="57"/>
      <c r="N229" s="57">
        <f>2000+169+3060</f>
        <v>5229</v>
      </c>
      <c r="O229" s="58">
        <f t="shared" si="40"/>
        <v>0</v>
      </c>
      <c r="P229" s="60">
        <f t="shared" si="41"/>
        <v>100</v>
      </c>
      <c r="Q229" s="58">
        <f t="shared" si="45"/>
        <v>0</v>
      </c>
      <c r="R229" s="58">
        <f t="shared" si="36"/>
        <v>0</v>
      </c>
      <c r="S229" s="58"/>
      <c r="T229" s="58"/>
      <c r="U229" s="61">
        <f t="shared" si="42"/>
        <v>0</v>
      </c>
    </row>
    <row r="230" spans="1:21" ht="18" hidden="1" customHeight="1">
      <c r="A230" s="49">
        <f>SUBTOTAL(103,$B$9:B230)</f>
        <v>76</v>
      </c>
      <c r="B230" s="62" t="s">
        <v>257</v>
      </c>
      <c r="C230" s="51" t="s">
        <v>51</v>
      </c>
      <c r="D230" s="63"/>
      <c r="E230" s="53">
        <v>0</v>
      </c>
      <c r="F230" s="64"/>
      <c r="G230" s="55">
        <f t="shared" si="37"/>
        <v>0</v>
      </c>
      <c r="H230" s="56"/>
      <c r="I230" s="57"/>
      <c r="J230" s="57"/>
      <c r="K230" s="58">
        <f t="shared" si="38"/>
        <v>0</v>
      </c>
      <c r="L230" s="59">
        <f t="shared" si="39"/>
        <v>0</v>
      </c>
      <c r="M230" s="57"/>
      <c r="N230" s="57"/>
      <c r="O230" s="58">
        <f t="shared" si="40"/>
        <v>0</v>
      </c>
      <c r="P230" s="60">
        <f t="shared" si="41"/>
        <v>0</v>
      </c>
      <c r="Q230" s="58">
        <f t="shared" si="45"/>
        <v>0</v>
      </c>
      <c r="R230" s="58">
        <f t="shared" si="36"/>
        <v>0</v>
      </c>
      <c r="S230" s="58"/>
      <c r="T230" s="58"/>
      <c r="U230" s="61">
        <f t="shared" si="42"/>
        <v>0</v>
      </c>
    </row>
    <row r="231" spans="1:21" ht="18" hidden="1" customHeight="1">
      <c r="A231" s="49">
        <f>SUBTOTAL(103,$B$9:B231)</f>
        <v>76</v>
      </c>
      <c r="B231" s="62" t="s">
        <v>258</v>
      </c>
      <c r="C231" s="51" t="s">
        <v>51</v>
      </c>
      <c r="D231" s="63"/>
      <c r="E231" s="53">
        <v>0</v>
      </c>
      <c r="F231" s="64"/>
      <c r="G231" s="55">
        <f t="shared" si="37"/>
        <v>0</v>
      </c>
      <c r="H231" s="56"/>
      <c r="I231" s="57"/>
      <c r="J231" s="57"/>
      <c r="K231" s="58">
        <f t="shared" si="38"/>
        <v>0</v>
      </c>
      <c r="L231" s="59">
        <f t="shared" si="39"/>
        <v>0</v>
      </c>
      <c r="M231" s="57"/>
      <c r="N231" s="57"/>
      <c r="O231" s="58">
        <f t="shared" si="40"/>
        <v>0</v>
      </c>
      <c r="P231" s="60">
        <f t="shared" si="41"/>
        <v>0</v>
      </c>
      <c r="Q231" s="58">
        <f t="shared" si="45"/>
        <v>0</v>
      </c>
      <c r="R231" s="58">
        <f t="shared" si="36"/>
        <v>0</v>
      </c>
      <c r="S231" s="58"/>
      <c r="T231" s="58"/>
      <c r="U231" s="61">
        <f t="shared" si="42"/>
        <v>0</v>
      </c>
    </row>
    <row r="232" spans="1:21" ht="18" hidden="1" customHeight="1">
      <c r="A232" s="49">
        <f>SUBTOTAL(103,$B$9:B232)</f>
        <v>76</v>
      </c>
      <c r="B232" s="62" t="s">
        <v>259</v>
      </c>
      <c r="C232" s="51" t="s">
        <v>51</v>
      </c>
      <c r="D232" s="77"/>
      <c r="E232" s="53">
        <v>0</v>
      </c>
      <c r="F232" s="64"/>
      <c r="G232" s="55">
        <f t="shared" si="37"/>
        <v>0</v>
      </c>
      <c r="H232" s="56"/>
      <c r="I232" s="57"/>
      <c r="J232" s="57"/>
      <c r="K232" s="58">
        <f t="shared" si="38"/>
        <v>0</v>
      </c>
      <c r="L232" s="59">
        <f t="shared" si="39"/>
        <v>0</v>
      </c>
      <c r="M232" s="57"/>
      <c r="N232" s="57"/>
      <c r="O232" s="58">
        <f t="shared" si="40"/>
        <v>0</v>
      </c>
      <c r="P232" s="60">
        <f t="shared" si="41"/>
        <v>0</v>
      </c>
      <c r="Q232" s="58">
        <f t="shared" si="45"/>
        <v>0</v>
      </c>
      <c r="R232" s="58">
        <f t="shared" si="36"/>
        <v>0</v>
      </c>
      <c r="S232" s="58"/>
      <c r="T232" s="58"/>
      <c r="U232" s="61">
        <f t="shared" si="42"/>
        <v>0</v>
      </c>
    </row>
    <row r="233" spans="1:21" ht="18" hidden="1" customHeight="1">
      <c r="A233" s="49">
        <f>SUBTOTAL(103,$B$9:B233)</f>
        <v>76</v>
      </c>
      <c r="B233" s="62" t="s">
        <v>260</v>
      </c>
      <c r="C233" s="51" t="s">
        <v>51</v>
      </c>
      <c r="D233" s="63"/>
      <c r="E233" s="53">
        <v>0</v>
      </c>
      <c r="F233" s="64"/>
      <c r="G233" s="55">
        <f t="shared" si="37"/>
        <v>0</v>
      </c>
      <c r="H233" s="56"/>
      <c r="I233" s="57"/>
      <c r="J233" s="57"/>
      <c r="K233" s="58">
        <f t="shared" si="38"/>
        <v>0</v>
      </c>
      <c r="L233" s="59">
        <f t="shared" si="39"/>
        <v>0</v>
      </c>
      <c r="M233" s="57"/>
      <c r="N233" s="57"/>
      <c r="O233" s="58">
        <f t="shared" si="40"/>
        <v>0</v>
      </c>
      <c r="P233" s="60">
        <f t="shared" si="41"/>
        <v>0</v>
      </c>
      <c r="Q233" s="58">
        <f t="shared" si="45"/>
        <v>0</v>
      </c>
      <c r="R233" s="58">
        <f t="shared" si="36"/>
        <v>0</v>
      </c>
      <c r="S233" s="58"/>
      <c r="T233" s="58"/>
      <c r="U233" s="61">
        <f t="shared" si="42"/>
        <v>0</v>
      </c>
    </row>
    <row r="234" spans="1:21" ht="18" customHeight="1">
      <c r="A234" s="49">
        <f>SUBTOTAL(103,$B$9:B234)</f>
        <v>77</v>
      </c>
      <c r="B234" s="62" t="s">
        <v>261</v>
      </c>
      <c r="C234" s="51" t="s">
        <v>51</v>
      </c>
      <c r="D234" s="77">
        <f>1500+200</f>
        <v>1700</v>
      </c>
      <c r="E234" s="53">
        <v>0</v>
      </c>
      <c r="F234" s="64"/>
      <c r="G234" s="55">
        <f t="shared" si="37"/>
        <v>0</v>
      </c>
      <c r="H234" s="56"/>
      <c r="I234" s="78"/>
      <c r="J234" s="57">
        <f>1500+200</f>
        <v>1700</v>
      </c>
      <c r="K234" s="58">
        <f t="shared" si="38"/>
        <v>1700</v>
      </c>
      <c r="L234" s="59">
        <f t="shared" si="39"/>
        <v>100</v>
      </c>
      <c r="M234" s="78"/>
      <c r="N234" s="57">
        <f>1500+200</f>
        <v>1700</v>
      </c>
      <c r="O234" s="58">
        <f t="shared" si="40"/>
        <v>0</v>
      </c>
      <c r="P234" s="60">
        <f t="shared" si="41"/>
        <v>100</v>
      </c>
      <c r="Q234" s="58">
        <f t="shared" si="45"/>
        <v>0</v>
      </c>
      <c r="R234" s="58">
        <f t="shared" si="36"/>
        <v>0</v>
      </c>
      <c r="S234" s="58"/>
      <c r="T234" s="58"/>
      <c r="U234" s="61">
        <f t="shared" si="42"/>
        <v>0</v>
      </c>
    </row>
    <row r="235" spans="1:21" ht="18" customHeight="1">
      <c r="A235" s="49">
        <f>SUBTOTAL(103,$B$9:B235)</f>
        <v>78</v>
      </c>
      <c r="B235" s="62" t="s">
        <v>262</v>
      </c>
      <c r="C235" s="51" t="s">
        <v>51</v>
      </c>
      <c r="D235" s="77">
        <v>4100</v>
      </c>
      <c r="E235" s="53">
        <v>0</v>
      </c>
      <c r="F235" s="64"/>
      <c r="G235" s="55">
        <f t="shared" si="37"/>
        <v>0</v>
      </c>
      <c r="H235" s="56"/>
      <c r="I235" s="78"/>
      <c r="J235" s="57">
        <v>4100</v>
      </c>
      <c r="K235" s="58">
        <f t="shared" si="38"/>
        <v>4100</v>
      </c>
      <c r="L235" s="59">
        <f t="shared" si="39"/>
        <v>100</v>
      </c>
      <c r="M235" s="57"/>
      <c r="N235" s="57">
        <v>4100</v>
      </c>
      <c r="O235" s="58">
        <f t="shared" si="40"/>
        <v>0</v>
      </c>
      <c r="P235" s="60">
        <f t="shared" si="41"/>
        <v>100</v>
      </c>
      <c r="Q235" s="58">
        <f t="shared" si="45"/>
        <v>0</v>
      </c>
      <c r="R235" s="58">
        <f t="shared" si="36"/>
        <v>0</v>
      </c>
      <c r="S235" s="58"/>
      <c r="T235" s="58"/>
      <c r="U235" s="61">
        <f t="shared" si="42"/>
        <v>0</v>
      </c>
    </row>
    <row r="236" spans="1:21" ht="18" customHeight="1">
      <c r="A236" s="49">
        <f>SUBTOTAL(103,$B$9:B236)</f>
        <v>79</v>
      </c>
      <c r="B236" s="76" t="s">
        <v>263</v>
      </c>
      <c r="C236" s="51" t="s">
        <v>51</v>
      </c>
      <c r="D236" s="77">
        <v>100</v>
      </c>
      <c r="E236" s="53">
        <v>0</v>
      </c>
      <c r="F236" s="64"/>
      <c r="G236" s="55">
        <f t="shared" si="37"/>
        <v>0</v>
      </c>
      <c r="H236" s="56"/>
      <c r="I236" s="78"/>
      <c r="J236" s="57">
        <v>100</v>
      </c>
      <c r="K236" s="58">
        <f t="shared" si="38"/>
        <v>100</v>
      </c>
      <c r="L236" s="59">
        <f t="shared" si="39"/>
        <v>100</v>
      </c>
      <c r="M236" s="57"/>
      <c r="N236" s="78">
        <v>100</v>
      </c>
      <c r="O236" s="58">
        <f t="shared" si="40"/>
        <v>0</v>
      </c>
      <c r="P236" s="60">
        <f t="shared" si="41"/>
        <v>100</v>
      </c>
      <c r="Q236" s="79">
        <f t="shared" si="45"/>
        <v>0</v>
      </c>
      <c r="R236" s="58">
        <f t="shared" si="36"/>
        <v>0</v>
      </c>
      <c r="S236" s="58"/>
      <c r="T236" s="58"/>
      <c r="U236" s="61">
        <f t="shared" si="42"/>
        <v>0</v>
      </c>
    </row>
    <row r="237" spans="1:21" ht="18" hidden="1" customHeight="1">
      <c r="A237" s="49">
        <f>SUBTOTAL(103,$B$9:B237)</f>
        <v>79</v>
      </c>
      <c r="B237" s="62" t="s">
        <v>264</v>
      </c>
      <c r="C237" s="51" t="s">
        <v>51</v>
      </c>
      <c r="D237" s="63"/>
      <c r="E237" s="53">
        <v>0</v>
      </c>
      <c r="F237" s="64"/>
      <c r="G237" s="55">
        <f t="shared" si="37"/>
        <v>0</v>
      </c>
      <c r="H237" s="56"/>
      <c r="I237" s="57"/>
      <c r="J237" s="57"/>
      <c r="K237" s="58">
        <f t="shared" si="38"/>
        <v>0</v>
      </c>
      <c r="L237" s="59">
        <f t="shared" si="39"/>
        <v>0</v>
      </c>
      <c r="M237" s="57"/>
      <c r="N237" s="57"/>
      <c r="O237" s="58">
        <f t="shared" si="40"/>
        <v>0</v>
      </c>
      <c r="P237" s="60">
        <f t="shared" si="41"/>
        <v>0</v>
      </c>
      <c r="Q237" s="58">
        <f t="shared" si="45"/>
        <v>0</v>
      </c>
      <c r="R237" s="58">
        <f t="shared" si="36"/>
        <v>0</v>
      </c>
      <c r="S237" s="58"/>
      <c r="T237" s="58"/>
      <c r="U237" s="61">
        <f t="shared" si="42"/>
        <v>0</v>
      </c>
    </row>
    <row r="238" spans="1:21" ht="18" hidden="1" customHeight="1">
      <c r="A238" s="49">
        <f>SUBTOTAL(103,$B$9:B238)</f>
        <v>79</v>
      </c>
      <c r="B238" s="62" t="s">
        <v>265</v>
      </c>
      <c r="C238" s="51" t="s">
        <v>51</v>
      </c>
      <c r="D238" s="63"/>
      <c r="E238" s="53">
        <v>0</v>
      </c>
      <c r="F238" s="64"/>
      <c r="G238" s="55">
        <f t="shared" si="37"/>
        <v>0</v>
      </c>
      <c r="H238" s="56"/>
      <c r="I238" s="57"/>
      <c r="J238" s="57"/>
      <c r="K238" s="58">
        <f t="shared" si="38"/>
        <v>0</v>
      </c>
      <c r="L238" s="59">
        <f t="shared" si="39"/>
        <v>0</v>
      </c>
      <c r="M238" s="57"/>
      <c r="N238" s="57"/>
      <c r="O238" s="58">
        <f t="shared" si="40"/>
        <v>0</v>
      </c>
      <c r="P238" s="60">
        <f t="shared" si="41"/>
        <v>0</v>
      </c>
      <c r="Q238" s="58">
        <f t="shared" si="45"/>
        <v>0</v>
      </c>
      <c r="R238" s="58">
        <f t="shared" si="36"/>
        <v>0</v>
      </c>
      <c r="S238" s="58"/>
      <c r="T238" s="58"/>
      <c r="U238" s="61">
        <f t="shared" si="42"/>
        <v>0</v>
      </c>
    </row>
    <row r="239" spans="1:21" ht="18" hidden="1" customHeight="1">
      <c r="A239" s="49">
        <f>SUBTOTAL(103,$B$9:B239)</f>
        <v>79</v>
      </c>
      <c r="B239" s="62" t="s">
        <v>266</v>
      </c>
      <c r="C239" s="51" t="s">
        <v>51</v>
      </c>
      <c r="D239" s="63"/>
      <c r="E239" s="53">
        <v>0</v>
      </c>
      <c r="F239" s="64"/>
      <c r="G239" s="55">
        <f t="shared" si="37"/>
        <v>0</v>
      </c>
      <c r="H239" s="56"/>
      <c r="I239" s="57"/>
      <c r="J239" s="57"/>
      <c r="K239" s="58">
        <f t="shared" si="38"/>
        <v>0</v>
      </c>
      <c r="L239" s="59">
        <f t="shared" si="39"/>
        <v>0</v>
      </c>
      <c r="M239" s="57"/>
      <c r="N239" s="57"/>
      <c r="O239" s="58">
        <f t="shared" si="40"/>
        <v>0</v>
      </c>
      <c r="P239" s="60">
        <f t="shared" si="41"/>
        <v>0</v>
      </c>
      <c r="Q239" s="58">
        <f t="shared" si="45"/>
        <v>0</v>
      </c>
      <c r="R239" s="58">
        <f t="shared" si="36"/>
        <v>0</v>
      </c>
      <c r="S239" s="58"/>
      <c r="T239" s="58"/>
      <c r="U239" s="61">
        <f t="shared" si="42"/>
        <v>0</v>
      </c>
    </row>
    <row r="240" spans="1:21" ht="18" hidden="1" customHeight="1">
      <c r="A240" s="49">
        <f>SUBTOTAL(103,$B$9:B240)</f>
        <v>79</v>
      </c>
      <c r="B240" s="62" t="s">
        <v>267</v>
      </c>
      <c r="C240" s="51" t="s">
        <v>51</v>
      </c>
      <c r="D240" s="63"/>
      <c r="E240" s="53">
        <v>0</v>
      </c>
      <c r="F240" s="64"/>
      <c r="G240" s="55">
        <f t="shared" si="37"/>
        <v>0</v>
      </c>
      <c r="H240" s="56"/>
      <c r="I240" s="57"/>
      <c r="J240" s="57"/>
      <c r="K240" s="58">
        <f t="shared" si="38"/>
        <v>0</v>
      </c>
      <c r="L240" s="59">
        <f t="shared" si="39"/>
        <v>0</v>
      </c>
      <c r="M240" s="57"/>
      <c r="N240" s="57"/>
      <c r="O240" s="58">
        <f t="shared" si="40"/>
        <v>0</v>
      </c>
      <c r="P240" s="60">
        <f t="shared" si="41"/>
        <v>0</v>
      </c>
      <c r="Q240" s="58">
        <f t="shared" si="45"/>
        <v>0</v>
      </c>
      <c r="R240" s="58">
        <f t="shared" si="36"/>
        <v>0</v>
      </c>
      <c r="S240" s="58"/>
      <c r="T240" s="58"/>
      <c r="U240" s="61">
        <f t="shared" si="42"/>
        <v>0</v>
      </c>
    </row>
    <row r="241" spans="1:21" ht="18" hidden="1" customHeight="1">
      <c r="A241" s="49">
        <f>SUBTOTAL(103,$B$9:B241)</f>
        <v>79</v>
      </c>
      <c r="B241" s="62" t="s">
        <v>268</v>
      </c>
      <c r="C241" s="51" t="s">
        <v>51</v>
      </c>
      <c r="D241" s="63"/>
      <c r="E241" s="53">
        <v>0</v>
      </c>
      <c r="F241" s="64"/>
      <c r="G241" s="55">
        <f t="shared" si="37"/>
        <v>0</v>
      </c>
      <c r="H241" s="56"/>
      <c r="I241" s="57"/>
      <c r="J241" s="57"/>
      <c r="K241" s="58">
        <f t="shared" si="38"/>
        <v>0</v>
      </c>
      <c r="L241" s="59">
        <f t="shared" si="39"/>
        <v>0</v>
      </c>
      <c r="M241" s="57"/>
      <c r="N241" s="57"/>
      <c r="O241" s="58">
        <f t="shared" si="40"/>
        <v>0</v>
      </c>
      <c r="P241" s="60">
        <f t="shared" si="41"/>
        <v>0</v>
      </c>
      <c r="Q241" s="58">
        <f t="shared" si="45"/>
        <v>0</v>
      </c>
      <c r="R241" s="58">
        <f t="shared" si="36"/>
        <v>0</v>
      </c>
      <c r="S241" s="58"/>
      <c r="T241" s="58"/>
      <c r="U241" s="61">
        <f t="shared" si="42"/>
        <v>0</v>
      </c>
    </row>
    <row r="242" spans="1:21" ht="18" customHeight="1">
      <c r="A242" s="49">
        <f>SUBTOTAL(103,$B$9:B242)</f>
        <v>80</v>
      </c>
      <c r="B242" s="62" t="s">
        <v>269</v>
      </c>
      <c r="C242" s="51" t="s">
        <v>51</v>
      </c>
      <c r="D242" s="77">
        <v>1000</v>
      </c>
      <c r="E242" s="53">
        <v>0</v>
      </c>
      <c r="F242" s="64"/>
      <c r="G242" s="55">
        <f t="shared" si="37"/>
        <v>0</v>
      </c>
      <c r="H242" s="56"/>
      <c r="I242" s="78"/>
      <c r="J242" s="57">
        <v>1000</v>
      </c>
      <c r="K242" s="58">
        <f t="shared" si="38"/>
        <v>1000</v>
      </c>
      <c r="L242" s="59">
        <f t="shared" si="39"/>
        <v>100</v>
      </c>
      <c r="M242" s="57"/>
      <c r="N242" s="57">
        <v>1000</v>
      </c>
      <c r="O242" s="58">
        <f t="shared" si="40"/>
        <v>0</v>
      </c>
      <c r="P242" s="60">
        <f t="shared" si="41"/>
        <v>100</v>
      </c>
      <c r="Q242" s="58">
        <f t="shared" si="45"/>
        <v>0</v>
      </c>
      <c r="R242" s="58">
        <f t="shared" si="36"/>
        <v>0</v>
      </c>
      <c r="S242" s="58"/>
      <c r="T242" s="58"/>
      <c r="U242" s="61">
        <f t="shared" si="42"/>
        <v>0</v>
      </c>
    </row>
    <row r="243" spans="1:21" ht="18" customHeight="1">
      <c r="A243" s="49">
        <f>SUBTOTAL(103,$B$9:B243)</f>
        <v>81</v>
      </c>
      <c r="B243" s="62" t="s">
        <v>270</v>
      </c>
      <c r="C243" s="51" t="s">
        <v>51</v>
      </c>
      <c r="D243" s="77">
        <v>2000</v>
      </c>
      <c r="E243" s="53">
        <v>0</v>
      </c>
      <c r="F243" s="64"/>
      <c r="G243" s="55">
        <f t="shared" si="37"/>
        <v>0</v>
      </c>
      <c r="H243" s="56"/>
      <c r="I243" s="78"/>
      <c r="J243" s="57">
        <v>2000</v>
      </c>
      <c r="K243" s="58">
        <f t="shared" si="38"/>
        <v>2000</v>
      </c>
      <c r="L243" s="59">
        <f t="shared" si="39"/>
        <v>100</v>
      </c>
      <c r="M243" s="57"/>
      <c r="N243" s="57">
        <v>2000</v>
      </c>
      <c r="O243" s="58">
        <f t="shared" si="40"/>
        <v>0</v>
      </c>
      <c r="P243" s="60">
        <f t="shared" si="41"/>
        <v>100</v>
      </c>
      <c r="Q243" s="58">
        <f t="shared" si="45"/>
        <v>0</v>
      </c>
      <c r="R243" s="58">
        <f t="shared" ref="R243:R266" si="46">Q243*E243</f>
        <v>0</v>
      </c>
      <c r="S243" s="58"/>
      <c r="T243" s="58"/>
      <c r="U243" s="61">
        <f t="shared" si="42"/>
        <v>0</v>
      </c>
    </row>
    <row r="244" spans="1:21" ht="18" hidden="1" customHeight="1">
      <c r="A244" s="49">
        <f>SUBTOTAL(103,$B$9:B244)</f>
        <v>81</v>
      </c>
      <c r="B244" s="62" t="s">
        <v>271</v>
      </c>
      <c r="C244" s="51" t="s">
        <v>51</v>
      </c>
      <c r="D244" s="63"/>
      <c r="E244" s="53">
        <v>0</v>
      </c>
      <c r="F244" s="64"/>
      <c r="G244" s="55">
        <f t="shared" si="37"/>
        <v>0</v>
      </c>
      <c r="H244" s="56"/>
      <c r="I244" s="57"/>
      <c r="J244" s="57"/>
      <c r="K244" s="58">
        <f t="shared" si="38"/>
        <v>0</v>
      </c>
      <c r="L244" s="59">
        <f t="shared" si="39"/>
        <v>0</v>
      </c>
      <c r="M244" s="57"/>
      <c r="N244" s="57"/>
      <c r="O244" s="58">
        <f t="shared" si="40"/>
        <v>0</v>
      </c>
      <c r="P244" s="60">
        <f t="shared" si="41"/>
        <v>0</v>
      </c>
      <c r="Q244" s="58">
        <f t="shared" si="45"/>
        <v>0</v>
      </c>
      <c r="R244" s="58">
        <f t="shared" si="46"/>
        <v>0</v>
      </c>
      <c r="S244" s="58"/>
      <c r="T244" s="58"/>
      <c r="U244" s="65">
        <f t="shared" si="42"/>
        <v>0</v>
      </c>
    </row>
    <row r="245" spans="1:21" ht="18" hidden="1" customHeight="1">
      <c r="A245" s="49">
        <f>SUBTOTAL(103,$B$9:B245)</f>
        <v>81</v>
      </c>
      <c r="B245" s="62" t="s">
        <v>272</v>
      </c>
      <c r="C245" s="51" t="s">
        <v>51</v>
      </c>
      <c r="D245" s="63"/>
      <c r="E245" s="53">
        <v>0</v>
      </c>
      <c r="F245" s="64"/>
      <c r="G245" s="55">
        <f t="shared" si="37"/>
        <v>0</v>
      </c>
      <c r="H245" s="56"/>
      <c r="I245" s="57"/>
      <c r="J245" s="57"/>
      <c r="K245" s="58">
        <f t="shared" si="38"/>
        <v>0</v>
      </c>
      <c r="L245" s="59">
        <f t="shared" si="39"/>
        <v>0</v>
      </c>
      <c r="M245" s="57"/>
      <c r="N245" s="57"/>
      <c r="O245" s="58">
        <f t="shared" si="40"/>
        <v>0</v>
      </c>
      <c r="P245" s="60">
        <f t="shared" si="41"/>
        <v>0</v>
      </c>
      <c r="Q245" s="58">
        <f t="shared" si="45"/>
        <v>0</v>
      </c>
      <c r="R245" s="58">
        <f t="shared" si="46"/>
        <v>0</v>
      </c>
      <c r="S245" s="58"/>
      <c r="T245" s="58"/>
      <c r="U245" s="65">
        <f t="shared" si="42"/>
        <v>0</v>
      </c>
    </row>
    <row r="246" spans="1:21" ht="18" hidden="1" customHeight="1">
      <c r="A246" s="49">
        <f>SUBTOTAL(103,$B$9:B246)</f>
        <v>81</v>
      </c>
      <c r="B246" s="62" t="s">
        <v>273</v>
      </c>
      <c r="C246" s="51" t="s">
        <v>51</v>
      </c>
      <c r="D246" s="63"/>
      <c r="E246" s="53">
        <v>0</v>
      </c>
      <c r="F246" s="64"/>
      <c r="G246" s="55">
        <f t="shared" si="37"/>
        <v>0</v>
      </c>
      <c r="H246" s="56"/>
      <c r="I246" s="57"/>
      <c r="J246" s="57"/>
      <c r="K246" s="58">
        <f t="shared" si="38"/>
        <v>0</v>
      </c>
      <c r="L246" s="59">
        <f t="shared" si="39"/>
        <v>0</v>
      </c>
      <c r="M246" s="57"/>
      <c r="N246" s="57"/>
      <c r="O246" s="58">
        <f t="shared" si="40"/>
        <v>0</v>
      </c>
      <c r="P246" s="60">
        <f t="shared" si="41"/>
        <v>0</v>
      </c>
      <c r="Q246" s="58">
        <f t="shared" si="45"/>
        <v>0</v>
      </c>
      <c r="R246" s="58">
        <f t="shared" si="46"/>
        <v>0</v>
      </c>
      <c r="S246" s="58"/>
      <c r="T246" s="58"/>
      <c r="U246" s="65">
        <f t="shared" si="42"/>
        <v>0</v>
      </c>
    </row>
    <row r="247" spans="1:21" ht="18" hidden="1" customHeight="1">
      <c r="A247" s="49">
        <f>SUBTOTAL(103,$B$9:B247)</f>
        <v>81</v>
      </c>
      <c r="B247" s="62" t="s">
        <v>274</v>
      </c>
      <c r="C247" s="51" t="s">
        <v>51</v>
      </c>
      <c r="D247" s="63"/>
      <c r="E247" s="53">
        <v>0</v>
      </c>
      <c r="F247" s="64"/>
      <c r="G247" s="55">
        <f t="shared" si="37"/>
        <v>0</v>
      </c>
      <c r="H247" s="56"/>
      <c r="I247" s="57"/>
      <c r="J247" s="57"/>
      <c r="K247" s="58">
        <f t="shared" si="38"/>
        <v>0</v>
      </c>
      <c r="L247" s="59">
        <f t="shared" si="39"/>
        <v>0</v>
      </c>
      <c r="M247" s="57"/>
      <c r="N247" s="57"/>
      <c r="O247" s="58">
        <f t="shared" si="40"/>
        <v>0</v>
      </c>
      <c r="P247" s="60">
        <f t="shared" si="41"/>
        <v>0</v>
      </c>
      <c r="Q247" s="58">
        <f t="shared" si="45"/>
        <v>0</v>
      </c>
      <c r="R247" s="58">
        <f t="shared" si="46"/>
        <v>0</v>
      </c>
      <c r="S247" s="58"/>
      <c r="T247" s="58"/>
      <c r="U247" s="65">
        <f t="shared" si="42"/>
        <v>0</v>
      </c>
    </row>
    <row r="248" spans="1:21" ht="18" customHeight="1">
      <c r="A248" s="49">
        <f>SUBTOTAL(103,$B$9:B248)</f>
        <v>82</v>
      </c>
      <c r="B248" s="62" t="s">
        <v>275</v>
      </c>
      <c r="C248" s="51" t="s">
        <v>33</v>
      </c>
      <c r="D248" s="77">
        <v>1000</v>
      </c>
      <c r="E248" s="53">
        <v>0</v>
      </c>
      <c r="F248" s="64"/>
      <c r="G248" s="55">
        <f t="shared" si="37"/>
        <v>0</v>
      </c>
      <c r="H248" s="56"/>
      <c r="I248" s="78"/>
      <c r="J248" s="57">
        <v>1000</v>
      </c>
      <c r="K248" s="58">
        <f t="shared" si="38"/>
        <v>1000</v>
      </c>
      <c r="L248" s="59">
        <f t="shared" si="39"/>
        <v>100</v>
      </c>
      <c r="M248" s="57"/>
      <c r="N248" s="57">
        <v>1000</v>
      </c>
      <c r="O248" s="58">
        <f t="shared" si="40"/>
        <v>0</v>
      </c>
      <c r="P248" s="60">
        <f t="shared" si="41"/>
        <v>100</v>
      </c>
      <c r="Q248" s="58">
        <f t="shared" si="45"/>
        <v>0</v>
      </c>
      <c r="R248" s="58">
        <f t="shared" si="46"/>
        <v>0</v>
      </c>
      <c r="S248" s="58"/>
      <c r="T248" s="58"/>
      <c r="U248" s="65">
        <f t="shared" si="42"/>
        <v>0</v>
      </c>
    </row>
    <row r="249" spans="1:21" ht="18" customHeight="1">
      <c r="A249" s="49">
        <f>SUBTOTAL(103,$B$9:B249)</f>
        <v>83</v>
      </c>
      <c r="B249" s="62" t="s">
        <v>276</v>
      </c>
      <c r="C249" s="51" t="s">
        <v>33</v>
      </c>
      <c r="D249" s="77">
        <v>0</v>
      </c>
      <c r="E249" s="53">
        <v>0</v>
      </c>
      <c r="F249" s="64"/>
      <c r="G249" s="55">
        <f t="shared" si="37"/>
        <v>0</v>
      </c>
      <c r="H249" s="56"/>
      <c r="I249" s="78">
        <v>1000</v>
      </c>
      <c r="J249" s="57">
        <v>1000</v>
      </c>
      <c r="K249" s="58">
        <f t="shared" si="38"/>
        <v>1000</v>
      </c>
      <c r="L249" s="59">
        <f t="shared" si="39"/>
        <v>0</v>
      </c>
      <c r="M249" s="57">
        <v>1000</v>
      </c>
      <c r="N249" s="57">
        <f>1000</f>
        <v>1000</v>
      </c>
      <c r="O249" s="58">
        <f t="shared" si="40"/>
        <v>0</v>
      </c>
      <c r="P249" s="60">
        <f t="shared" si="41"/>
        <v>0</v>
      </c>
      <c r="Q249" s="58">
        <f t="shared" si="45"/>
        <v>0</v>
      </c>
      <c r="R249" s="58">
        <f t="shared" si="46"/>
        <v>0</v>
      </c>
      <c r="S249" s="58"/>
      <c r="T249" s="58"/>
      <c r="U249" s="65">
        <f t="shared" si="42"/>
        <v>-1000</v>
      </c>
    </row>
    <row r="250" spans="1:21" ht="18" customHeight="1">
      <c r="A250" s="49">
        <f>SUBTOTAL(103,$B$9:B250)</f>
        <v>84</v>
      </c>
      <c r="B250" s="62" t="s">
        <v>277</v>
      </c>
      <c r="C250" s="51" t="s">
        <v>51</v>
      </c>
      <c r="D250" s="77">
        <v>3000</v>
      </c>
      <c r="E250" s="53">
        <v>0</v>
      </c>
      <c r="F250" s="64"/>
      <c r="G250" s="55">
        <f t="shared" si="37"/>
        <v>0</v>
      </c>
      <c r="H250" s="56"/>
      <c r="I250" s="78"/>
      <c r="J250" s="57">
        <v>3000</v>
      </c>
      <c r="K250" s="58">
        <f t="shared" si="38"/>
        <v>3000</v>
      </c>
      <c r="L250" s="59">
        <f t="shared" si="39"/>
        <v>100</v>
      </c>
      <c r="M250" s="57"/>
      <c r="N250" s="57">
        <f>3000</f>
        <v>3000</v>
      </c>
      <c r="O250" s="58">
        <f t="shared" si="40"/>
        <v>0</v>
      </c>
      <c r="P250" s="60">
        <f t="shared" si="41"/>
        <v>100</v>
      </c>
      <c r="Q250" s="58">
        <f t="shared" si="45"/>
        <v>0</v>
      </c>
      <c r="R250" s="58">
        <f t="shared" si="46"/>
        <v>0</v>
      </c>
      <c r="S250" s="58"/>
      <c r="T250" s="58"/>
      <c r="U250" s="65">
        <f t="shared" si="42"/>
        <v>0</v>
      </c>
    </row>
    <row r="251" spans="1:21" ht="18" customHeight="1">
      <c r="A251" s="49">
        <f>SUBTOTAL(103,$B$9:B251)</f>
        <v>85</v>
      </c>
      <c r="B251" s="62" t="s">
        <v>278</v>
      </c>
      <c r="C251" s="51" t="s">
        <v>51</v>
      </c>
      <c r="D251" s="77">
        <v>0</v>
      </c>
      <c r="E251" s="53">
        <v>0</v>
      </c>
      <c r="F251" s="64"/>
      <c r="G251" s="55">
        <f t="shared" si="37"/>
        <v>0</v>
      </c>
      <c r="H251" s="56"/>
      <c r="I251" s="78">
        <v>2880</v>
      </c>
      <c r="J251" s="57">
        <v>2880</v>
      </c>
      <c r="K251" s="58">
        <f t="shared" si="38"/>
        <v>2880</v>
      </c>
      <c r="L251" s="59">
        <f t="shared" si="39"/>
        <v>0</v>
      </c>
      <c r="M251" s="57">
        <v>1800</v>
      </c>
      <c r="N251" s="57">
        <f>1800</f>
        <v>1800</v>
      </c>
      <c r="O251" s="58">
        <f t="shared" si="40"/>
        <v>0</v>
      </c>
      <c r="P251" s="60">
        <f t="shared" si="41"/>
        <v>0</v>
      </c>
      <c r="Q251" s="58">
        <f t="shared" si="45"/>
        <v>1080</v>
      </c>
      <c r="R251" s="58">
        <f t="shared" si="46"/>
        <v>0</v>
      </c>
      <c r="S251" s="58"/>
      <c r="T251" s="58"/>
      <c r="U251" s="65">
        <f t="shared" si="42"/>
        <v>-2880</v>
      </c>
    </row>
    <row r="252" spans="1:21" ht="18" customHeight="1">
      <c r="A252" s="49">
        <f>SUBTOTAL(103,$B$9:B252)</f>
        <v>86</v>
      </c>
      <c r="B252" s="62" t="s">
        <v>279</v>
      </c>
      <c r="C252" s="51" t="s">
        <v>33</v>
      </c>
      <c r="D252" s="77">
        <v>50</v>
      </c>
      <c r="E252" s="53">
        <v>0</v>
      </c>
      <c r="F252" s="64"/>
      <c r="G252" s="55">
        <f t="shared" si="37"/>
        <v>0</v>
      </c>
      <c r="H252" s="56"/>
      <c r="I252" s="78"/>
      <c r="J252" s="57">
        <v>50</v>
      </c>
      <c r="K252" s="58">
        <f t="shared" si="38"/>
        <v>50</v>
      </c>
      <c r="L252" s="59">
        <f t="shared" si="39"/>
        <v>100</v>
      </c>
      <c r="M252" s="57"/>
      <c r="N252" s="57">
        <v>50</v>
      </c>
      <c r="O252" s="58">
        <f t="shared" si="40"/>
        <v>0</v>
      </c>
      <c r="P252" s="60">
        <f t="shared" si="41"/>
        <v>100</v>
      </c>
      <c r="Q252" s="58">
        <f t="shared" si="45"/>
        <v>0</v>
      </c>
      <c r="R252" s="58">
        <f t="shared" si="46"/>
        <v>0</v>
      </c>
      <c r="S252" s="58"/>
      <c r="T252" s="58"/>
      <c r="U252" s="65">
        <f t="shared" si="42"/>
        <v>0</v>
      </c>
    </row>
    <row r="253" spans="1:21" ht="18" customHeight="1">
      <c r="A253" s="49">
        <f>SUBTOTAL(103,$B$9:B253)</f>
        <v>87</v>
      </c>
      <c r="B253" s="62" t="s">
        <v>280</v>
      </c>
      <c r="C253" s="51" t="s">
        <v>33</v>
      </c>
      <c r="D253" s="77">
        <v>80</v>
      </c>
      <c r="E253" s="53">
        <v>0</v>
      </c>
      <c r="F253" s="64"/>
      <c r="G253" s="55">
        <f t="shared" si="37"/>
        <v>0</v>
      </c>
      <c r="H253" s="56"/>
      <c r="I253" s="78"/>
      <c r="J253" s="57">
        <v>80</v>
      </c>
      <c r="K253" s="58">
        <f t="shared" si="38"/>
        <v>80</v>
      </c>
      <c r="L253" s="59">
        <f t="shared" si="39"/>
        <v>100</v>
      </c>
      <c r="M253" s="57"/>
      <c r="N253" s="57">
        <v>80</v>
      </c>
      <c r="O253" s="58">
        <f t="shared" si="40"/>
        <v>0</v>
      </c>
      <c r="P253" s="60">
        <f t="shared" si="41"/>
        <v>100</v>
      </c>
      <c r="Q253" s="58">
        <f t="shared" si="45"/>
        <v>0</v>
      </c>
      <c r="R253" s="58">
        <f t="shared" si="46"/>
        <v>0</v>
      </c>
      <c r="S253" s="58"/>
      <c r="T253" s="58"/>
      <c r="U253" s="65">
        <f t="shared" si="42"/>
        <v>0</v>
      </c>
    </row>
    <row r="254" spans="1:21" ht="18" customHeight="1">
      <c r="A254" s="49">
        <f>SUBTOTAL(103,$B$9:B254)</f>
        <v>88</v>
      </c>
      <c r="B254" s="62" t="s">
        <v>281</v>
      </c>
      <c r="C254" s="51" t="s">
        <v>33</v>
      </c>
      <c r="D254" s="77">
        <v>10</v>
      </c>
      <c r="E254" s="53">
        <v>0</v>
      </c>
      <c r="F254" s="64"/>
      <c r="G254" s="55">
        <f t="shared" si="37"/>
        <v>0</v>
      </c>
      <c r="H254" s="56"/>
      <c r="I254" s="78"/>
      <c r="J254" s="57">
        <v>10</v>
      </c>
      <c r="K254" s="58">
        <f t="shared" si="38"/>
        <v>10</v>
      </c>
      <c r="L254" s="59">
        <f t="shared" si="39"/>
        <v>100</v>
      </c>
      <c r="M254" s="57"/>
      <c r="N254" s="57">
        <v>10</v>
      </c>
      <c r="O254" s="58">
        <f t="shared" si="40"/>
        <v>0</v>
      </c>
      <c r="P254" s="60">
        <f t="shared" si="41"/>
        <v>100</v>
      </c>
      <c r="Q254" s="58">
        <f t="shared" si="45"/>
        <v>0</v>
      </c>
      <c r="R254" s="58">
        <f t="shared" si="46"/>
        <v>0</v>
      </c>
      <c r="S254" s="58"/>
      <c r="T254" s="58"/>
      <c r="U254" s="65">
        <f t="shared" si="42"/>
        <v>0</v>
      </c>
    </row>
    <row r="255" spans="1:21" ht="18" customHeight="1">
      <c r="A255" s="49">
        <f>SUBTOTAL(103,$B$9:B255)</f>
        <v>89</v>
      </c>
      <c r="B255" s="62" t="s">
        <v>282</v>
      </c>
      <c r="C255" s="51" t="s">
        <v>51</v>
      </c>
      <c r="D255" s="77">
        <v>500</v>
      </c>
      <c r="E255" s="53">
        <v>0</v>
      </c>
      <c r="F255" s="64"/>
      <c r="G255" s="55">
        <f t="shared" si="37"/>
        <v>0</v>
      </c>
      <c r="H255" s="56"/>
      <c r="I255" s="78"/>
      <c r="J255" s="57">
        <f>500</f>
        <v>500</v>
      </c>
      <c r="K255" s="58">
        <f t="shared" si="38"/>
        <v>500</v>
      </c>
      <c r="L255" s="59">
        <f t="shared" si="39"/>
        <v>100</v>
      </c>
      <c r="M255" s="78"/>
      <c r="N255" s="57">
        <f>500</f>
        <v>500</v>
      </c>
      <c r="O255" s="58">
        <f t="shared" si="40"/>
        <v>0</v>
      </c>
      <c r="P255" s="60">
        <f t="shared" si="41"/>
        <v>100</v>
      </c>
      <c r="Q255" s="58">
        <f t="shared" si="45"/>
        <v>0</v>
      </c>
      <c r="R255" s="58">
        <f t="shared" si="46"/>
        <v>0</v>
      </c>
      <c r="S255" s="58"/>
      <c r="T255" s="58"/>
      <c r="U255" s="65">
        <f t="shared" si="42"/>
        <v>0</v>
      </c>
    </row>
    <row r="256" spans="1:21" ht="18" hidden="1" customHeight="1">
      <c r="A256" s="49">
        <f>SUBTOTAL(103,$B$9:B256)</f>
        <v>89</v>
      </c>
      <c r="B256" s="62" t="s">
        <v>283</v>
      </c>
      <c r="C256" s="51" t="s">
        <v>51</v>
      </c>
      <c r="D256" s="63"/>
      <c r="E256" s="53">
        <v>0</v>
      </c>
      <c r="F256" s="64"/>
      <c r="G256" s="55">
        <f t="shared" si="37"/>
        <v>0</v>
      </c>
      <c r="H256" s="56"/>
      <c r="I256" s="57"/>
      <c r="J256" s="57"/>
      <c r="K256" s="58">
        <f t="shared" si="38"/>
        <v>0</v>
      </c>
      <c r="L256" s="59">
        <f t="shared" si="39"/>
        <v>0</v>
      </c>
      <c r="M256" s="57"/>
      <c r="N256" s="57"/>
      <c r="O256" s="58">
        <f t="shared" si="40"/>
        <v>0</v>
      </c>
      <c r="P256" s="60">
        <f t="shared" si="41"/>
        <v>0</v>
      </c>
      <c r="Q256" s="58">
        <f t="shared" si="45"/>
        <v>0</v>
      </c>
      <c r="R256" s="58">
        <f t="shared" si="46"/>
        <v>0</v>
      </c>
      <c r="S256" s="58"/>
      <c r="T256" s="58"/>
      <c r="U256" s="65">
        <f t="shared" si="42"/>
        <v>0</v>
      </c>
    </row>
    <row r="257" spans="1:21" ht="18" customHeight="1">
      <c r="A257" s="49">
        <f>SUBTOTAL(103,$B$9:B257)</f>
        <v>90</v>
      </c>
      <c r="B257" s="62" t="s">
        <v>284</v>
      </c>
      <c r="C257" s="51" t="s">
        <v>51</v>
      </c>
      <c r="D257" s="77">
        <v>3000</v>
      </c>
      <c r="E257" s="53">
        <v>0</v>
      </c>
      <c r="F257" s="64"/>
      <c r="G257" s="55">
        <f t="shared" si="37"/>
        <v>0</v>
      </c>
      <c r="H257" s="56"/>
      <c r="I257" s="78"/>
      <c r="J257" s="57">
        <f>2240+760</f>
        <v>3000</v>
      </c>
      <c r="K257" s="58">
        <f t="shared" si="38"/>
        <v>3000</v>
      </c>
      <c r="L257" s="59">
        <f t="shared" si="39"/>
        <v>100</v>
      </c>
      <c r="M257" s="57"/>
      <c r="N257" s="57">
        <f>2240+760</f>
        <v>3000</v>
      </c>
      <c r="O257" s="58">
        <f t="shared" si="40"/>
        <v>0</v>
      </c>
      <c r="P257" s="60">
        <f t="shared" si="41"/>
        <v>100</v>
      </c>
      <c r="Q257" s="58">
        <f t="shared" si="45"/>
        <v>0</v>
      </c>
      <c r="R257" s="58">
        <f t="shared" si="46"/>
        <v>0</v>
      </c>
      <c r="S257" s="58"/>
      <c r="T257" s="58"/>
      <c r="U257" s="65">
        <f t="shared" si="42"/>
        <v>0</v>
      </c>
    </row>
    <row r="258" spans="1:21" ht="18" customHeight="1">
      <c r="A258" s="49">
        <f>SUBTOTAL(103,$B$9:B258)</f>
        <v>91</v>
      </c>
      <c r="B258" s="62" t="s">
        <v>285</v>
      </c>
      <c r="C258" s="51" t="s">
        <v>51</v>
      </c>
      <c r="D258" s="63">
        <v>2000</v>
      </c>
      <c r="E258" s="53">
        <v>0</v>
      </c>
      <c r="F258" s="64"/>
      <c r="G258" s="55">
        <f t="shared" si="37"/>
        <v>0</v>
      </c>
      <c r="H258" s="56"/>
      <c r="I258" s="57"/>
      <c r="J258" s="57">
        <v>2000</v>
      </c>
      <c r="K258" s="58">
        <f t="shared" si="38"/>
        <v>2000</v>
      </c>
      <c r="L258" s="59">
        <f t="shared" si="39"/>
        <v>100</v>
      </c>
      <c r="M258" s="57"/>
      <c r="N258" s="57">
        <f>2000</f>
        <v>2000</v>
      </c>
      <c r="O258" s="58">
        <f t="shared" si="40"/>
        <v>0</v>
      </c>
      <c r="P258" s="60">
        <f t="shared" si="41"/>
        <v>100</v>
      </c>
      <c r="Q258" s="58">
        <f t="shared" si="45"/>
        <v>0</v>
      </c>
      <c r="R258" s="58">
        <f t="shared" si="46"/>
        <v>0</v>
      </c>
      <c r="S258" s="58"/>
      <c r="T258" s="58"/>
      <c r="U258" s="65">
        <f t="shared" si="42"/>
        <v>0</v>
      </c>
    </row>
    <row r="259" spans="1:21" ht="18" customHeight="1">
      <c r="A259" s="49">
        <f>SUBTOTAL(103,$B$9:B259)</f>
        <v>92</v>
      </c>
      <c r="B259" s="76" t="s">
        <v>286</v>
      </c>
      <c r="C259" s="51" t="s">
        <v>51</v>
      </c>
      <c r="D259" s="77">
        <v>3000</v>
      </c>
      <c r="E259" s="53">
        <v>0</v>
      </c>
      <c r="F259" s="64"/>
      <c r="G259" s="55">
        <f t="shared" si="37"/>
        <v>0</v>
      </c>
      <c r="H259" s="56"/>
      <c r="I259" s="78"/>
      <c r="J259" s="57">
        <f>1344+1260+396</f>
        <v>3000</v>
      </c>
      <c r="K259" s="58">
        <f t="shared" si="38"/>
        <v>3000</v>
      </c>
      <c r="L259" s="59">
        <f t="shared" si="39"/>
        <v>100</v>
      </c>
      <c r="M259" s="57"/>
      <c r="N259" s="78">
        <f>1344+1260+396</f>
        <v>3000</v>
      </c>
      <c r="O259" s="58">
        <f t="shared" si="40"/>
        <v>0</v>
      </c>
      <c r="P259" s="60">
        <f t="shared" si="41"/>
        <v>100</v>
      </c>
      <c r="Q259" s="79">
        <f t="shared" si="45"/>
        <v>0</v>
      </c>
      <c r="R259" s="58">
        <f t="shared" si="46"/>
        <v>0</v>
      </c>
      <c r="S259" s="58"/>
      <c r="T259" s="58"/>
      <c r="U259" s="65">
        <f t="shared" si="42"/>
        <v>0</v>
      </c>
    </row>
    <row r="260" spans="1:21" ht="18" customHeight="1">
      <c r="A260" s="49">
        <f>SUBTOTAL(103,$B$9:B260)</f>
        <v>93</v>
      </c>
      <c r="B260" s="62" t="s">
        <v>287</v>
      </c>
      <c r="C260" s="51" t="s">
        <v>51</v>
      </c>
      <c r="D260" s="63">
        <v>0</v>
      </c>
      <c r="E260" s="53">
        <v>0</v>
      </c>
      <c r="F260" s="64"/>
      <c r="G260" s="55">
        <f t="shared" si="37"/>
        <v>0</v>
      </c>
      <c r="H260" s="56"/>
      <c r="I260" s="57">
        <v>1736</v>
      </c>
      <c r="J260" s="57">
        <f>1736</f>
        <v>1736</v>
      </c>
      <c r="K260" s="58">
        <f t="shared" si="38"/>
        <v>1736</v>
      </c>
      <c r="L260" s="59">
        <f t="shared" si="39"/>
        <v>0</v>
      </c>
      <c r="M260" s="57">
        <v>616</v>
      </c>
      <c r="N260" s="57">
        <f>616</f>
        <v>616</v>
      </c>
      <c r="O260" s="58">
        <f t="shared" si="40"/>
        <v>0</v>
      </c>
      <c r="P260" s="60">
        <f t="shared" si="41"/>
        <v>0</v>
      </c>
      <c r="Q260" s="58">
        <f t="shared" si="45"/>
        <v>1120</v>
      </c>
      <c r="R260" s="58">
        <f t="shared" si="46"/>
        <v>0</v>
      </c>
      <c r="S260" s="58"/>
      <c r="T260" s="58"/>
      <c r="U260" s="65">
        <f t="shared" si="42"/>
        <v>-1736</v>
      </c>
    </row>
    <row r="261" spans="1:21" ht="18" hidden="1" customHeight="1">
      <c r="A261" s="49">
        <f>SUBTOTAL(103,$B$9:B261)</f>
        <v>93</v>
      </c>
      <c r="B261" s="62" t="s">
        <v>288</v>
      </c>
      <c r="C261" s="51" t="s">
        <v>51</v>
      </c>
      <c r="D261" s="63"/>
      <c r="E261" s="53">
        <v>0</v>
      </c>
      <c r="F261" s="64"/>
      <c r="G261" s="55">
        <f t="shared" si="37"/>
        <v>0</v>
      </c>
      <c r="H261" s="56"/>
      <c r="I261" s="57"/>
      <c r="J261" s="57"/>
      <c r="K261" s="58">
        <f t="shared" si="38"/>
        <v>0</v>
      </c>
      <c r="L261" s="59">
        <f t="shared" si="39"/>
        <v>0</v>
      </c>
      <c r="M261" s="57"/>
      <c r="N261" s="57"/>
      <c r="O261" s="58">
        <f t="shared" si="40"/>
        <v>0</v>
      </c>
      <c r="P261" s="60">
        <f t="shared" si="41"/>
        <v>0</v>
      </c>
      <c r="Q261" s="58">
        <f t="shared" si="45"/>
        <v>0</v>
      </c>
      <c r="R261" s="58">
        <v>0</v>
      </c>
      <c r="S261" s="58"/>
      <c r="T261" s="58"/>
      <c r="U261" s="65">
        <f t="shared" si="42"/>
        <v>0</v>
      </c>
    </row>
    <row r="262" spans="1:21" ht="18" customHeight="1">
      <c r="A262" s="49">
        <f>SUBTOTAL(103,$B$9:B262)</f>
        <v>94</v>
      </c>
      <c r="B262" s="62" t="s">
        <v>289</v>
      </c>
      <c r="C262" s="51" t="s">
        <v>33</v>
      </c>
      <c r="D262" s="77">
        <f>30+100</f>
        <v>130</v>
      </c>
      <c r="E262" s="53">
        <v>0</v>
      </c>
      <c r="F262" s="64"/>
      <c r="G262" s="55">
        <f t="shared" si="37"/>
        <v>0</v>
      </c>
      <c r="H262" s="56"/>
      <c r="I262" s="93">
        <v>100</v>
      </c>
      <c r="J262" s="94">
        <f>30+100</f>
        <v>130</v>
      </c>
      <c r="K262" s="58">
        <f t="shared" si="38"/>
        <v>130</v>
      </c>
      <c r="L262" s="59">
        <f t="shared" si="39"/>
        <v>100</v>
      </c>
      <c r="M262" s="57">
        <v>100</v>
      </c>
      <c r="N262" s="57">
        <f>30+100</f>
        <v>130</v>
      </c>
      <c r="O262" s="58">
        <f t="shared" si="40"/>
        <v>0</v>
      </c>
      <c r="P262" s="60">
        <f t="shared" si="41"/>
        <v>100</v>
      </c>
      <c r="Q262" s="58">
        <f t="shared" si="45"/>
        <v>0</v>
      </c>
      <c r="R262" s="58">
        <f t="shared" si="46"/>
        <v>0</v>
      </c>
      <c r="S262" s="58"/>
      <c r="T262" s="58"/>
      <c r="U262" s="65">
        <f t="shared" si="42"/>
        <v>0</v>
      </c>
    </row>
    <row r="263" spans="1:21" ht="18" customHeight="1">
      <c r="A263" s="49">
        <f>SUBTOTAL(103,$B$9:B263)</f>
        <v>95</v>
      </c>
      <c r="B263" s="62" t="s">
        <v>290</v>
      </c>
      <c r="C263" s="51" t="s">
        <v>33</v>
      </c>
      <c r="D263" s="77">
        <v>0</v>
      </c>
      <c r="E263" s="53">
        <v>0</v>
      </c>
      <c r="F263" s="64"/>
      <c r="G263" s="55">
        <f t="shared" si="37"/>
        <v>0</v>
      </c>
      <c r="H263" s="56"/>
      <c r="I263" s="93">
        <v>100</v>
      </c>
      <c r="J263" s="94">
        <f>100</f>
        <v>100</v>
      </c>
      <c r="K263" s="58">
        <f t="shared" si="38"/>
        <v>100</v>
      </c>
      <c r="L263" s="59">
        <f t="shared" si="39"/>
        <v>0</v>
      </c>
      <c r="M263" s="57">
        <v>100</v>
      </c>
      <c r="N263" s="57">
        <f>100</f>
        <v>100</v>
      </c>
      <c r="O263" s="58">
        <f t="shared" si="40"/>
        <v>0</v>
      </c>
      <c r="P263" s="60">
        <f t="shared" si="41"/>
        <v>0</v>
      </c>
      <c r="Q263" s="58">
        <f t="shared" si="45"/>
        <v>0</v>
      </c>
      <c r="R263" s="58">
        <f t="shared" si="46"/>
        <v>0</v>
      </c>
      <c r="S263" s="58"/>
      <c r="T263" s="58"/>
      <c r="U263" s="65">
        <f t="shared" si="42"/>
        <v>-100</v>
      </c>
    </row>
    <row r="264" spans="1:21" ht="18" hidden="1" customHeight="1">
      <c r="A264" s="49">
        <f>SUBTOTAL(103,$B$9:B264)</f>
        <v>95</v>
      </c>
      <c r="B264" s="62" t="s">
        <v>291</v>
      </c>
      <c r="C264" s="51" t="s">
        <v>33</v>
      </c>
      <c r="D264" s="63"/>
      <c r="E264" s="53">
        <v>0</v>
      </c>
      <c r="F264" s="64"/>
      <c r="G264" s="55">
        <f t="shared" si="37"/>
        <v>0</v>
      </c>
      <c r="H264" s="56"/>
      <c r="I264" s="94"/>
      <c r="J264" s="94"/>
      <c r="K264" s="58">
        <f t="shared" si="38"/>
        <v>0</v>
      </c>
      <c r="L264" s="59">
        <f t="shared" si="39"/>
        <v>0</v>
      </c>
      <c r="M264" s="57"/>
      <c r="N264" s="57"/>
      <c r="O264" s="58">
        <f t="shared" si="40"/>
        <v>0</v>
      </c>
      <c r="P264" s="60">
        <f t="shared" si="41"/>
        <v>0</v>
      </c>
      <c r="Q264" s="58">
        <f t="shared" si="45"/>
        <v>0</v>
      </c>
      <c r="R264" s="58">
        <f t="shared" si="46"/>
        <v>0</v>
      </c>
      <c r="S264" s="58"/>
      <c r="T264" s="58"/>
      <c r="U264" s="65">
        <f t="shared" si="42"/>
        <v>0</v>
      </c>
    </row>
    <row r="265" spans="1:21" ht="18" customHeight="1">
      <c r="A265" s="49">
        <f>SUBTOTAL(103,$B$9:B265)</f>
        <v>96</v>
      </c>
      <c r="B265" s="62" t="s">
        <v>292</v>
      </c>
      <c r="C265" s="51" t="s">
        <v>33</v>
      </c>
      <c r="D265" s="77">
        <v>360</v>
      </c>
      <c r="E265" s="53">
        <v>0</v>
      </c>
      <c r="F265" s="64"/>
      <c r="G265" s="55">
        <f t="shared" si="37"/>
        <v>0</v>
      </c>
      <c r="H265" s="56"/>
      <c r="I265" s="93"/>
      <c r="J265" s="94">
        <v>360</v>
      </c>
      <c r="K265" s="58">
        <f t="shared" si="38"/>
        <v>360</v>
      </c>
      <c r="L265" s="59">
        <f t="shared" si="39"/>
        <v>100</v>
      </c>
      <c r="M265" s="57"/>
      <c r="N265" s="57">
        <v>360</v>
      </c>
      <c r="O265" s="58">
        <f t="shared" si="40"/>
        <v>0</v>
      </c>
      <c r="P265" s="60">
        <f t="shared" si="41"/>
        <v>100</v>
      </c>
      <c r="Q265" s="58">
        <f t="shared" si="45"/>
        <v>0</v>
      </c>
      <c r="R265" s="58">
        <f t="shared" si="46"/>
        <v>0</v>
      </c>
      <c r="S265" s="58"/>
      <c r="T265" s="58"/>
      <c r="U265" s="65">
        <f t="shared" si="42"/>
        <v>0</v>
      </c>
    </row>
    <row r="266" spans="1:21" ht="18" customHeight="1">
      <c r="A266" s="49">
        <f>SUBTOTAL(103,$B$9:B266)</f>
        <v>97</v>
      </c>
      <c r="B266" s="62" t="s">
        <v>293</v>
      </c>
      <c r="C266" s="51" t="s">
        <v>33</v>
      </c>
      <c r="D266" s="77">
        <v>0</v>
      </c>
      <c r="E266" s="53">
        <v>0</v>
      </c>
      <c r="F266" s="64"/>
      <c r="G266" s="55">
        <f t="shared" si="37"/>
        <v>0</v>
      </c>
      <c r="H266" s="56"/>
      <c r="I266" s="93">
        <v>1500</v>
      </c>
      <c r="J266" s="94">
        <v>1500</v>
      </c>
      <c r="K266" s="58">
        <f t="shared" si="38"/>
        <v>1500</v>
      </c>
      <c r="L266" s="59">
        <f t="shared" si="39"/>
        <v>0</v>
      </c>
      <c r="M266" s="57">
        <v>1500</v>
      </c>
      <c r="N266" s="57">
        <f>1500</f>
        <v>1500</v>
      </c>
      <c r="O266" s="58">
        <f t="shared" si="40"/>
        <v>0</v>
      </c>
      <c r="P266" s="60">
        <f t="shared" si="41"/>
        <v>0</v>
      </c>
      <c r="Q266" s="58">
        <f t="shared" si="45"/>
        <v>0</v>
      </c>
      <c r="R266" s="58">
        <f t="shared" si="46"/>
        <v>0</v>
      </c>
      <c r="S266" s="58"/>
      <c r="T266" s="58"/>
      <c r="U266" s="65">
        <f t="shared" si="42"/>
        <v>-1500</v>
      </c>
    </row>
    <row r="267" spans="1:21" ht="18" hidden="1" customHeight="1">
      <c r="A267" s="49">
        <f>SUBTOTAL(103,$B$9:B267)</f>
        <v>97</v>
      </c>
      <c r="B267" s="62" t="s">
        <v>294</v>
      </c>
      <c r="C267" s="86" t="s">
        <v>33</v>
      </c>
      <c r="D267" s="63"/>
      <c r="E267" s="53">
        <v>0</v>
      </c>
      <c r="F267" s="64"/>
      <c r="G267" s="55">
        <f t="shared" si="37"/>
        <v>0</v>
      </c>
      <c r="H267" s="56"/>
      <c r="I267" s="57"/>
      <c r="J267" s="57"/>
      <c r="K267" s="58">
        <f t="shared" si="38"/>
        <v>0</v>
      </c>
      <c r="L267" s="59">
        <f t="shared" si="39"/>
        <v>0</v>
      </c>
      <c r="M267" s="57"/>
      <c r="N267" s="57"/>
      <c r="O267" s="58">
        <f t="shared" si="40"/>
        <v>0</v>
      </c>
      <c r="P267" s="60">
        <f t="shared" si="41"/>
        <v>0</v>
      </c>
      <c r="Q267" s="58">
        <f t="shared" si="45"/>
        <v>0</v>
      </c>
      <c r="R267" s="58">
        <v>0</v>
      </c>
      <c r="S267" s="58"/>
      <c r="T267" s="58"/>
      <c r="U267" s="65">
        <f t="shared" si="42"/>
        <v>0</v>
      </c>
    </row>
    <row r="268" spans="1:21" ht="18" hidden="1" customHeight="1">
      <c r="A268" s="49">
        <f>SUBTOTAL(103,$B$9:B268)</f>
        <v>97</v>
      </c>
      <c r="B268" s="62" t="s">
        <v>295</v>
      </c>
      <c r="C268" s="86" t="s">
        <v>33</v>
      </c>
      <c r="D268" s="63"/>
      <c r="E268" s="53">
        <v>0</v>
      </c>
      <c r="F268" s="64"/>
      <c r="G268" s="55">
        <f t="shared" si="37"/>
        <v>0</v>
      </c>
      <c r="H268" s="56"/>
      <c r="I268" s="57"/>
      <c r="J268" s="57"/>
      <c r="K268" s="58">
        <f t="shared" si="38"/>
        <v>0</v>
      </c>
      <c r="L268" s="59">
        <f t="shared" si="39"/>
        <v>0</v>
      </c>
      <c r="M268" s="57"/>
      <c r="N268" s="57"/>
      <c r="O268" s="58">
        <f t="shared" si="40"/>
        <v>0</v>
      </c>
      <c r="P268" s="60">
        <f t="shared" si="41"/>
        <v>0</v>
      </c>
      <c r="Q268" s="58">
        <f t="shared" si="45"/>
        <v>0</v>
      </c>
      <c r="R268" s="58">
        <v>0</v>
      </c>
      <c r="S268" s="58"/>
      <c r="T268" s="58"/>
      <c r="U268" s="65">
        <f t="shared" si="42"/>
        <v>0</v>
      </c>
    </row>
    <row r="269" spans="1:21" ht="18" hidden="1" customHeight="1">
      <c r="A269" s="49">
        <f>SUBTOTAL(103,$B$9:B269)</f>
        <v>97</v>
      </c>
      <c r="B269" s="62" t="s">
        <v>296</v>
      </c>
      <c r="C269" s="86" t="s">
        <v>33</v>
      </c>
      <c r="D269" s="63"/>
      <c r="E269" s="53">
        <v>0</v>
      </c>
      <c r="F269" s="64"/>
      <c r="G269" s="55">
        <f t="shared" si="37"/>
        <v>0</v>
      </c>
      <c r="H269" s="56"/>
      <c r="I269" s="57"/>
      <c r="J269" s="57"/>
      <c r="K269" s="58">
        <f t="shared" si="38"/>
        <v>0</v>
      </c>
      <c r="L269" s="59">
        <f t="shared" si="39"/>
        <v>0</v>
      </c>
      <c r="M269" s="57"/>
      <c r="N269" s="57"/>
      <c r="O269" s="58">
        <f t="shared" si="40"/>
        <v>0</v>
      </c>
      <c r="P269" s="60">
        <f t="shared" si="41"/>
        <v>0</v>
      </c>
      <c r="Q269" s="58">
        <f t="shared" si="45"/>
        <v>0</v>
      </c>
      <c r="R269" s="58">
        <v>0</v>
      </c>
      <c r="S269" s="58"/>
      <c r="T269" s="58"/>
      <c r="U269" s="65">
        <f t="shared" si="42"/>
        <v>0</v>
      </c>
    </row>
    <row r="270" spans="1:21" ht="18" customHeight="1">
      <c r="A270" s="49">
        <f>SUBTOTAL(103,$B$9:B270)</f>
        <v>98</v>
      </c>
      <c r="B270" s="76" t="s">
        <v>297</v>
      </c>
      <c r="C270" s="51" t="s">
        <v>231</v>
      </c>
      <c r="D270" s="77">
        <v>0</v>
      </c>
      <c r="E270" s="53">
        <v>0</v>
      </c>
      <c r="F270" s="64"/>
      <c r="G270" s="55">
        <f t="shared" si="37"/>
        <v>0</v>
      </c>
      <c r="H270" s="56"/>
      <c r="I270" s="78">
        <v>256</v>
      </c>
      <c r="J270" s="57">
        <f>306+768+180+380+480+512+772+769+229+16+336+774+960+576+80+170+461+256</f>
        <v>8025</v>
      </c>
      <c r="K270" s="58">
        <f t="shared" si="38"/>
        <v>8025</v>
      </c>
      <c r="L270" s="59">
        <f t="shared" si="39"/>
        <v>0</v>
      </c>
      <c r="M270" s="57">
        <v>256</v>
      </c>
      <c r="N270" s="57">
        <f>306+768+180+380+480+512+772+769+229+16+336+774+960+576+80+170+461+256</f>
        <v>8025</v>
      </c>
      <c r="O270" s="58">
        <f t="shared" si="40"/>
        <v>0</v>
      </c>
      <c r="P270" s="60">
        <f t="shared" si="41"/>
        <v>0</v>
      </c>
      <c r="Q270" s="58">
        <f t="shared" si="45"/>
        <v>0</v>
      </c>
      <c r="R270" s="58">
        <f t="shared" ref="R270:R278" si="47">Q270*E270</f>
        <v>0</v>
      </c>
      <c r="S270" s="58"/>
      <c r="T270" s="58"/>
      <c r="U270" s="65">
        <f t="shared" si="42"/>
        <v>-8025</v>
      </c>
    </row>
    <row r="271" spans="1:21" ht="18" customHeight="1">
      <c r="A271" s="49">
        <f>SUBTOTAL(103,$B$9:B271)</f>
        <v>99</v>
      </c>
      <c r="B271" s="62" t="s">
        <v>298</v>
      </c>
      <c r="C271" s="51" t="s">
        <v>33</v>
      </c>
      <c r="D271" s="63">
        <v>5000</v>
      </c>
      <c r="E271" s="53">
        <v>0</v>
      </c>
      <c r="F271" s="64"/>
      <c r="G271" s="55">
        <f t="shared" si="37"/>
        <v>0</v>
      </c>
      <c r="H271" s="56"/>
      <c r="I271" s="78"/>
      <c r="J271" s="57">
        <f>3000+2000</f>
        <v>5000</v>
      </c>
      <c r="K271" s="58">
        <f t="shared" si="38"/>
        <v>5000</v>
      </c>
      <c r="L271" s="59">
        <f t="shared" si="39"/>
        <v>100</v>
      </c>
      <c r="M271" s="57"/>
      <c r="N271" s="57">
        <f>3000+2000</f>
        <v>5000</v>
      </c>
      <c r="O271" s="58">
        <f t="shared" si="40"/>
        <v>0</v>
      </c>
      <c r="P271" s="60">
        <f t="shared" si="41"/>
        <v>100</v>
      </c>
      <c r="Q271" s="58">
        <f t="shared" si="45"/>
        <v>0</v>
      </c>
      <c r="R271" s="58">
        <f t="shared" si="47"/>
        <v>0</v>
      </c>
      <c r="S271" s="58"/>
      <c r="T271" s="58"/>
      <c r="U271" s="65">
        <f t="shared" si="42"/>
        <v>0</v>
      </c>
    </row>
    <row r="272" spans="1:21" ht="18" customHeight="1">
      <c r="A272" s="49">
        <f>SUBTOTAL(103,$B$9:B272)</f>
        <v>100</v>
      </c>
      <c r="B272" s="62" t="s">
        <v>299</v>
      </c>
      <c r="C272" s="51" t="s">
        <v>231</v>
      </c>
      <c r="D272" s="63">
        <v>0</v>
      </c>
      <c r="E272" s="53">
        <v>0</v>
      </c>
      <c r="F272" s="64"/>
      <c r="G272" s="55">
        <f t="shared" si="37"/>
        <v>0</v>
      </c>
      <c r="H272" s="56"/>
      <c r="I272" s="78"/>
      <c r="J272" s="57">
        <v>5</v>
      </c>
      <c r="K272" s="58">
        <f t="shared" si="38"/>
        <v>5</v>
      </c>
      <c r="L272" s="59">
        <f t="shared" si="39"/>
        <v>0</v>
      </c>
      <c r="M272" s="57"/>
      <c r="N272" s="57">
        <v>5</v>
      </c>
      <c r="O272" s="58">
        <f t="shared" si="40"/>
        <v>0</v>
      </c>
      <c r="P272" s="60">
        <f t="shared" si="41"/>
        <v>0</v>
      </c>
      <c r="Q272" s="58">
        <f t="shared" si="45"/>
        <v>0</v>
      </c>
      <c r="R272" s="58">
        <f t="shared" si="47"/>
        <v>0</v>
      </c>
      <c r="S272" s="58"/>
      <c r="T272" s="58"/>
      <c r="U272" s="65">
        <f t="shared" si="42"/>
        <v>-5</v>
      </c>
    </row>
    <row r="273" spans="1:21" ht="18" customHeight="1">
      <c r="A273" s="49">
        <f>SUBTOTAL(103,$B$9:B273)</f>
        <v>101</v>
      </c>
      <c r="B273" s="62" t="s">
        <v>300</v>
      </c>
      <c r="C273" s="51" t="s">
        <v>51</v>
      </c>
      <c r="D273" s="77">
        <v>3</v>
      </c>
      <c r="E273" s="53">
        <v>0</v>
      </c>
      <c r="F273" s="64"/>
      <c r="G273" s="55">
        <f t="shared" ref="G273:G278" si="48">D273*E273</f>
        <v>0</v>
      </c>
      <c r="H273" s="56"/>
      <c r="I273" s="78"/>
      <c r="J273" s="57">
        <v>3</v>
      </c>
      <c r="K273" s="58">
        <f t="shared" ref="K273:K278" si="49">H273+J273</f>
        <v>3</v>
      </c>
      <c r="L273" s="59">
        <f t="shared" ref="L273:L278" si="50">IF(D273&gt;0,ROUND((K273/D273)*100,0),0)</f>
        <v>100</v>
      </c>
      <c r="M273" s="57"/>
      <c r="N273" s="57">
        <v>3</v>
      </c>
      <c r="O273" s="58">
        <f t="shared" ref="O273:O278" si="51">N273*E273</f>
        <v>0</v>
      </c>
      <c r="P273" s="60">
        <f t="shared" ref="P273:P278" si="52">IF(D273&gt;0,ROUND((N273/D273)*100,0),0)</f>
        <v>100</v>
      </c>
      <c r="Q273" s="58">
        <f t="shared" si="45"/>
        <v>0</v>
      </c>
      <c r="R273" s="58">
        <f t="shared" si="47"/>
        <v>0</v>
      </c>
      <c r="S273" s="58"/>
      <c r="T273" s="58"/>
      <c r="U273" s="61">
        <f t="shared" ref="U273:U278" si="53">D273-K273</f>
        <v>0</v>
      </c>
    </row>
    <row r="274" spans="1:21" ht="18" customHeight="1">
      <c r="A274" s="49">
        <f>SUBTOTAL(103,$B$9:B274)</f>
        <v>102</v>
      </c>
      <c r="B274" s="62" t="s">
        <v>301</v>
      </c>
      <c r="C274" s="51" t="s">
        <v>51</v>
      </c>
      <c r="D274" s="77">
        <v>3</v>
      </c>
      <c r="E274" s="53">
        <v>0</v>
      </c>
      <c r="F274" s="64"/>
      <c r="G274" s="55">
        <f t="shared" si="48"/>
        <v>0</v>
      </c>
      <c r="H274" s="56"/>
      <c r="I274" s="78"/>
      <c r="J274" s="57">
        <v>3</v>
      </c>
      <c r="K274" s="58">
        <f t="shared" si="49"/>
        <v>3</v>
      </c>
      <c r="L274" s="59">
        <f t="shared" si="50"/>
        <v>100</v>
      </c>
      <c r="M274" s="57"/>
      <c r="N274" s="57">
        <v>3</v>
      </c>
      <c r="O274" s="58">
        <f t="shared" si="51"/>
        <v>0</v>
      </c>
      <c r="P274" s="60">
        <f t="shared" si="52"/>
        <v>100</v>
      </c>
      <c r="Q274" s="58">
        <f t="shared" si="45"/>
        <v>0</v>
      </c>
      <c r="R274" s="58">
        <f t="shared" si="47"/>
        <v>0</v>
      </c>
      <c r="S274" s="58"/>
      <c r="T274" s="58"/>
      <c r="U274" s="61">
        <f t="shared" si="53"/>
        <v>0</v>
      </c>
    </row>
    <row r="275" spans="1:21" ht="18" customHeight="1">
      <c r="A275" s="49">
        <f>SUBTOTAL(103,$B$9:B275)</f>
        <v>103</v>
      </c>
      <c r="B275" s="62" t="s">
        <v>302</v>
      </c>
      <c r="C275" s="51" t="s">
        <v>56</v>
      </c>
      <c r="D275" s="77">
        <v>3</v>
      </c>
      <c r="E275" s="53">
        <v>0</v>
      </c>
      <c r="F275" s="64"/>
      <c r="G275" s="55">
        <f>D275*E275</f>
        <v>0</v>
      </c>
      <c r="H275" s="56"/>
      <c r="I275" s="57"/>
      <c r="J275" s="57">
        <v>3</v>
      </c>
      <c r="K275" s="58">
        <f>H275+J275</f>
        <v>3</v>
      </c>
      <c r="L275" s="59">
        <f>IF(D275&gt;0,ROUND((K275/D275)*100,0),0)</f>
        <v>100</v>
      </c>
      <c r="M275" s="57"/>
      <c r="N275" s="57">
        <v>3</v>
      </c>
      <c r="O275" s="58">
        <f>N275*E275</f>
        <v>0</v>
      </c>
      <c r="P275" s="60">
        <f>IF(D275&gt;0,ROUND((N275/D275)*100,0),0)</f>
        <v>100</v>
      </c>
      <c r="Q275" s="58">
        <f>K275-N275</f>
        <v>0</v>
      </c>
      <c r="R275" s="58">
        <f>Q275*E275</f>
        <v>0</v>
      </c>
      <c r="S275" s="58"/>
      <c r="T275" s="58"/>
      <c r="U275" s="61">
        <f>D275-K275</f>
        <v>0</v>
      </c>
    </row>
    <row r="276" spans="1:21" ht="18" customHeight="1">
      <c r="A276" s="49">
        <f>SUBTOTAL(103,$B$9:B276)</f>
        <v>104</v>
      </c>
      <c r="B276" s="62" t="s">
        <v>303</v>
      </c>
      <c r="C276" s="51" t="s">
        <v>56</v>
      </c>
      <c r="D276" s="77">
        <v>3</v>
      </c>
      <c r="E276" s="84">
        <v>0</v>
      </c>
      <c r="F276" s="64"/>
      <c r="G276" s="55">
        <f>D276*E276</f>
        <v>0</v>
      </c>
      <c r="H276" s="56"/>
      <c r="I276" s="57"/>
      <c r="J276" s="57">
        <v>3</v>
      </c>
      <c r="K276" s="58">
        <f>H276+J276</f>
        <v>3</v>
      </c>
      <c r="L276" s="59">
        <f>IF(D276&gt;0,ROUND((K276/D276)*100,0),0)</f>
        <v>100</v>
      </c>
      <c r="M276" s="57"/>
      <c r="N276" s="57">
        <v>3</v>
      </c>
      <c r="O276" s="58">
        <f>N276*E276</f>
        <v>0</v>
      </c>
      <c r="P276" s="60">
        <f>IF(D276&gt;0,ROUND((N276/D276)*100,0),0)</f>
        <v>100</v>
      </c>
      <c r="Q276" s="58">
        <f>K276-N276</f>
        <v>0</v>
      </c>
      <c r="R276" s="58">
        <f>Q276*E276</f>
        <v>0</v>
      </c>
      <c r="S276" s="58"/>
      <c r="T276" s="58"/>
      <c r="U276" s="61">
        <f>D276-K276</f>
        <v>0</v>
      </c>
    </row>
    <row r="277" spans="1:21" ht="18" hidden="1" customHeight="1">
      <c r="A277" s="49">
        <f>SUBTOTAL(103,$B$9:B277)</f>
        <v>104</v>
      </c>
      <c r="B277" s="62" t="s">
        <v>304</v>
      </c>
      <c r="C277" s="51" t="s">
        <v>56</v>
      </c>
      <c r="D277" s="63"/>
      <c r="E277" s="84">
        <v>0</v>
      </c>
      <c r="F277" s="64"/>
      <c r="G277" s="55">
        <f t="shared" si="48"/>
        <v>0</v>
      </c>
      <c r="H277" s="56"/>
      <c r="I277" s="57"/>
      <c r="J277" s="57"/>
      <c r="K277" s="58">
        <f t="shared" si="49"/>
        <v>0</v>
      </c>
      <c r="L277" s="59">
        <f t="shared" si="50"/>
        <v>0</v>
      </c>
      <c r="M277" s="57"/>
      <c r="N277" s="57"/>
      <c r="O277" s="58">
        <f t="shared" si="51"/>
        <v>0</v>
      </c>
      <c r="P277" s="60">
        <f t="shared" si="52"/>
        <v>0</v>
      </c>
      <c r="Q277" s="58">
        <f t="shared" si="45"/>
        <v>0</v>
      </c>
      <c r="R277" s="58">
        <f t="shared" si="47"/>
        <v>0</v>
      </c>
      <c r="S277" s="58"/>
      <c r="T277" s="58"/>
      <c r="U277" s="61">
        <f t="shared" si="53"/>
        <v>0</v>
      </c>
    </row>
    <row r="278" spans="1:21" s="75" customFormat="1" ht="18" hidden="1" customHeight="1">
      <c r="A278" s="49">
        <f>SUBTOTAL(103,$B$9:B278)</f>
        <v>104</v>
      </c>
      <c r="B278" s="95" t="s">
        <v>305</v>
      </c>
      <c r="C278" s="51" t="s">
        <v>51</v>
      </c>
      <c r="D278" s="96"/>
      <c r="E278" s="84">
        <v>0</v>
      </c>
      <c r="F278" s="64"/>
      <c r="G278" s="68">
        <f t="shared" si="48"/>
        <v>0</v>
      </c>
      <c r="H278" s="69"/>
      <c r="I278" s="70"/>
      <c r="J278" s="70"/>
      <c r="K278" s="58">
        <f t="shared" si="49"/>
        <v>0</v>
      </c>
      <c r="L278" s="72">
        <f t="shared" si="50"/>
        <v>0</v>
      </c>
      <c r="M278" s="70"/>
      <c r="N278" s="70"/>
      <c r="O278" s="71">
        <f t="shared" si="51"/>
        <v>0</v>
      </c>
      <c r="P278" s="73">
        <f t="shared" si="52"/>
        <v>0</v>
      </c>
      <c r="Q278" s="71">
        <f t="shared" si="45"/>
        <v>0</v>
      </c>
      <c r="R278" s="71">
        <f t="shared" si="47"/>
        <v>0</v>
      </c>
      <c r="S278" s="71"/>
      <c r="T278" s="71"/>
      <c r="U278" s="97">
        <f t="shared" si="53"/>
        <v>0</v>
      </c>
    </row>
    <row r="279" spans="1:21" ht="18" customHeight="1">
      <c r="A279" s="49"/>
      <c r="B279" s="98" t="s">
        <v>306</v>
      </c>
      <c r="C279" s="99"/>
      <c r="D279" s="100">
        <f>SUM(D8:H278)</f>
        <v>103029</v>
      </c>
      <c r="E279" s="101"/>
      <c r="F279" s="102"/>
      <c r="G279" s="102">
        <f>SUM(G9:G278)</f>
        <v>0</v>
      </c>
      <c r="H279" s="103"/>
      <c r="I279" s="103">
        <f>SUBTOTAL(9,I9:I278)</f>
        <v>9910</v>
      </c>
      <c r="J279" s="103">
        <f>SUBTOTAL(9,J9:J278)</f>
        <v>129052</v>
      </c>
      <c r="K279" s="103"/>
      <c r="L279" s="104"/>
      <c r="M279" s="103">
        <f>SUBTOTAL(9,M9:M278)</f>
        <v>7710</v>
      </c>
      <c r="N279" s="103">
        <f>SUBTOTAL(9,N9:N278)</f>
        <v>126852</v>
      </c>
      <c r="O279" s="103">
        <f t="shared" ref="O279:U279" si="54">SUBTOTAL(9,O9:O278)</f>
        <v>0</v>
      </c>
      <c r="P279" s="103"/>
      <c r="Q279" s="103">
        <f>SUBTOTAL(9,Q9:Q278)</f>
        <v>2200</v>
      </c>
      <c r="R279" s="103">
        <f t="shared" si="54"/>
        <v>0</v>
      </c>
      <c r="S279" s="103">
        <f t="shared" si="54"/>
        <v>0</v>
      </c>
      <c r="T279" s="103">
        <f>SUBTOTAL(9,T9:T278)</f>
        <v>0</v>
      </c>
      <c r="U279" s="103">
        <f t="shared" si="54"/>
        <v>-26023</v>
      </c>
    </row>
    <row r="280" spans="1:21" ht="15" hidden="1" customHeight="1">
      <c r="A280" s="105"/>
      <c r="B280" s="106"/>
      <c r="C280" s="106"/>
      <c r="D280" s="106"/>
      <c r="E280" s="107">
        <v>100</v>
      </c>
      <c r="F280" s="108" t="s">
        <v>307</v>
      </c>
      <c r="G280" s="108"/>
      <c r="H280" s="108"/>
      <c r="I280" s="106"/>
      <c r="J280" s="106"/>
      <c r="K280" s="106"/>
      <c r="L280" s="106"/>
      <c r="M280" s="109"/>
      <c r="N280" s="106" t="s">
        <v>308</v>
      </c>
      <c r="O280" s="106"/>
      <c r="P280" s="110"/>
      <c r="Q280" s="106"/>
      <c r="R280" s="106"/>
      <c r="S280" s="106"/>
      <c r="T280" s="2"/>
    </row>
    <row r="281" spans="1:21" ht="15" hidden="1" customHeight="1">
      <c r="A281" s="105"/>
      <c r="C281" s="111"/>
      <c r="D281" s="111"/>
      <c r="E281" s="112">
        <v>100</v>
      </c>
      <c r="F281" s="108" t="s">
        <v>309</v>
      </c>
      <c r="G281" s="113"/>
      <c r="J281" s="106"/>
      <c r="K281" s="106"/>
      <c r="L281" s="106"/>
      <c r="M281" s="114"/>
      <c r="N281" s="106" t="s">
        <v>310</v>
      </c>
      <c r="O281" s="106"/>
      <c r="P281" s="110"/>
      <c r="Q281" s="106"/>
      <c r="R281" s="106"/>
      <c r="S281" s="106"/>
      <c r="T281" s="2"/>
    </row>
    <row r="282" spans="1:21" ht="15" hidden="1" customHeight="1">
      <c r="A282" s="105"/>
      <c r="B282" s="111"/>
      <c r="C282" s="111"/>
      <c r="J282" s="106"/>
      <c r="K282" s="106"/>
      <c r="L282" s="106"/>
      <c r="M282" s="115"/>
      <c r="N282" s="106" t="s">
        <v>311</v>
      </c>
      <c r="O282" s="106"/>
      <c r="P282" s="110"/>
      <c r="Q282" s="106"/>
      <c r="R282" s="106"/>
      <c r="S282" s="106"/>
      <c r="T282" s="2"/>
    </row>
    <row r="283" spans="1:21" ht="15" hidden="1" customHeight="1">
      <c r="A283" s="105"/>
      <c r="B283" s="111"/>
      <c r="C283" s="106"/>
      <c r="H283" s="106"/>
      <c r="I283" s="113"/>
      <c r="J283" s="106"/>
      <c r="K283" s="106"/>
      <c r="L283" s="106"/>
      <c r="M283" s="116"/>
      <c r="N283" s="106" t="s">
        <v>312</v>
      </c>
      <c r="O283" s="106"/>
      <c r="P283" s="110"/>
      <c r="Q283" s="106"/>
      <c r="R283" s="106"/>
      <c r="S283" s="106"/>
      <c r="T283" s="2"/>
    </row>
    <row r="286" spans="1:21" ht="34.5" customHeight="1">
      <c r="P286" s="118"/>
    </row>
  </sheetData>
  <autoFilter ref="A7:U283">
    <filterColumn colId="3">
      <customFilters>
        <customFilter operator="notEqual" val=" "/>
      </customFilters>
    </filterColumn>
    <filterColumn colId="16"/>
  </autoFilter>
  <mergeCells count="13">
    <mergeCell ref="J5:J6"/>
    <mergeCell ref="A5:A6"/>
    <mergeCell ref="B5:B6"/>
    <mergeCell ref="D5:D6"/>
    <mergeCell ref="E5:E6"/>
    <mergeCell ref="G5:G6"/>
    <mergeCell ref="U5:U6"/>
    <mergeCell ref="K5:K6"/>
    <mergeCell ref="L5:L6"/>
    <mergeCell ref="N5:N6"/>
    <mergeCell ref="O5:O6"/>
    <mergeCell ref="P5:P6"/>
    <mergeCell ref="R5:R6"/>
  </mergeCells>
  <conditionalFormatting sqref="L95:L96 P95:P96 P118 L118 L45 P45 P164:P165 L164:L165 P47 L47 P85:P86 P92 L85:L86 L92 L167 P167 L88:L89 P88:P89 L16 P16 L270:L271 P270:P271 P232:P233 L232:L233 P34 L34 P80:P82 L80:L82 P266:P267 L266:L267 L184:L186 P184:P186 L99:L111 P99:P111 L113 P113 L127:L130 P127:P130 P143:P147 L143:L147 P188:P197 L188:L197 L253:L255 P253:P255 P257:P259 L257:L259 P273:P277 L273:L277 P199:P221 L9:L11 P9:P11 P18:P21 L18:L21 L25:L32 P25:P32 P38:P42 L38:L42 L153:L154 P153:P154 P223:P226 L223:L226 P132:P141 L132:L141 P242:P245 L242:L245 L199:L221 L156:L157 P156:P157 P160:P162 L160:L162 L57:L77 P57:P77 L262:L263 P262:P263 L49:L55 P49:P55 P149:P151 L149:L151 P248:P251 L248:L251">
    <cfRule type="cellIs" dxfId="382" priority="381" stopIfTrue="1" operator="greaterThanOrEqual">
      <formula>100</formula>
    </cfRule>
    <cfRule type="cellIs" dxfId="381" priority="382" stopIfTrue="1" operator="between">
      <formula>$P$4</formula>
      <formula>100</formula>
    </cfRule>
    <cfRule type="cellIs" dxfId="380" priority="383" stopIfTrue="1" operator="between">
      <formula>0</formula>
      <formula>$P$4</formula>
    </cfRule>
  </conditionalFormatting>
  <conditionalFormatting sqref="A9:A278">
    <cfRule type="expression" dxfId="379" priority="380" stopIfTrue="1">
      <formula>OR(($D9=0),($P9&gt;=100))</formula>
    </cfRule>
  </conditionalFormatting>
  <conditionalFormatting sqref="A127:A128">
    <cfRule type="expression" dxfId="378" priority="379" stopIfTrue="1">
      <formula>OR(($D127=0),($P127&gt;=100))</formula>
    </cfRule>
  </conditionalFormatting>
  <conditionalFormatting sqref="A128">
    <cfRule type="expression" dxfId="377" priority="378" stopIfTrue="1">
      <formula>OR(($D128=0),($P128&gt;=100))</formula>
    </cfRule>
  </conditionalFormatting>
  <conditionalFormatting sqref="A145:A147">
    <cfRule type="expression" dxfId="376" priority="377" stopIfTrue="1">
      <formula>OR(($D145=0),($P145&gt;=100))</formula>
    </cfRule>
  </conditionalFormatting>
  <conditionalFormatting sqref="A147">
    <cfRule type="expression" dxfId="375" priority="376" stopIfTrue="1">
      <formula>OR(($D147=0),($P147&gt;=100))</formula>
    </cfRule>
  </conditionalFormatting>
  <conditionalFormatting sqref="P155 L155">
    <cfRule type="cellIs" dxfId="374" priority="373" stopIfTrue="1" operator="greaterThanOrEqual">
      <formula>100</formula>
    </cfRule>
    <cfRule type="cellIs" dxfId="373" priority="374" stopIfTrue="1" operator="between">
      <formula>$P$4</formula>
      <formula>100</formula>
    </cfRule>
    <cfRule type="cellIs" dxfId="372" priority="375" stopIfTrue="1" operator="between">
      <formula>0</formula>
      <formula>$P$4</formula>
    </cfRule>
  </conditionalFormatting>
  <conditionalFormatting sqref="A155">
    <cfRule type="expression" dxfId="371" priority="372" stopIfTrue="1">
      <formula>OR(($D155=0),($P155&gt;=100))</formula>
    </cfRule>
  </conditionalFormatting>
  <conditionalFormatting sqref="A42">
    <cfRule type="expression" dxfId="370" priority="371" stopIfTrue="1">
      <formula>OR(($D42=0),($P42&gt;=100))</formula>
    </cfRule>
  </conditionalFormatting>
  <conditionalFormatting sqref="A32">
    <cfRule type="expression" dxfId="369" priority="370" stopIfTrue="1">
      <formula>OR(($D32=0),($P32&gt;=100))</formula>
    </cfRule>
  </conditionalFormatting>
  <conditionalFormatting sqref="A142">
    <cfRule type="expression" dxfId="368" priority="369" stopIfTrue="1">
      <formula>OR(($D142=0),($P142&gt;=100))</formula>
    </cfRule>
  </conditionalFormatting>
  <conditionalFormatting sqref="L142 P142">
    <cfRule type="cellIs" dxfId="367" priority="366" stopIfTrue="1" operator="greaterThanOrEqual">
      <formula>100</formula>
    </cfRule>
    <cfRule type="cellIs" dxfId="366" priority="367" stopIfTrue="1" operator="between">
      <formula>$P$4</formula>
      <formula>100</formula>
    </cfRule>
    <cfRule type="cellIs" dxfId="365" priority="368" stopIfTrue="1" operator="between">
      <formula>0</formula>
      <formula>$P$4</formula>
    </cfRule>
  </conditionalFormatting>
  <conditionalFormatting sqref="A252">
    <cfRule type="expression" dxfId="364" priority="365" stopIfTrue="1">
      <formula>OR(($D252=0),($P252&gt;=100))</formula>
    </cfRule>
  </conditionalFormatting>
  <conditionalFormatting sqref="A83:A84">
    <cfRule type="expression" dxfId="363" priority="364" stopIfTrue="1">
      <formula>OR(($D83=0),($P83&gt;=100))</formula>
    </cfRule>
  </conditionalFormatting>
  <conditionalFormatting sqref="L252 P252">
    <cfRule type="cellIs" dxfId="362" priority="361" stopIfTrue="1" operator="greaterThanOrEqual">
      <formula>100</formula>
    </cfRule>
    <cfRule type="cellIs" dxfId="361" priority="362" stopIfTrue="1" operator="between">
      <formula>$P$4</formula>
      <formula>100</formula>
    </cfRule>
    <cfRule type="cellIs" dxfId="360" priority="363" stopIfTrue="1" operator="between">
      <formula>0</formula>
      <formula>$P$4</formula>
    </cfRule>
  </conditionalFormatting>
  <conditionalFormatting sqref="L83:L84 P83:P84">
    <cfRule type="cellIs" dxfId="359" priority="358" stopIfTrue="1" operator="greaterThanOrEqual">
      <formula>100</formula>
    </cfRule>
    <cfRule type="cellIs" dxfId="358" priority="359" stopIfTrue="1" operator="between">
      <formula>$P$4</formula>
      <formula>100</formula>
    </cfRule>
    <cfRule type="cellIs" dxfId="357" priority="360" stopIfTrue="1" operator="between">
      <formula>0</formula>
      <formula>$P$4</formula>
    </cfRule>
  </conditionalFormatting>
  <conditionalFormatting sqref="L278 P278">
    <cfRule type="cellIs" dxfId="356" priority="355" stopIfTrue="1" operator="greaterThanOrEqual">
      <formula>100</formula>
    </cfRule>
    <cfRule type="cellIs" dxfId="355" priority="356" stopIfTrue="1" operator="between">
      <formula>$P$4</formula>
      <formula>100</formula>
    </cfRule>
    <cfRule type="cellIs" dxfId="354" priority="357" stopIfTrue="1" operator="between">
      <formula>0</formula>
      <formula>$P$4</formula>
    </cfRule>
  </conditionalFormatting>
  <conditionalFormatting sqref="A278">
    <cfRule type="expression" dxfId="353" priority="354" stopIfTrue="1">
      <formula>OR(($D278=0),($P278&gt;=100))</formula>
    </cfRule>
  </conditionalFormatting>
  <conditionalFormatting sqref="L121 P121">
    <cfRule type="cellIs" dxfId="352" priority="351" stopIfTrue="1" operator="greaterThanOrEqual">
      <formula>100</formula>
    </cfRule>
    <cfRule type="cellIs" dxfId="351" priority="352" stopIfTrue="1" operator="between">
      <formula>$P$4</formula>
      <formula>100</formula>
    </cfRule>
    <cfRule type="cellIs" dxfId="350" priority="353" stopIfTrue="1" operator="between">
      <formula>0</formula>
      <formula>$P$4</formula>
    </cfRule>
  </conditionalFormatting>
  <conditionalFormatting sqref="A121">
    <cfRule type="expression" dxfId="349" priority="350" stopIfTrue="1">
      <formula>OR(($D121=0),($P121&gt;=100))</formula>
    </cfRule>
  </conditionalFormatting>
  <conditionalFormatting sqref="P228 L228">
    <cfRule type="cellIs" dxfId="348" priority="347" stopIfTrue="1" operator="greaterThanOrEqual">
      <formula>100</formula>
    </cfRule>
    <cfRule type="cellIs" dxfId="347" priority="348" stopIfTrue="1" operator="between">
      <formula>$P$4</formula>
      <formula>100</formula>
    </cfRule>
    <cfRule type="cellIs" dxfId="346" priority="349" stopIfTrue="1" operator="between">
      <formula>0</formula>
      <formula>$P$4</formula>
    </cfRule>
  </conditionalFormatting>
  <conditionalFormatting sqref="A228">
    <cfRule type="expression" dxfId="345" priority="346" stopIfTrue="1">
      <formula>OR(($D228=0),($P228&gt;=100))</formula>
    </cfRule>
  </conditionalFormatting>
  <conditionalFormatting sqref="P230 L230">
    <cfRule type="cellIs" dxfId="344" priority="343" stopIfTrue="1" operator="greaterThanOrEqual">
      <formula>100</formula>
    </cfRule>
    <cfRule type="cellIs" dxfId="343" priority="344" stopIfTrue="1" operator="between">
      <formula>$P$4</formula>
      <formula>100</formula>
    </cfRule>
    <cfRule type="cellIs" dxfId="342" priority="345" stopIfTrue="1" operator="between">
      <formula>0</formula>
      <formula>$P$4</formula>
    </cfRule>
  </conditionalFormatting>
  <conditionalFormatting sqref="A230">
    <cfRule type="expression" dxfId="341" priority="342" stopIfTrue="1">
      <formula>OR(($D230=0),($P230&gt;=100))</formula>
    </cfRule>
  </conditionalFormatting>
  <conditionalFormatting sqref="P93 L93">
    <cfRule type="cellIs" dxfId="340" priority="339" stopIfTrue="1" operator="greaterThanOrEqual">
      <formula>100</formula>
    </cfRule>
    <cfRule type="cellIs" dxfId="339" priority="340" stopIfTrue="1" operator="between">
      <formula>$P$4</formula>
      <formula>100</formula>
    </cfRule>
    <cfRule type="cellIs" dxfId="338" priority="341" stopIfTrue="1" operator="between">
      <formula>0</formula>
      <formula>$P$4</formula>
    </cfRule>
  </conditionalFormatting>
  <conditionalFormatting sqref="A93">
    <cfRule type="expression" dxfId="337" priority="338" stopIfTrue="1">
      <formula>OR(($D93=0),($P93&gt;=100))</formula>
    </cfRule>
  </conditionalFormatting>
  <conditionalFormatting sqref="L97 P97">
    <cfRule type="cellIs" dxfId="336" priority="335" stopIfTrue="1" operator="greaterThanOrEqual">
      <formula>100</formula>
    </cfRule>
    <cfRule type="cellIs" dxfId="335" priority="336" stopIfTrue="1" operator="between">
      <formula>$P$4</formula>
      <formula>100</formula>
    </cfRule>
    <cfRule type="cellIs" dxfId="334" priority="337" stopIfTrue="1" operator="between">
      <formula>0</formula>
      <formula>$P$4</formula>
    </cfRule>
  </conditionalFormatting>
  <conditionalFormatting sqref="A97">
    <cfRule type="expression" dxfId="333" priority="334" stopIfTrue="1">
      <formula>OR(($D97=0),($P97&gt;=100))</formula>
    </cfRule>
  </conditionalFormatting>
  <conditionalFormatting sqref="L235:L236 P235:P236">
    <cfRule type="cellIs" dxfId="332" priority="331" stopIfTrue="1" operator="greaterThanOrEqual">
      <formula>100</formula>
    </cfRule>
    <cfRule type="cellIs" dxfId="331" priority="332" stopIfTrue="1" operator="between">
      <formula>$P$4</formula>
      <formula>100</formula>
    </cfRule>
    <cfRule type="cellIs" dxfId="330" priority="333" stopIfTrue="1" operator="between">
      <formula>0</formula>
      <formula>$P$4</formula>
    </cfRule>
  </conditionalFormatting>
  <conditionalFormatting sqref="A235:A236">
    <cfRule type="expression" dxfId="329" priority="330" stopIfTrue="1">
      <formula>OR(($D235=0),($P235&gt;=100))</formula>
    </cfRule>
  </conditionalFormatting>
  <conditionalFormatting sqref="L123 P123">
    <cfRule type="cellIs" dxfId="328" priority="327" stopIfTrue="1" operator="greaterThanOrEqual">
      <formula>100</formula>
    </cfRule>
    <cfRule type="cellIs" dxfId="327" priority="328" stopIfTrue="1" operator="between">
      <formula>$P$4</formula>
      <formula>100</formula>
    </cfRule>
    <cfRule type="cellIs" dxfId="326" priority="329" stopIfTrue="1" operator="between">
      <formula>0</formula>
      <formula>$P$4</formula>
    </cfRule>
  </conditionalFormatting>
  <conditionalFormatting sqref="P172 L172">
    <cfRule type="cellIs" dxfId="325" priority="324" stopIfTrue="1" operator="greaterThanOrEqual">
      <formula>100</formula>
    </cfRule>
    <cfRule type="cellIs" dxfId="324" priority="325" stopIfTrue="1" operator="between">
      <formula>$P$4</formula>
      <formula>100</formula>
    </cfRule>
    <cfRule type="cellIs" dxfId="323" priority="326" stopIfTrue="1" operator="between">
      <formula>0</formula>
      <formula>$P$4</formula>
    </cfRule>
  </conditionalFormatting>
  <conditionalFormatting sqref="A172">
    <cfRule type="expression" dxfId="322" priority="323" stopIfTrue="1">
      <formula>OR(($D172=0),($P172&gt;=100))</formula>
    </cfRule>
  </conditionalFormatting>
  <conditionalFormatting sqref="P90 L90">
    <cfRule type="cellIs" dxfId="321" priority="320" stopIfTrue="1" operator="greaterThanOrEqual">
      <formula>100</formula>
    </cfRule>
    <cfRule type="cellIs" dxfId="320" priority="321" stopIfTrue="1" operator="between">
      <formula>$P$4</formula>
      <formula>100</formula>
    </cfRule>
    <cfRule type="cellIs" dxfId="319" priority="322" stopIfTrue="1" operator="between">
      <formula>0</formula>
      <formula>$P$4</formula>
    </cfRule>
  </conditionalFormatting>
  <conditionalFormatting sqref="A90">
    <cfRule type="expression" dxfId="318" priority="319" stopIfTrue="1">
      <formula>OR(($D90=0),($P90&gt;=100))</formula>
    </cfRule>
  </conditionalFormatting>
  <conditionalFormatting sqref="P173 L173">
    <cfRule type="cellIs" dxfId="317" priority="316" stopIfTrue="1" operator="greaterThanOrEqual">
      <formula>100</formula>
    </cfRule>
    <cfRule type="cellIs" dxfId="316" priority="317" stopIfTrue="1" operator="between">
      <formula>$P$4</formula>
      <formula>100</formula>
    </cfRule>
    <cfRule type="cellIs" dxfId="315" priority="318" stopIfTrue="1" operator="between">
      <formula>0</formula>
      <formula>$P$4</formula>
    </cfRule>
  </conditionalFormatting>
  <conditionalFormatting sqref="A173">
    <cfRule type="expression" dxfId="314" priority="315" stopIfTrue="1">
      <formula>OR(($D173=0),($P173&gt;=100))</formula>
    </cfRule>
  </conditionalFormatting>
  <conditionalFormatting sqref="A61">
    <cfRule type="expression" dxfId="313" priority="314" stopIfTrue="1">
      <formula>OR(($D61=0),($P61&gt;=100))</formula>
    </cfRule>
  </conditionalFormatting>
  <conditionalFormatting sqref="P169 L169">
    <cfRule type="cellIs" dxfId="312" priority="311" stopIfTrue="1" operator="greaterThanOrEqual">
      <formula>100</formula>
    </cfRule>
    <cfRule type="cellIs" dxfId="311" priority="312" stopIfTrue="1" operator="between">
      <formula>$P$4</formula>
      <formula>100</formula>
    </cfRule>
    <cfRule type="cellIs" dxfId="310" priority="313" stopIfTrue="1" operator="between">
      <formula>0</formula>
      <formula>$P$4</formula>
    </cfRule>
  </conditionalFormatting>
  <conditionalFormatting sqref="A169">
    <cfRule type="expression" dxfId="309" priority="310" stopIfTrue="1">
      <formula>OR(($D169=0),($P169&gt;=100))</formula>
    </cfRule>
  </conditionalFormatting>
  <conditionalFormatting sqref="P171 L171">
    <cfRule type="cellIs" dxfId="308" priority="307" stopIfTrue="1" operator="greaterThanOrEqual">
      <formula>100</formula>
    </cfRule>
    <cfRule type="cellIs" dxfId="307" priority="308" stopIfTrue="1" operator="between">
      <formula>$P$4</formula>
      <formula>100</formula>
    </cfRule>
    <cfRule type="cellIs" dxfId="306" priority="309" stopIfTrue="1" operator="between">
      <formula>0</formula>
      <formula>$P$4</formula>
    </cfRule>
  </conditionalFormatting>
  <conditionalFormatting sqref="A171">
    <cfRule type="expression" dxfId="305" priority="306" stopIfTrue="1">
      <formula>OR(($D171=0),($P171&gt;=100))</formula>
    </cfRule>
  </conditionalFormatting>
  <conditionalFormatting sqref="P174 L174">
    <cfRule type="cellIs" dxfId="304" priority="303" stopIfTrue="1" operator="greaterThanOrEqual">
      <formula>100</formula>
    </cfRule>
    <cfRule type="cellIs" dxfId="303" priority="304" stopIfTrue="1" operator="between">
      <formula>$P$4</formula>
      <formula>100</formula>
    </cfRule>
    <cfRule type="cellIs" dxfId="302" priority="305" stopIfTrue="1" operator="between">
      <formula>0</formula>
      <formula>$P$4</formula>
    </cfRule>
  </conditionalFormatting>
  <conditionalFormatting sqref="A174">
    <cfRule type="expression" dxfId="301" priority="302" stopIfTrue="1">
      <formula>OR(($D174=0),($P174&gt;=100))</formula>
    </cfRule>
  </conditionalFormatting>
  <conditionalFormatting sqref="L122 P122">
    <cfRule type="cellIs" dxfId="300" priority="299" stopIfTrue="1" operator="greaterThanOrEqual">
      <formula>100</formula>
    </cfRule>
    <cfRule type="cellIs" dxfId="299" priority="300" stopIfTrue="1" operator="between">
      <formula>$P$4</formula>
      <formula>100</formula>
    </cfRule>
    <cfRule type="cellIs" dxfId="298" priority="301" stopIfTrue="1" operator="between">
      <formula>0</formula>
      <formula>$P$4</formula>
    </cfRule>
  </conditionalFormatting>
  <conditionalFormatting sqref="A187">
    <cfRule type="expression" dxfId="297" priority="298" stopIfTrue="1">
      <formula>OR(($D187=0),($P187&gt;=100))</formula>
    </cfRule>
  </conditionalFormatting>
  <conditionalFormatting sqref="P187 L187">
    <cfRule type="cellIs" dxfId="296" priority="295" stopIfTrue="1" operator="greaterThanOrEqual">
      <formula>100</formula>
    </cfRule>
    <cfRule type="cellIs" dxfId="295" priority="296" stopIfTrue="1" operator="between">
      <formula>$P$4</formula>
      <formula>100</formula>
    </cfRule>
    <cfRule type="cellIs" dxfId="294" priority="297" stopIfTrue="1" operator="between">
      <formula>0</formula>
      <formula>$P$4</formula>
    </cfRule>
  </conditionalFormatting>
  <conditionalFormatting sqref="A122">
    <cfRule type="expression" dxfId="293" priority="294" stopIfTrue="1">
      <formula>OR(($D122=0),($P122&gt;=100))</formula>
    </cfRule>
  </conditionalFormatting>
  <conditionalFormatting sqref="P168 L168">
    <cfRule type="cellIs" dxfId="292" priority="291" stopIfTrue="1" operator="greaterThanOrEqual">
      <formula>100</formula>
    </cfRule>
    <cfRule type="cellIs" dxfId="291" priority="292" stopIfTrue="1" operator="between">
      <formula>$P$4</formula>
      <formula>100</formula>
    </cfRule>
    <cfRule type="cellIs" dxfId="290" priority="293" stopIfTrue="1" operator="between">
      <formula>0</formula>
      <formula>$P$4</formula>
    </cfRule>
  </conditionalFormatting>
  <conditionalFormatting sqref="A168">
    <cfRule type="expression" dxfId="289" priority="290" stopIfTrue="1">
      <formula>OR(($D168=0),($P168&gt;=100))</formula>
    </cfRule>
  </conditionalFormatting>
  <conditionalFormatting sqref="A47">
    <cfRule type="expression" dxfId="288" priority="289" stopIfTrue="1">
      <formula>OR(($D47=0),($P47&gt;=100))</formula>
    </cfRule>
  </conditionalFormatting>
  <conditionalFormatting sqref="L120 P120">
    <cfRule type="cellIs" dxfId="287" priority="286" stopIfTrue="1" operator="greaterThanOrEqual">
      <formula>100</formula>
    </cfRule>
    <cfRule type="cellIs" dxfId="286" priority="287" stopIfTrue="1" operator="between">
      <formula>$P$4</formula>
      <formula>100</formula>
    </cfRule>
    <cfRule type="cellIs" dxfId="285" priority="288" stopIfTrue="1" operator="between">
      <formula>0</formula>
      <formula>$P$4</formula>
    </cfRule>
  </conditionalFormatting>
  <conditionalFormatting sqref="A120">
    <cfRule type="expression" dxfId="284" priority="285" stopIfTrue="1">
      <formula>OR(($D120=0),($P120&gt;=100))</formula>
    </cfRule>
  </conditionalFormatting>
  <conditionalFormatting sqref="P114 L114">
    <cfRule type="cellIs" dxfId="283" priority="282" stopIfTrue="1" operator="greaterThanOrEqual">
      <formula>100</formula>
    </cfRule>
    <cfRule type="cellIs" dxfId="282" priority="283" stopIfTrue="1" operator="between">
      <formula>$P$4</formula>
      <formula>100</formula>
    </cfRule>
    <cfRule type="cellIs" dxfId="281" priority="284" stopIfTrue="1" operator="between">
      <formula>0</formula>
      <formula>$P$4</formula>
    </cfRule>
  </conditionalFormatting>
  <conditionalFormatting sqref="A114">
    <cfRule type="expression" dxfId="280" priority="281" stopIfTrue="1">
      <formula>OR(($D114=0),($P114&gt;=100))</formula>
    </cfRule>
  </conditionalFormatting>
  <conditionalFormatting sqref="P115 L115">
    <cfRule type="cellIs" dxfId="279" priority="278" stopIfTrue="1" operator="greaterThanOrEqual">
      <formula>100</formula>
    </cfRule>
    <cfRule type="cellIs" dxfId="278" priority="279" stopIfTrue="1" operator="between">
      <formula>$P$4</formula>
      <formula>100</formula>
    </cfRule>
    <cfRule type="cellIs" dxfId="277" priority="280" stopIfTrue="1" operator="between">
      <formula>0</formula>
      <formula>$P$4</formula>
    </cfRule>
  </conditionalFormatting>
  <conditionalFormatting sqref="A115">
    <cfRule type="expression" dxfId="276" priority="277" stopIfTrue="1">
      <formula>OR(($D115=0),($P115&gt;=100))</formula>
    </cfRule>
  </conditionalFormatting>
  <conditionalFormatting sqref="L234 P234">
    <cfRule type="cellIs" dxfId="275" priority="274" stopIfTrue="1" operator="greaterThanOrEqual">
      <formula>100</formula>
    </cfRule>
    <cfRule type="cellIs" dxfId="274" priority="275" stopIfTrue="1" operator="between">
      <formula>$P$4</formula>
      <formula>100</formula>
    </cfRule>
    <cfRule type="cellIs" dxfId="273" priority="276" stopIfTrue="1" operator="between">
      <formula>0</formula>
      <formula>$P$4</formula>
    </cfRule>
  </conditionalFormatting>
  <conditionalFormatting sqref="A234">
    <cfRule type="expression" dxfId="272" priority="273" stopIfTrue="1">
      <formula>OR(($D234=0),($P234&gt;=100))</formula>
    </cfRule>
  </conditionalFormatting>
  <conditionalFormatting sqref="L87 P87">
    <cfRule type="cellIs" dxfId="271" priority="270" stopIfTrue="1" operator="greaterThanOrEqual">
      <formula>100</formula>
    </cfRule>
    <cfRule type="cellIs" dxfId="270" priority="271" stopIfTrue="1" operator="between">
      <formula>$P$4</formula>
      <formula>100</formula>
    </cfRule>
    <cfRule type="cellIs" dxfId="269" priority="272" stopIfTrue="1" operator="between">
      <formula>0</formula>
      <formula>$P$4</formula>
    </cfRule>
  </conditionalFormatting>
  <conditionalFormatting sqref="A87">
    <cfRule type="expression" dxfId="268" priority="269" stopIfTrue="1">
      <formula>OR(($D87=0),($P87&gt;=100))</formula>
    </cfRule>
  </conditionalFormatting>
  <conditionalFormatting sqref="A24">
    <cfRule type="expression" dxfId="267" priority="268" stopIfTrue="1">
      <formula>OR(($D24=0),($P24&gt;=100))</formula>
    </cfRule>
  </conditionalFormatting>
  <conditionalFormatting sqref="L24 P24">
    <cfRule type="cellIs" dxfId="266" priority="265" stopIfTrue="1" operator="greaterThanOrEqual">
      <formula>100</formula>
    </cfRule>
    <cfRule type="cellIs" dxfId="265" priority="266" stopIfTrue="1" operator="between">
      <formula>$P$4</formula>
      <formula>100</formula>
    </cfRule>
    <cfRule type="cellIs" dxfId="264" priority="267" stopIfTrue="1" operator="between">
      <formula>0</formula>
      <formula>$P$4</formula>
    </cfRule>
  </conditionalFormatting>
  <conditionalFormatting sqref="A23">
    <cfRule type="expression" dxfId="263" priority="264" stopIfTrue="1">
      <formula>OR(($D23=0),($P23&gt;=100))</formula>
    </cfRule>
  </conditionalFormatting>
  <conditionalFormatting sqref="L23 P23">
    <cfRule type="cellIs" dxfId="262" priority="261" stopIfTrue="1" operator="greaterThanOrEqual">
      <formula>100</formula>
    </cfRule>
    <cfRule type="cellIs" dxfId="261" priority="262" stopIfTrue="1" operator="between">
      <formula>$P$4</formula>
      <formula>100</formula>
    </cfRule>
    <cfRule type="cellIs" dxfId="260" priority="263" stopIfTrue="1" operator="between">
      <formula>0</formula>
      <formula>$P$4</formula>
    </cfRule>
  </conditionalFormatting>
  <conditionalFormatting sqref="P56 L56">
    <cfRule type="cellIs" dxfId="259" priority="258" stopIfTrue="1" operator="greaterThanOrEqual">
      <formula>100</formula>
    </cfRule>
    <cfRule type="cellIs" dxfId="258" priority="259" stopIfTrue="1" operator="between">
      <formula>$P$4</formula>
      <formula>100</formula>
    </cfRule>
    <cfRule type="cellIs" dxfId="257" priority="260" stopIfTrue="1" operator="between">
      <formula>0</formula>
      <formula>$P$4</formula>
    </cfRule>
  </conditionalFormatting>
  <conditionalFormatting sqref="A56">
    <cfRule type="expression" dxfId="256" priority="257" stopIfTrue="1">
      <formula>OR(($D56=0),($P56&gt;=100))</formula>
    </cfRule>
  </conditionalFormatting>
  <conditionalFormatting sqref="P180:P181 L180:L181">
    <cfRule type="cellIs" dxfId="255" priority="254" stopIfTrue="1" operator="greaterThanOrEqual">
      <formula>100</formula>
    </cfRule>
    <cfRule type="cellIs" dxfId="254" priority="255" stopIfTrue="1" operator="between">
      <formula>$P$4</formula>
      <formula>100</formula>
    </cfRule>
    <cfRule type="cellIs" dxfId="253" priority="256" stopIfTrue="1" operator="between">
      <formula>0</formula>
      <formula>$P$4</formula>
    </cfRule>
  </conditionalFormatting>
  <conditionalFormatting sqref="A180:A181">
    <cfRule type="expression" dxfId="252" priority="253" stopIfTrue="1">
      <formula>OR(($D180=0),($P180&gt;=100))</formula>
    </cfRule>
  </conditionalFormatting>
  <conditionalFormatting sqref="L125 P125">
    <cfRule type="cellIs" dxfId="251" priority="250" stopIfTrue="1" operator="greaterThanOrEqual">
      <formula>100</formula>
    </cfRule>
    <cfRule type="cellIs" dxfId="250" priority="251" stopIfTrue="1" operator="between">
      <formula>$P$4</formula>
      <formula>100</formula>
    </cfRule>
    <cfRule type="cellIs" dxfId="249" priority="252" stopIfTrue="1" operator="between">
      <formula>0</formula>
      <formula>$P$4</formula>
    </cfRule>
  </conditionalFormatting>
  <conditionalFormatting sqref="A264">
    <cfRule type="expression" dxfId="248" priority="249" stopIfTrue="1">
      <formula>OR(($D264=0),($P264&gt;=100))</formula>
    </cfRule>
  </conditionalFormatting>
  <conditionalFormatting sqref="P264 L264">
    <cfRule type="cellIs" dxfId="247" priority="246" stopIfTrue="1" operator="greaterThanOrEqual">
      <formula>100</formula>
    </cfRule>
    <cfRule type="cellIs" dxfId="246" priority="247" stopIfTrue="1" operator="between">
      <formula>$P$4</formula>
      <formula>100</formula>
    </cfRule>
    <cfRule type="cellIs" dxfId="245" priority="248" stopIfTrue="1" operator="between">
      <formula>0</formula>
      <formula>$P$4</formula>
    </cfRule>
  </conditionalFormatting>
  <conditionalFormatting sqref="A239">
    <cfRule type="expression" dxfId="244" priority="245" stopIfTrue="1">
      <formula>OR(($D239=0),($P239&gt;=100))</formula>
    </cfRule>
  </conditionalFormatting>
  <conditionalFormatting sqref="L239 P239">
    <cfRule type="cellIs" dxfId="243" priority="242" stopIfTrue="1" operator="greaterThanOrEqual">
      <formula>100</formula>
    </cfRule>
    <cfRule type="cellIs" dxfId="242" priority="243" stopIfTrue="1" operator="between">
      <formula>$P$4</formula>
      <formula>100</formula>
    </cfRule>
    <cfRule type="cellIs" dxfId="241" priority="244" stopIfTrue="1" operator="between">
      <formula>0</formula>
      <formula>$P$4</formula>
    </cfRule>
  </conditionalFormatting>
  <conditionalFormatting sqref="A240">
    <cfRule type="expression" dxfId="240" priority="241" stopIfTrue="1">
      <formula>OR(($D240=0),($P240&gt;=100))</formula>
    </cfRule>
  </conditionalFormatting>
  <conditionalFormatting sqref="A177:A179">
    <cfRule type="expression" dxfId="239" priority="240" stopIfTrue="1">
      <formula>OR(($D177=0),($P177&gt;=100))</formula>
    </cfRule>
  </conditionalFormatting>
  <conditionalFormatting sqref="L240 P240">
    <cfRule type="cellIs" dxfId="238" priority="237" stopIfTrue="1" operator="greaterThanOrEqual">
      <formula>100</formula>
    </cfRule>
    <cfRule type="cellIs" dxfId="237" priority="238" stopIfTrue="1" operator="between">
      <formula>$P$4</formula>
      <formula>100</formula>
    </cfRule>
    <cfRule type="cellIs" dxfId="236" priority="239" stopIfTrue="1" operator="between">
      <formula>0</formula>
      <formula>$P$4</formula>
    </cfRule>
  </conditionalFormatting>
  <conditionalFormatting sqref="P177:P179 L177:L179">
    <cfRule type="cellIs" dxfId="235" priority="234" stopIfTrue="1" operator="greaterThanOrEqual">
      <formula>100</formula>
    </cfRule>
    <cfRule type="cellIs" dxfId="234" priority="235" stopIfTrue="1" operator="between">
      <formula>$P$4</formula>
      <formula>100</formula>
    </cfRule>
    <cfRule type="cellIs" dxfId="233" priority="236" stopIfTrue="1" operator="between">
      <formula>0</formula>
      <formula>$P$4</formula>
    </cfRule>
  </conditionalFormatting>
  <conditionalFormatting sqref="A125">
    <cfRule type="expression" dxfId="232" priority="233" stopIfTrue="1">
      <formula>OR(($D125=0),($P125&gt;=100))</formula>
    </cfRule>
  </conditionalFormatting>
  <conditionalFormatting sqref="L261 P261">
    <cfRule type="cellIs" dxfId="231" priority="230" stopIfTrue="1" operator="greaterThanOrEqual">
      <formula>100</formula>
    </cfRule>
    <cfRule type="cellIs" dxfId="230" priority="231" stopIfTrue="1" operator="between">
      <formula>$P$4</formula>
      <formula>100</formula>
    </cfRule>
    <cfRule type="cellIs" dxfId="229" priority="232" stopIfTrue="1" operator="between">
      <formula>0</formula>
      <formula>$P$4</formula>
    </cfRule>
  </conditionalFormatting>
  <conditionalFormatting sqref="A261">
    <cfRule type="expression" dxfId="228" priority="229" stopIfTrue="1">
      <formula>OR(($D261=0),($P261&gt;=100))</formula>
    </cfRule>
  </conditionalFormatting>
  <conditionalFormatting sqref="P119 L119">
    <cfRule type="cellIs" dxfId="227" priority="226" stopIfTrue="1" operator="greaterThanOrEqual">
      <formula>100</formula>
    </cfRule>
    <cfRule type="cellIs" dxfId="226" priority="227" stopIfTrue="1" operator="between">
      <formula>$P$4</formula>
      <formula>100</formula>
    </cfRule>
    <cfRule type="cellIs" dxfId="225" priority="228" stopIfTrue="1" operator="between">
      <formula>0</formula>
      <formula>$P$4</formula>
    </cfRule>
  </conditionalFormatting>
  <conditionalFormatting sqref="A119">
    <cfRule type="expression" dxfId="224" priority="225" stopIfTrue="1">
      <formula>OR(($D119=0),($P119&gt;=100))</formula>
    </cfRule>
  </conditionalFormatting>
  <conditionalFormatting sqref="P44 L44">
    <cfRule type="cellIs" dxfId="223" priority="222" stopIfTrue="1" operator="greaterThanOrEqual">
      <formula>100</formula>
    </cfRule>
    <cfRule type="cellIs" dxfId="222" priority="223" stopIfTrue="1" operator="between">
      <formula>$P$4</formula>
      <formula>100</formula>
    </cfRule>
    <cfRule type="cellIs" dxfId="221" priority="224" stopIfTrue="1" operator="between">
      <formula>0</formula>
      <formula>$P$4</formula>
    </cfRule>
  </conditionalFormatting>
  <conditionalFormatting sqref="A44">
    <cfRule type="expression" dxfId="220" priority="221" stopIfTrue="1">
      <formula>OR(($D44=0),($P44&gt;=100))</formula>
    </cfRule>
  </conditionalFormatting>
  <conditionalFormatting sqref="A94">
    <cfRule type="expression" dxfId="219" priority="220" stopIfTrue="1">
      <formula>OR(($D94=0),($P94&gt;=100))</formula>
    </cfRule>
  </conditionalFormatting>
  <conditionalFormatting sqref="L94 P94">
    <cfRule type="cellIs" dxfId="218" priority="217" stopIfTrue="1" operator="greaterThanOrEqual">
      <formula>100</formula>
    </cfRule>
    <cfRule type="cellIs" dxfId="217" priority="218" stopIfTrue="1" operator="between">
      <formula>$P$4</formula>
      <formula>100</formula>
    </cfRule>
    <cfRule type="cellIs" dxfId="216" priority="219" stopIfTrue="1" operator="between">
      <formula>0</formula>
      <formula>$P$4</formula>
    </cfRule>
  </conditionalFormatting>
  <conditionalFormatting sqref="P37 L37">
    <cfRule type="cellIs" dxfId="215" priority="214" stopIfTrue="1" operator="greaterThanOrEqual">
      <formula>100</formula>
    </cfRule>
    <cfRule type="cellIs" dxfId="214" priority="215" stopIfTrue="1" operator="between">
      <formula>$P$4</formula>
      <formula>100</formula>
    </cfRule>
    <cfRule type="cellIs" dxfId="213" priority="216" stopIfTrue="1" operator="between">
      <formula>0</formula>
      <formula>$P$4</formula>
    </cfRule>
  </conditionalFormatting>
  <conditionalFormatting sqref="A37">
    <cfRule type="expression" dxfId="212" priority="213" stopIfTrue="1">
      <formula>OR(($D37=0),($P37&gt;=100))</formula>
    </cfRule>
  </conditionalFormatting>
  <conditionalFormatting sqref="L148 P148">
    <cfRule type="cellIs" dxfId="211" priority="210" stopIfTrue="1" operator="greaterThanOrEqual">
      <formula>100</formula>
    </cfRule>
    <cfRule type="cellIs" dxfId="210" priority="211" stopIfTrue="1" operator="between">
      <formula>$P$4</formula>
      <formula>100</formula>
    </cfRule>
    <cfRule type="cellIs" dxfId="209" priority="212" stopIfTrue="1" operator="between">
      <formula>0</formula>
      <formula>$P$4</formula>
    </cfRule>
  </conditionalFormatting>
  <conditionalFormatting sqref="A148">
    <cfRule type="expression" dxfId="208" priority="209" stopIfTrue="1">
      <formula>OR(($D148=0),($P148&gt;=100))</formula>
    </cfRule>
  </conditionalFormatting>
  <conditionalFormatting sqref="A148">
    <cfRule type="expression" dxfId="207" priority="208" stopIfTrue="1">
      <formula>OR(($D148=0),($P148&gt;=100))</formula>
    </cfRule>
  </conditionalFormatting>
  <conditionalFormatting sqref="A163">
    <cfRule type="expression" dxfId="206" priority="207" stopIfTrue="1">
      <formula>OR(($D163=0),($P163&gt;=100))</formula>
    </cfRule>
  </conditionalFormatting>
  <conditionalFormatting sqref="A170">
    <cfRule type="expression" dxfId="205" priority="206" stopIfTrue="1">
      <formula>OR(($D170=0),($P170&gt;=100))</formula>
    </cfRule>
  </conditionalFormatting>
  <conditionalFormatting sqref="L163 P163">
    <cfRule type="cellIs" dxfId="204" priority="203" stopIfTrue="1" operator="greaterThanOrEqual">
      <formula>100</formula>
    </cfRule>
    <cfRule type="cellIs" dxfId="203" priority="204" stopIfTrue="1" operator="between">
      <formula>$P$4</formula>
      <formula>100</formula>
    </cfRule>
    <cfRule type="cellIs" dxfId="202" priority="205" stopIfTrue="1" operator="between">
      <formula>0</formula>
      <formula>$P$4</formula>
    </cfRule>
  </conditionalFormatting>
  <conditionalFormatting sqref="A46">
    <cfRule type="expression" dxfId="201" priority="202" stopIfTrue="1">
      <formula>OR(($D46=0),($P46&gt;=100))</formula>
    </cfRule>
  </conditionalFormatting>
  <conditionalFormatting sqref="P170 L170">
    <cfRule type="cellIs" dxfId="200" priority="199" stopIfTrue="1" operator="greaterThanOrEqual">
      <formula>100</formula>
    </cfRule>
    <cfRule type="cellIs" dxfId="199" priority="200" stopIfTrue="1" operator="between">
      <formula>$P$4</formula>
      <formula>100</formula>
    </cfRule>
    <cfRule type="cellIs" dxfId="198" priority="201" stopIfTrue="1" operator="between">
      <formula>0</formula>
      <formula>$P$4</formula>
    </cfRule>
  </conditionalFormatting>
  <conditionalFormatting sqref="L46 P46">
    <cfRule type="cellIs" dxfId="197" priority="196" stopIfTrue="1" operator="greaterThanOrEqual">
      <formula>100</formula>
    </cfRule>
    <cfRule type="cellIs" dxfId="196" priority="197" stopIfTrue="1" operator="between">
      <formula>$P$4</formula>
      <formula>100</formula>
    </cfRule>
    <cfRule type="cellIs" dxfId="195" priority="198" stopIfTrue="1" operator="between">
      <formula>0</formula>
      <formula>$P$4</formula>
    </cfRule>
  </conditionalFormatting>
  <conditionalFormatting sqref="L237 P237">
    <cfRule type="cellIs" dxfId="194" priority="193" stopIfTrue="1" operator="greaterThanOrEqual">
      <formula>100</formula>
    </cfRule>
    <cfRule type="cellIs" dxfId="193" priority="194" stopIfTrue="1" operator="between">
      <formula>$P$4</formula>
      <formula>100</formula>
    </cfRule>
    <cfRule type="cellIs" dxfId="192" priority="195" stopIfTrue="1" operator="between">
      <formula>0</formula>
      <formula>$P$4</formula>
    </cfRule>
  </conditionalFormatting>
  <conditionalFormatting sqref="A237">
    <cfRule type="expression" dxfId="191" priority="192" stopIfTrue="1">
      <formula>OR(($D237=0),($P237&gt;=100))</formula>
    </cfRule>
  </conditionalFormatting>
  <conditionalFormatting sqref="A238">
    <cfRule type="expression" dxfId="190" priority="191" stopIfTrue="1">
      <formula>OR(($D238=0),($P238&gt;=100))</formula>
    </cfRule>
  </conditionalFormatting>
  <conditionalFormatting sqref="A183">
    <cfRule type="expression" dxfId="189" priority="190" stopIfTrue="1">
      <formula>OR(($D183=0),($P183&gt;=100))</formula>
    </cfRule>
  </conditionalFormatting>
  <conditionalFormatting sqref="L238 P238">
    <cfRule type="cellIs" dxfId="188" priority="187" stopIfTrue="1" operator="greaterThanOrEqual">
      <formula>100</formula>
    </cfRule>
    <cfRule type="cellIs" dxfId="187" priority="188" stopIfTrue="1" operator="between">
      <formula>$P$4</formula>
      <formula>100</formula>
    </cfRule>
    <cfRule type="cellIs" dxfId="186" priority="189" stopIfTrue="1" operator="between">
      <formula>0</formula>
      <formula>$P$4</formula>
    </cfRule>
  </conditionalFormatting>
  <conditionalFormatting sqref="P183 L183">
    <cfRule type="cellIs" dxfId="185" priority="184" stopIfTrue="1" operator="greaterThanOrEqual">
      <formula>100</formula>
    </cfRule>
    <cfRule type="cellIs" dxfId="184" priority="185" stopIfTrue="1" operator="between">
      <formula>$P$4</formula>
      <formula>100</formula>
    </cfRule>
    <cfRule type="cellIs" dxfId="183" priority="186" stopIfTrue="1" operator="between">
      <formula>0</formula>
      <formula>$P$4</formula>
    </cfRule>
  </conditionalFormatting>
  <conditionalFormatting sqref="P227 L227">
    <cfRule type="cellIs" dxfId="182" priority="181" stopIfTrue="1" operator="greaterThanOrEqual">
      <formula>100</formula>
    </cfRule>
    <cfRule type="cellIs" dxfId="181" priority="182" stopIfTrue="1" operator="between">
      <formula>$P$4</formula>
      <formula>100</formula>
    </cfRule>
    <cfRule type="cellIs" dxfId="180" priority="183" stopIfTrue="1" operator="between">
      <formula>0</formula>
      <formula>$P$4</formula>
    </cfRule>
  </conditionalFormatting>
  <conditionalFormatting sqref="A227">
    <cfRule type="expression" dxfId="179" priority="180" stopIfTrue="1">
      <formula>OR(($D227=0),($P227&gt;=100))</formula>
    </cfRule>
  </conditionalFormatting>
  <conditionalFormatting sqref="P166 L166">
    <cfRule type="cellIs" dxfId="178" priority="177" stopIfTrue="1" operator="greaterThanOrEqual">
      <formula>100</formula>
    </cfRule>
    <cfRule type="cellIs" dxfId="177" priority="178" stopIfTrue="1" operator="between">
      <formula>$P$4</formula>
      <formula>100</formula>
    </cfRule>
    <cfRule type="cellIs" dxfId="176" priority="179" stopIfTrue="1" operator="between">
      <formula>0</formula>
      <formula>$P$4</formula>
    </cfRule>
  </conditionalFormatting>
  <conditionalFormatting sqref="A166">
    <cfRule type="expression" dxfId="175" priority="176" stopIfTrue="1">
      <formula>OR(($D166=0),($P166&gt;=100))</formula>
    </cfRule>
  </conditionalFormatting>
  <conditionalFormatting sqref="P229 L229">
    <cfRule type="cellIs" dxfId="174" priority="173" stopIfTrue="1" operator="greaterThanOrEqual">
      <formula>100</formula>
    </cfRule>
    <cfRule type="cellIs" dxfId="173" priority="174" stopIfTrue="1" operator="between">
      <formula>$P$4</formula>
      <formula>100</formula>
    </cfRule>
    <cfRule type="cellIs" dxfId="172" priority="175" stopIfTrue="1" operator="between">
      <formula>0</formula>
      <formula>$P$4</formula>
    </cfRule>
  </conditionalFormatting>
  <conditionalFormatting sqref="A229">
    <cfRule type="expression" dxfId="171" priority="172" stopIfTrue="1">
      <formula>OR(($D229=0),($P229&gt;=100))</formula>
    </cfRule>
  </conditionalFormatting>
  <conditionalFormatting sqref="A158">
    <cfRule type="expression" dxfId="170" priority="171" stopIfTrue="1">
      <formula>OR(($D158=0),($P158&gt;=100))</formula>
    </cfRule>
  </conditionalFormatting>
  <conditionalFormatting sqref="L158 P158">
    <cfRule type="cellIs" dxfId="169" priority="168" stopIfTrue="1" operator="greaterThanOrEqual">
      <formula>100</formula>
    </cfRule>
    <cfRule type="cellIs" dxfId="168" priority="169" stopIfTrue="1" operator="between">
      <formula>$P$4</formula>
      <formula>100</formula>
    </cfRule>
    <cfRule type="cellIs" dxfId="167" priority="170" stopIfTrue="1" operator="between">
      <formula>0</formula>
      <formula>$P$4</formula>
    </cfRule>
  </conditionalFormatting>
  <conditionalFormatting sqref="A112">
    <cfRule type="expression" dxfId="166" priority="167" stopIfTrue="1">
      <formula>OR(($D112=0),($P112&gt;=100))</formula>
    </cfRule>
  </conditionalFormatting>
  <conditionalFormatting sqref="P112 L112">
    <cfRule type="cellIs" dxfId="165" priority="164" stopIfTrue="1" operator="greaterThanOrEqual">
      <formula>100</formula>
    </cfRule>
    <cfRule type="cellIs" dxfId="164" priority="165" stopIfTrue="1" operator="between">
      <formula>$P$4</formula>
      <formula>100</formula>
    </cfRule>
    <cfRule type="cellIs" dxfId="163" priority="166" stopIfTrue="1" operator="between">
      <formula>0</formula>
      <formula>$P$4</formula>
    </cfRule>
  </conditionalFormatting>
  <conditionalFormatting sqref="A159">
    <cfRule type="expression" dxfId="162" priority="163" stopIfTrue="1">
      <formula>OR(($D159=0),($P159&gt;=100))</formula>
    </cfRule>
  </conditionalFormatting>
  <conditionalFormatting sqref="L159 P159">
    <cfRule type="cellIs" dxfId="161" priority="160" stopIfTrue="1" operator="greaterThanOrEqual">
      <formula>100</formula>
    </cfRule>
    <cfRule type="cellIs" dxfId="160" priority="161" stopIfTrue="1" operator="between">
      <formula>$P$4</formula>
      <formula>100</formula>
    </cfRule>
    <cfRule type="cellIs" dxfId="159" priority="162" stopIfTrue="1" operator="between">
      <formula>0</formula>
      <formula>$P$4</formula>
    </cfRule>
  </conditionalFormatting>
  <conditionalFormatting sqref="P231 L231">
    <cfRule type="cellIs" dxfId="158" priority="157" stopIfTrue="1" operator="greaterThanOrEqual">
      <formula>100</formula>
    </cfRule>
    <cfRule type="cellIs" dxfId="157" priority="158" stopIfTrue="1" operator="between">
      <formula>$P$4</formula>
      <formula>100</formula>
    </cfRule>
    <cfRule type="cellIs" dxfId="156" priority="159" stopIfTrue="1" operator="between">
      <formula>0</formula>
      <formula>$P$4</formula>
    </cfRule>
  </conditionalFormatting>
  <conditionalFormatting sqref="A265">
    <cfRule type="expression" dxfId="155" priority="156" stopIfTrue="1">
      <formula>OR(($D265=0),($P265&gt;=100))</formula>
    </cfRule>
  </conditionalFormatting>
  <conditionalFormatting sqref="P265 L265">
    <cfRule type="cellIs" dxfId="154" priority="153" stopIfTrue="1" operator="greaterThanOrEqual">
      <formula>100</formula>
    </cfRule>
    <cfRule type="cellIs" dxfId="153" priority="154" stopIfTrue="1" operator="between">
      <formula>$P$4</formula>
      <formula>100</formula>
    </cfRule>
    <cfRule type="cellIs" dxfId="152" priority="155" stopIfTrue="1" operator="between">
      <formula>0</formula>
      <formula>$P$4</formula>
    </cfRule>
  </conditionalFormatting>
  <conditionalFormatting sqref="P175:P176 L175:L176">
    <cfRule type="cellIs" dxfId="151" priority="150" stopIfTrue="1" operator="greaterThanOrEqual">
      <formula>100</formula>
    </cfRule>
    <cfRule type="cellIs" dxfId="150" priority="151" stopIfTrue="1" operator="between">
      <formula>$P$4</formula>
      <formula>100</formula>
    </cfRule>
    <cfRule type="cellIs" dxfId="149" priority="152" stopIfTrue="1" operator="between">
      <formula>0</formula>
      <formula>$P$4</formula>
    </cfRule>
  </conditionalFormatting>
  <conditionalFormatting sqref="A175:A176">
    <cfRule type="expression" dxfId="148" priority="149" stopIfTrue="1">
      <formula>OR(($D175=0),($P175&gt;=100))</formula>
    </cfRule>
  </conditionalFormatting>
  <conditionalFormatting sqref="A124">
    <cfRule type="expression" dxfId="147" priority="148" stopIfTrue="1">
      <formula>OR(($D124=0),($P124&gt;=100))</formula>
    </cfRule>
  </conditionalFormatting>
  <conditionalFormatting sqref="L124 P124">
    <cfRule type="cellIs" dxfId="146" priority="145" stopIfTrue="1" operator="greaterThanOrEqual">
      <formula>100</formula>
    </cfRule>
    <cfRule type="cellIs" dxfId="145" priority="146" stopIfTrue="1" operator="between">
      <formula>$P$4</formula>
      <formula>100</formula>
    </cfRule>
    <cfRule type="cellIs" dxfId="144" priority="147" stopIfTrue="1" operator="between">
      <formula>0</formula>
      <formula>$P$4</formula>
    </cfRule>
  </conditionalFormatting>
  <conditionalFormatting sqref="P43 L43">
    <cfRule type="cellIs" dxfId="143" priority="142" stopIfTrue="1" operator="greaterThanOrEqual">
      <formula>100</formula>
    </cfRule>
    <cfRule type="cellIs" dxfId="142" priority="143" stopIfTrue="1" operator="between">
      <formula>$P$4</formula>
      <formula>100</formula>
    </cfRule>
    <cfRule type="cellIs" dxfId="141" priority="144" stopIfTrue="1" operator="between">
      <formula>0</formula>
      <formula>$P$4</formula>
    </cfRule>
  </conditionalFormatting>
  <conditionalFormatting sqref="A43">
    <cfRule type="expression" dxfId="140" priority="141" stopIfTrue="1">
      <formula>OR(($D43=0),($P43&gt;=100))</formula>
    </cfRule>
  </conditionalFormatting>
  <conditionalFormatting sqref="L126 P126">
    <cfRule type="cellIs" dxfId="139" priority="138" stopIfTrue="1" operator="greaterThanOrEqual">
      <formula>100</formula>
    </cfRule>
    <cfRule type="cellIs" dxfId="138" priority="139" stopIfTrue="1" operator="between">
      <formula>$P$4</formula>
      <formula>100</formula>
    </cfRule>
    <cfRule type="cellIs" dxfId="137" priority="140" stopIfTrue="1" operator="between">
      <formula>0</formula>
      <formula>$P$4</formula>
    </cfRule>
  </conditionalFormatting>
  <conditionalFormatting sqref="A126">
    <cfRule type="expression" dxfId="136" priority="137" stopIfTrue="1">
      <formula>OR(($D126=0),($P126&gt;=100))</formula>
    </cfRule>
  </conditionalFormatting>
  <conditionalFormatting sqref="A176">
    <cfRule type="expression" dxfId="135" priority="136" stopIfTrue="1">
      <formula>OR(($D176=0),($P176&gt;=100))</formula>
    </cfRule>
  </conditionalFormatting>
  <conditionalFormatting sqref="P176 L176">
    <cfRule type="cellIs" dxfId="134" priority="133" stopIfTrue="1" operator="greaterThanOrEqual">
      <formula>100</formula>
    </cfRule>
    <cfRule type="cellIs" dxfId="133" priority="134" stopIfTrue="1" operator="between">
      <formula>$P$4</formula>
      <formula>100</formula>
    </cfRule>
    <cfRule type="cellIs" dxfId="132" priority="135" stopIfTrue="1" operator="between">
      <formula>0</formula>
      <formula>$P$4</formula>
    </cfRule>
  </conditionalFormatting>
  <conditionalFormatting sqref="P179 L179">
    <cfRule type="cellIs" dxfId="131" priority="130" stopIfTrue="1" operator="greaterThanOrEqual">
      <formula>100</formula>
    </cfRule>
    <cfRule type="cellIs" dxfId="130" priority="131" stopIfTrue="1" operator="between">
      <formula>$P$4</formula>
      <formula>100</formula>
    </cfRule>
    <cfRule type="cellIs" dxfId="129" priority="132" stopIfTrue="1" operator="between">
      <formula>0</formula>
      <formula>$P$4</formula>
    </cfRule>
  </conditionalFormatting>
  <conditionalFormatting sqref="A179">
    <cfRule type="expression" dxfId="128" priority="129" stopIfTrue="1">
      <formula>OR(($D179=0),($P179&gt;=100))</formula>
    </cfRule>
  </conditionalFormatting>
  <conditionalFormatting sqref="A179">
    <cfRule type="expression" dxfId="127" priority="128" stopIfTrue="1">
      <formula>OR(($D179=0),($P179&gt;=100))</formula>
    </cfRule>
  </conditionalFormatting>
  <conditionalFormatting sqref="P179 L179">
    <cfRule type="cellIs" dxfId="126" priority="125" stopIfTrue="1" operator="greaterThanOrEqual">
      <formula>100</formula>
    </cfRule>
    <cfRule type="cellIs" dxfId="125" priority="126" stopIfTrue="1" operator="between">
      <formula>$P$4</formula>
      <formula>100</formula>
    </cfRule>
    <cfRule type="cellIs" dxfId="124" priority="127" stopIfTrue="1" operator="between">
      <formula>0</formula>
      <formula>$P$4</formula>
    </cfRule>
  </conditionalFormatting>
  <conditionalFormatting sqref="P98 L98">
    <cfRule type="cellIs" dxfId="123" priority="122" stopIfTrue="1" operator="greaterThanOrEqual">
      <formula>100</formula>
    </cfRule>
    <cfRule type="cellIs" dxfId="122" priority="123" stopIfTrue="1" operator="between">
      <formula>$P$4</formula>
      <formula>100</formula>
    </cfRule>
    <cfRule type="cellIs" dxfId="121" priority="124" stopIfTrue="1" operator="between">
      <formula>0</formula>
      <formula>$P$4</formula>
    </cfRule>
  </conditionalFormatting>
  <conditionalFormatting sqref="A98">
    <cfRule type="expression" dxfId="120" priority="121" stopIfTrue="1">
      <formula>OR(($D98=0),($P98&gt;=100))</formula>
    </cfRule>
  </conditionalFormatting>
  <conditionalFormatting sqref="A10 A16 A21 A26 A31 A36 A41 A46 A58 A64 A69 A74 A79 A85 A90 A95 A100 A105 A110 A115 A120 A125 A130 A135 A141 A146 A152 A158 A164 A169 A174 A186 A191 A196 A212 A218 A223 A228 A233 A239 A245 A252 A257 A268 A273 A278 A204:A205 A180:A181 A262:A263 A51:A52">
    <cfRule type="expression" dxfId="119" priority="120" stopIfTrue="1">
      <formula>OR(($D10=0),($P10&gt;=100))</formula>
    </cfRule>
  </conditionalFormatting>
  <conditionalFormatting sqref="L15 P15">
    <cfRule type="cellIs" dxfId="118" priority="117" stopIfTrue="1" operator="greaterThanOrEqual">
      <formula>100</formula>
    </cfRule>
    <cfRule type="cellIs" dxfId="117" priority="118" stopIfTrue="1" operator="between">
      <formula>$P$4</formula>
      <formula>100</formula>
    </cfRule>
    <cfRule type="cellIs" dxfId="116" priority="119" stopIfTrue="1" operator="between">
      <formula>0</formula>
      <formula>$P$4</formula>
    </cfRule>
  </conditionalFormatting>
  <conditionalFormatting sqref="A15">
    <cfRule type="expression" dxfId="115" priority="116" stopIfTrue="1">
      <formula>OR(($D15=0),($P15&gt;=100))</formula>
    </cfRule>
  </conditionalFormatting>
  <conditionalFormatting sqref="L12 P12">
    <cfRule type="cellIs" dxfId="114" priority="113" stopIfTrue="1" operator="greaterThanOrEqual">
      <formula>100</formula>
    </cfRule>
    <cfRule type="cellIs" dxfId="113" priority="114" stopIfTrue="1" operator="between">
      <formula>$P$4</formula>
      <formula>100</formula>
    </cfRule>
    <cfRule type="cellIs" dxfId="112" priority="115" stopIfTrue="1" operator="between">
      <formula>0</formula>
      <formula>$P$4</formula>
    </cfRule>
  </conditionalFormatting>
  <conditionalFormatting sqref="A12 A18 A23 A28 A33 A38 A43 A48 A61 A66 A71 A76 A81 A87 A92 A97 A102 A107 A112 A117 A122 A127 A132 A138 A143 A148 A154 A160 A166 A171 A176 A183 A188 A193 A198 A214 A220 A225 A230 A241 A247 A254 A259 A265 A270 A275 A208:A209 A235:A236 A54:A55">
    <cfRule type="expression" dxfId="111" priority="112" stopIfTrue="1">
      <formula>OR(($D12=0),($P12&gt;=100))</formula>
    </cfRule>
  </conditionalFormatting>
  <conditionalFormatting sqref="P269 L269">
    <cfRule type="cellIs" dxfId="110" priority="109" stopIfTrue="1" operator="greaterThanOrEqual">
      <formula>100</formula>
    </cfRule>
    <cfRule type="cellIs" dxfId="109" priority="110" stopIfTrue="1" operator="between">
      <formula>$P$4</formula>
      <formula>100</formula>
    </cfRule>
    <cfRule type="cellIs" dxfId="108" priority="111" stopIfTrue="1" operator="between">
      <formula>0</formula>
      <formula>$P$4</formula>
    </cfRule>
  </conditionalFormatting>
  <conditionalFormatting sqref="A269">
    <cfRule type="expression" dxfId="107" priority="108" stopIfTrue="1">
      <formula>OR(($D269=0),($P269&gt;=100))</formula>
    </cfRule>
  </conditionalFormatting>
  <conditionalFormatting sqref="P48 L48">
    <cfRule type="cellIs" dxfId="106" priority="105" stopIfTrue="1" operator="greaterThanOrEqual">
      <formula>100</formula>
    </cfRule>
    <cfRule type="cellIs" dxfId="105" priority="106" stopIfTrue="1" operator="between">
      <formula>$P$4</formula>
      <formula>100</formula>
    </cfRule>
    <cfRule type="cellIs" dxfId="104" priority="107" stopIfTrue="1" operator="between">
      <formula>0</formula>
      <formula>$P$4</formula>
    </cfRule>
  </conditionalFormatting>
  <conditionalFormatting sqref="A48">
    <cfRule type="expression" dxfId="103" priority="104" stopIfTrue="1">
      <formula>OR(($D48=0),($P48&gt;=100))</formula>
    </cfRule>
  </conditionalFormatting>
  <conditionalFormatting sqref="A182">
    <cfRule type="expression" dxfId="102" priority="103" stopIfTrue="1">
      <formula>OR(($D182=0),($P182&gt;=100))</formula>
    </cfRule>
  </conditionalFormatting>
  <conditionalFormatting sqref="P182 L182">
    <cfRule type="cellIs" dxfId="101" priority="100" stopIfTrue="1" operator="greaterThanOrEqual">
      <formula>100</formula>
    </cfRule>
    <cfRule type="cellIs" dxfId="100" priority="101" stopIfTrue="1" operator="between">
      <formula>$P$4</formula>
      <formula>100</formula>
    </cfRule>
    <cfRule type="cellIs" dxfId="99" priority="102" stopIfTrue="1" operator="between">
      <formula>0</formula>
      <formula>$P$4</formula>
    </cfRule>
  </conditionalFormatting>
  <conditionalFormatting sqref="P116 L116">
    <cfRule type="cellIs" dxfId="98" priority="97" stopIfTrue="1" operator="greaterThanOrEqual">
      <formula>100</formula>
    </cfRule>
    <cfRule type="cellIs" dxfId="97" priority="98" stopIfTrue="1" operator="between">
      <formula>$P$4</formula>
      <formula>100</formula>
    </cfRule>
    <cfRule type="cellIs" dxfId="96" priority="99" stopIfTrue="1" operator="between">
      <formula>0</formula>
      <formula>$P$4</formula>
    </cfRule>
  </conditionalFormatting>
  <conditionalFormatting sqref="A116">
    <cfRule type="expression" dxfId="95" priority="96" stopIfTrue="1">
      <formula>OR(($D116=0),($P116&gt;=100))</formula>
    </cfRule>
  </conditionalFormatting>
  <conditionalFormatting sqref="A241">
    <cfRule type="expression" dxfId="94" priority="95" stopIfTrue="1">
      <formula>OR(($D241=0),($P241&gt;=100))</formula>
    </cfRule>
  </conditionalFormatting>
  <conditionalFormatting sqref="L241 P241">
    <cfRule type="cellIs" dxfId="93" priority="92" stopIfTrue="1" operator="greaterThanOrEqual">
      <formula>100</formula>
    </cfRule>
    <cfRule type="cellIs" dxfId="92" priority="93" stopIfTrue="1" operator="between">
      <formula>$P$4</formula>
      <formula>100</formula>
    </cfRule>
    <cfRule type="cellIs" dxfId="91" priority="94" stopIfTrue="1" operator="between">
      <formula>0</formula>
      <formula>$P$4</formula>
    </cfRule>
  </conditionalFormatting>
  <conditionalFormatting sqref="P91 L91">
    <cfRule type="cellIs" dxfId="90" priority="89" stopIfTrue="1" operator="greaterThanOrEqual">
      <formula>100</formula>
    </cfRule>
    <cfRule type="cellIs" dxfId="89" priority="90" stopIfTrue="1" operator="between">
      <formula>$P$4</formula>
      <formula>100</formula>
    </cfRule>
    <cfRule type="cellIs" dxfId="88" priority="91" stopIfTrue="1" operator="between">
      <formula>0</formula>
      <formula>$P$4</formula>
    </cfRule>
  </conditionalFormatting>
  <conditionalFormatting sqref="A91">
    <cfRule type="expression" dxfId="87" priority="88" stopIfTrue="1">
      <formula>OR(($D91=0),($P91&gt;=100))</formula>
    </cfRule>
  </conditionalFormatting>
  <conditionalFormatting sqref="P17 L17">
    <cfRule type="cellIs" dxfId="86" priority="85" stopIfTrue="1" operator="greaterThanOrEqual">
      <formula>100</formula>
    </cfRule>
    <cfRule type="cellIs" dxfId="85" priority="86" stopIfTrue="1" operator="between">
      <formula>$P$4</formula>
      <formula>100</formula>
    </cfRule>
    <cfRule type="cellIs" dxfId="84" priority="87" stopIfTrue="1" operator="between">
      <formula>0</formula>
      <formula>$P$4</formula>
    </cfRule>
  </conditionalFormatting>
  <conditionalFormatting sqref="A17">
    <cfRule type="expression" dxfId="83" priority="84" stopIfTrue="1">
      <formula>OR(($D17=0),($P17&gt;=100))</formula>
    </cfRule>
  </conditionalFormatting>
  <conditionalFormatting sqref="L13:L14 P13:P14">
    <cfRule type="cellIs" dxfId="82" priority="81" stopIfTrue="1" operator="greaterThanOrEqual">
      <formula>100</formula>
    </cfRule>
    <cfRule type="cellIs" dxfId="81" priority="82" stopIfTrue="1" operator="between">
      <formula>$P$4</formula>
      <formula>100</formula>
    </cfRule>
    <cfRule type="cellIs" dxfId="80" priority="83" stopIfTrue="1" operator="between">
      <formula>0</formula>
      <formula>$P$4</formula>
    </cfRule>
  </conditionalFormatting>
  <conditionalFormatting sqref="A13:A14 A19 A24 A29 A34 A39 A44 A49 A56 A62 A67 A72 A77 A82 A88 A93 A98 A103 A108 A113 A118 A123 A128 A133 A139 A144 A155 A167 A172 A184 A189 A194 A210 A215 A221 A226 A231 A237 A255 A260 A266 A271 A276 A177:A178 A242:A243 A199:A202 A161:A162 A248:A249 A149:A150">
    <cfRule type="expression" dxfId="79" priority="80" stopIfTrue="1">
      <formula>OR(($D13=0),($P13&gt;=100))</formula>
    </cfRule>
  </conditionalFormatting>
  <conditionalFormatting sqref="P131 L131">
    <cfRule type="cellIs" dxfId="78" priority="77" stopIfTrue="1" operator="greaterThanOrEqual">
      <formula>100</formula>
    </cfRule>
    <cfRule type="cellIs" dxfId="77" priority="78" stopIfTrue="1" operator="between">
      <formula>$P$4</formula>
      <formula>100</formula>
    </cfRule>
    <cfRule type="cellIs" dxfId="76" priority="79" stopIfTrue="1" operator="between">
      <formula>0</formula>
      <formula>$P$4</formula>
    </cfRule>
  </conditionalFormatting>
  <conditionalFormatting sqref="A131">
    <cfRule type="expression" dxfId="75" priority="76" stopIfTrue="1">
      <formula>OR(($D131=0),($P131&gt;=100))</formula>
    </cfRule>
  </conditionalFormatting>
  <conditionalFormatting sqref="A272">
    <cfRule type="expression" dxfId="74" priority="75" stopIfTrue="1">
      <formula>OR(($D272=0),($P272&gt;=100))</formula>
    </cfRule>
  </conditionalFormatting>
  <conditionalFormatting sqref="L272 P272">
    <cfRule type="cellIs" dxfId="73" priority="72" stopIfTrue="1" operator="greaterThanOrEqual">
      <formula>100</formula>
    </cfRule>
    <cfRule type="cellIs" dxfId="72" priority="73" stopIfTrue="1" operator="between">
      <formula>$P$4</formula>
      <formula>100</formula>
    </cfRule>
    <cfRule type="cellIs" dxfId="71" priority="74" stopIfTrue="1" operator="between">
      <formula>0</formula>
      <formula>$P$4</formula>
    </cfRule>
  </conditionalFormatting>
  <conditionalFormatting sqref="P117 L117">
    <cfRule type="cellIs" dxfId="70" priority="69" stopIfTrue="1" operator="greaterThanOrEqual">
      <formula>100</formula>
    </cfRule>
    <cfRule type="cellIs" dxfId="69" priority="70" stopIfTrue="1" operator="between">
      <formula>$P$4</formula>
      <formula>100</formula>
    </cfRule>
    <cfRule type="cellIs" dxfId="68" priority="71" stopIfTrue="1" operator="between">
      <formula>0</formula>
      <formula>$P$4</formula>
    </cfRule>
  </conditionalFormatting>
  <conditionalFormatting sqref="A117">
    <cfRule type="expression" dxfId="67" priority="68" stopIfTrue="1">
      <formula>OR(($D117=0),($P117&gt;=100))</formula>
    </cfRule>
  </conditionalFormatting>
  <conditionalFormatting sqref="L256 P256">
    <cfRule type="cellIs" dxfId="66" priority="65" stopIfTrue="1" operator="greaterThanOrEqual">
      <formula>100</formula>
    </cfRule>
    <cfRule type="cellIs" dxfId="65" priority="66" stopIfTrue="1" operator="between">
      <formula>$P$4</formula>
      <formula>100</formula>
    </cfRule>
    <cfRule type="cellIs" dxfId="64" priority="67" stopIfTrue="1" operator="between">
      <formula>0</formula>
      <formula>$P$4</formula>
    </cfRule>
  </conditionalFormatting>
  <conditionalFormatting sqref="A256">
    <cfRule type="expression" dxfId="63" priority="64" stopIfTrue="1">
      <formula>OR(($D256=0),($P256&gt;=100))</formula>
    </cfRule>
  </conditionalFormatting>
  <conditionalFormatting sqref="L247 P247">
    <cfRule type="cellIs" dxfId="62" priority="61" stopIfTrue="1" operator="greaterThanOrEqual">
      <formula>100</formula>
    </cfRule>
    <cfRule type="cellIs" dxfId="61" priority="62" stopIfTrue="1" operator="between">
      <formula>$P$4</formula>
      <formula>100</formula>
    </cfRule>
    <cfRule type="cellIs" dxfId="60" priority="63" stopIfTrue="1" operator="between">
      <formula>0</formula>
      <formula>$P$4</formula>
    </cfRule>
  </conditionalFormatting>
  <conditionalFormatting sqref="A247">
    <cfRule type="expression" dxfId="59" priority="60" stopIfTrue="1">
      <formula>OR(($D247=0),($P247&gt;=100))</formula>
    </cfRule>
  </conditionalFormatting>
  <conditionalFormatting sqref="P22 L22">
    <cfRule type="cellIs" dxfId="58" priority="57" stopIfTrue="1" operator="greaterThanOrEqual">
      <formula>100</formula>
    </cfRule>
    <cfRule type="cellIs" dxfId="57" priority="58" stopIfTrue="1" operator="between">
      <formula>$P$4</formula>
      <formula>100</formula>
    </cfRule>
    <cfRule type="cellIs" dxfId="56" priority="59" stopIfTrue="1" operator="between">
      <formula>0</formula>
      <formula>$P$4</formula>
    </cfRule>
  </conditionalFormatting>
  <conditionalFormatting sqref="A22">
    <cfRule type="expression" dxfId="55" priority="56" stopIfTrue="1">
      <formula>OR(($D22=0),($P22&gt;=100))</formula>
    </cfRule>
  </conditionalFormatting>
  <conditionalFormatting sqref="L35 P35">
    <cfRule type="cellIs" dxfId="54" priority="53" stopIfTrue="1" operator="greaterThanOrEqual">
      <formula>100</formula>
    </cfRule>
    <cfRule type="cellIs" dxfId="53" priority="54" stopIfTrue="1" operator="between">
      <formula>$P$4</formula>
      <formula>100</formula>
    </cfRule>
    <cfRule type="cellIs" dxfId="52" priority="55" stopIfTrue="1" operator="between">
      <formula>0</formula>
      <formula>$P$4</formula>
    </cfRule>
  </conditionalFormatting>
  <conditionalFormatting sqref="A35">
    <cfRule type="expression" dxfId="51" priority="52" stopIfTrue="1">
      <formula>OR(($D35=0),($P35&gt;=100))</formula>
    </cfRule>
  </conditionalFormatting>
  <conditionalFormatting sqref="L36 P36">
    <cfRule type="cellIs" dxfId="50" priority="49" stopIfTrue="1" operator="greaterThanOrEqual">
      <formula>100</formula>
    </cfRule>
    <cfRule type="cellIs" dxfId="49" priority="50" stopIfTrue="1" operator="between">
      <formula>$P$4</formula>
      <formula>100</formula>
    </cfRule>
    <cfRule type="cellIs" dxfId="48" priority="51" stopIfTrue="1" operator="between">
      <formula>0</formula>
      <formula>$P$4</formula>
    </cfRule>
  </conditionalFormatting>
  <conditionalFormatting sqref="A36">
    <cfRule type="expression" dxfId="47" priority="48" stopIfTrue="1">
      <formula>OR(($D36=0),($P36&gt;=100))</formula>
    </cfRule>
  </conditionalFormatting>
  <conditionalFormatting sqref="P246 L246">
    <cfRule type="cellIs" dxfId="46" priority="45" stopIfTrue="1" operator="greaterThanOrEqual">
      <formula>100</formula>
    </cfRule>
    <cfRule type="cellIs" dxfId="45" priority="46" stopIfTrue="1" operator="between">
      <formula>$P$4</formula>
      <formula>100</formula>
    </cfRule>
    <cfRule type="cellIs" dxfId="44" priority="47" stopIfTrue="1" operator="between">
      <formula>0</formula>
      <formula>$P$4</formula>
    </cfRule>
  </conditionalFormatting>
  <conditionalFormatting sqref="A246">
    <cfRule type="expression" dxfId="43" priority="44" stopIfTrue="1">
      <formula>OR(($D246=0),($P246&gt;=100))</formula>
    </cfRule>
  </conditionalFormatting>
  <conditionalFormatting sqref="P268 L268">
    <cfRule type="cellIs" dxfId="42" priority="41" stopIfTrue="1" operator="greaterThanOrEqual">
      <formula>100</formula>
    </cfRule>
    <cfRule type="cellIs" dxfId="41" priority="42" stopIfTrue="1" operator="between">
      <formula>$P$4</formula>
      <formula>100</formula>
    </cfRule>
    <cfRule type="cellIs" dxfId="40" priority="43" stopIfTrue="1" operator="between">
      <formula>0</formula>
      <formula>$P$4</formula>
    </cfRule>
  </conditionalFormatting>
  <conditionalFormatting sqref="A268">
    <cfRule type="expression" dxfId="39" priority="40" stopIfTrue="1">
      <formula>OR(($D268=0),($P268&gt;=100))</formula>
    </cfRule>
  </conditionalFormatting>
  <conditionalFormatting sqref="P33 L33">
    <cfRule type="cellIs" dxfId="38" priority="37" stopIfTrue="1" operator="greaterThanOrEqual">
      <formula>100</formula>
    </cfRule>
    <cfRule type="cellIs" dxfId="37" priority="38" stopIfTrue="1" operator="between">
      <formula>$P$4</formula>
      <formula>100</formula>
    </cfRule>
    <cfRule type="cellIs" dxfId="36" priority="39" stopIfTrue="1" operator="between">
      <formula>0</formula>
      <formula>$P$4</formula>
    </cfRule>
  </conditionalFormatting>
  <conditionalFormatting sqref="A33">
    <cfRule type="expression" dxfId="35" priority="36" stopIfTrue="1">
      <formula>OR(($D33=0),($P33&gt;=100))</formula>
    </cfRule>
  </conditionalFormatting>
  <conditionalFormatting sqref="P260 L260">
    <cfRule type="cellIs" dxfId="34" priority="33" stopIfTrue="1" operator="greaterThanOrEqual">
      <formula>100</formula>
    </cfRule>
    <cfRule type="cellIs" dxfId="33" priority="34" stopIfTrue="1" operator="between">
      <formula>$P$4</formula>
      <formula>100</formula>
    </cfRule>
    <cfRule type="cellIs" dxfId="32" priority="35" stopIfTrue="1" operator="between">
      <formula>0</formula>
      <formula>$P$4</formula>
    </cfRule>
  </conditionalFormatting>
  <conditionalFormatting sqref="A260">
    <cfRule type="expression" dxfId="31" priority="32" stopIfTrue="1">
      <formula>OR(($D260=0),($P260&gt;=100))</formula>
    </cfRule>
  </conditionalFormatting>
  <conditionalFormatting sqref="P78 L78">
    <cfRule type="cellIs" dxfId="30" priority="29" stopIfTrue="1" operator="greaterThanOrEqual">
      <formula>100</formula>
    </cfRule>
    <cfRule type="cellIs" dxfId="29" priority="30" stopIfTrue="1" operator="between">
      <formula>$P$4</formula>
      <formula>100</formula>
    </cfRule>
    <cfRule type="cellIs" dxfId="28" priority="31" stopIfTrue="1" operator="between">
      <formula>0</formula>
      <formula>$P$4</formula>
    </cfRule>
  </conditionalFormatting>
  <conditionalFormatting sqref="A78">
    <cfRule type="expression" dxfId="27" priority="28" stopIfTrue="1">
      <formula>OR(($D78=0),($P78&gt;=100))</formula>
    </cfRule>
  </conditionalFormatting>
  <conditionalFormatting sqref="P79 L79">
    <cfRule type="cellIs" dxfId="26" priority="25" stopIfTrue="1" operator="greaterThanOrEqual">
      <formula>100</formula>
    </cfRule>
    <cfRule type="cellIs" dxfId="25" priority="26" stopIfTrue="1" operator="between">
      <formula>$P$4</formula>
      <formula>100</formula>
    </cfRule>
    <cfRule type="cellIs" dxfId="24" priority="27" stopIfTrue="1" operator="between">
      <formula>0</formula>
      <formula>$P$4</formula>
    </cfRule>
  </conditionalFormatting>
  <conditionalFormatting sqref="A79">
    <cfRule type="expression" dxfId="23" priority="24" stopIfTrue="1">
      <formula>OR(($D79=0),($P79&gt;=100))</formula>
    </cfRule>
  </conditionalFormatting>
  <conditionalFormatting sqref="P152 L152">
    <cfRule type="cellIs" dxfId="22" priority="21" stopIfTrue="1" operator="greaterThanOrEqual">
      <formula>100</formula>
    </cfRule>
    <cfRule type="cellIs" dxfId="21" priority="22" stopIfTrue="1" operator="between">
      <formula>$P$4</formula>
      <formula>100</formula>
    </cfRule>
    <cfRule type="cellIs" dxfId="20" priority="23" stopIfTrue="1" operator="between">
      <formula>0</formula>
      <formula>$P$4</formula>
    </cfRule>
  </conditionalFormatting>
  <conditionalFormatting sqref="A152">
    <cfRule type="expression" dxfId="19" priority="20" stopIfTrue="1">
      <formula>OR(($D152=0),($P152&gt;=100))</formula>
    </cfRule>
  </conditionalFormatting>
  <conditionalFormatting sqref="A198">
    <cfRule type="expression" dxfId="18" priority="19" stopIfTrue="1">
      <formula>OR(($D198=0),($P198&gt;=100))</formula>
    </cfRule>
  </conditionalFormatting>
  <conditionalFormatting sqref="L198 P198">
    <cfRule type="cellIs" dxfId="17" priority="16" stopIfTrue="1" operator="greaterThanOrEqual">
      <formula>100</formula>
    </cfRule>
    <cfRule type="cellIs" dxfId="16" priority="17" stopIfTrue="1" operator="between">
      <formula>$P$4</formula>
      <formula>100</formula>
    </cfRule>
    <cfRule type="cellIs" dxfId="15" priority="18" stopIfTrue="1" operator="between">
      <formula>0</formula>
      <formula>$P$4</formula>
    </cfRule>
  </conditionalFormatting>
  <conditionalFormatting sqref="P222 L222">
    <cfRule type="cellIs" dxfId="14" priority="13" stopIfTrue="1" operator="greaterThanOrEqual">
      <formula>100</formula>
    </cfRule>
    <cfRule type="cellIs" dxfId="13" priority="14" stopIfTrue="1" operator="between">
      <formula>$P$4</formula>
      <formula>100</formula>
    </cfRule>
    <cfRule type="cellIs" dxfId="12" priority="15" stopIfTrue="1" operator="between">
      <formula>0</formula>
      <formula>$P$4</formula>
    </cfRule>
  </conditionalFormatting>
  <conditionalFormatting sqref="A222">
    <cfRule type="expression" dxfId="11" priority="12" stopIfTrue="1">
      <formula>OR(($D222=0),($P222&gt;=100))</formula>
    </cfRule>
  </conditionalFormatting>
  <conditionalFormatting sqref="A110">
    <cfRule type="expression" dxfId="10" priority="11" stopIfTrue="1">
      <formula>OR(($D110=0),($P110&gt;=100))</formula>
    </cfRule>
  </conditionalFormatting>
  <conditionalFormatting sqref="A207">
    <cfRule type="expression" dxfId="9" priority="10" stopIfTrue="1">
      <formula>OR(($D207=0),($P207&gt;=100))</formula>
    </cfRule>
  </conditionalFormatting>
  <conditionalFormatting sqref="L14 P14">
    <cfRule type="cellIs" dxfId="8" priority="7" stopIfTrue="1" operator="greaterThanOrEqual">
      <formula>100</formula>
    </cfRule>
    <cfRule type="cellIs" dxfId="7" priority="8" stopIfTrue="1" operator="between">
      <formula>$P$4</formula>
      <formula>100</formula>
    </cfRule>
    <cfRule type="cellIs" dxfId="6" priority="9" stopIfTrue="1" operator="between">
      <formula>0</formula>
      <formula>$P$4</formula>
    </cfRule>
  </conditionalFormatting>
  <conditionalFormatting sqref="A14">
    <cfRule type="expression" dxfId="5" priority="6" stopIfTrue="1">
      <formula>OR(($D14=0),($P14&gt;=100))</formula>
    </cfRule>
  </conditionalFormatting>
  <conditionalFormatting sqref="A266">
    <cfRule type="expression" dxfId="4" priority="5" stopIfTrue="1">
      <formula>OR(($D266=0),($P266&gt;=100))</formula>
    </cfRule>
  </conditionalFormatting>
  <conditionalFormatting sqref="P266 L266">
    <cfRule type="cellIs" dxfId="3" priority="2" stopIfTrue="1" operator="greaterThanOrEqual">
      <formula>100</formula>
    </cfRule>
    <cfRule type="cellIs" dxfId="2" priority="3" stopIfTrue="1" operator="between">
      <formula>$P$4</formula>
      <formula>100</formula>
    </cfRule>
    <cfRule type="cellIs" dxfId="1" priority="4" stopIfTrue="1" operator="between">
      <formula>0</formula>
      <formula>$P$4</formula>
    </cfRule>
  </conditionalFormatting>
  <conditionalFormatting sqref="A266">
    <cfRule type="expression" dxfId="0" priority="1" stopIfTrue="1">
      <formula>OR(($D266=0),($P266&gt;=100))</formula>
    </cfRule>
  </conditionalFormatting>
  <pageMargins left="0" right="0" top="0" bottom="0" header="0" footer="0"/>
  <pageSetup paperSize="9" scale="50"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3</vt:i4>
      </vt:variant>
    </vt:vector>
  </HeadingPairs>
  <TitlesOfParts>
    <vt:vector size="5" baseType="lpstr">
      <vt:lpstr>Прод Маркс 28.11.24 общая</vt:lpstr>
      <vt:lpstr>УиД Маркс 28.11.24</vt:lpstr>
      <vt:lpstr>'УиД Маркс 28.11.24'!Заголовки_для_печати</vt:lpstr>
      <vt:lpstr>'Прод Маркс 28.11.24 общая'!Область_печати</vt:lpstr>
      <vt:lpstr>'УиД Маркс 28.11.24'!Область_печати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Феденко Наталья Петровна</dc:creator>
  <cp:lastModifiedBy>n.p.fedenko</cp:lastModifiedBy>
  <dcterms:created xsi:type="dcterms:W3CDTF">2024-11-01T04:56:52Z</dcterms:created>
  <dcterms:modified xsi:type="dcterms:W3CDTF">2024-11-29T04:56:07Z</dcterms:modified>
</cp:coreProperties>
</file>