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23955" windowHeight="11565" tabRatio="707"/>
  </bookViews>
  <sheets>
    <sheet name="RData - Stitched Intensities" sheetId="18" r:id="rId1"/>
    <sheet name="Production Units" sheetId="1" r:id="rId2"/>
    <sheet name="Energy &amp; Emission Units" sheetId="13" r:id="rId3"/>
    <sheet name="Intensities" sheetId="15" r:id="rId4"/>
    <sheet name="Chemicals 1998-2006" sheetId="9" r:id="rId5"/>
    <sheet name="Steel 1985-1998" sheetId="4" r:id="rId6"/>
    <sheet name="Chemicals 1995-1998" sheetId="5" r:id="rId7"/>
    <sheet name="Petroleum 1995-1998" sheetId="6" r:id="rId8"/>
    <sheet name="Aluminum 1995-1998" sheetId="7" r:id="rId9"/>
    <sheet name="Aluminum 1998-2006" sheetId="8" r:id="rId10"/>
    <sheet name="Refining 1998-2006" sheetId="10" r:id="rId11"/>
    <sheet name="First Use - 1985-1998" sheetId="16" r:id="rId12"/>
    <sheet name="Aluminum Iron &amp; Steel 2002-2006" sheetId="2" r:id="rId13"/>
    <sheet name="Refining 1949-2010" sheetId="11" r:id="rId14"/>
    <sheet name="USGS Aluminum" sheetId="3" r:id="rId15"/>
    <sheet name="USGS Iron &amp; Steel" sheetId="12" r:id="rId16"/>
    <sheet name="MECS Iron &amp; Steel Intensity" sheetId="14"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calcPr calcId="145621"/>
</workbook>
</file>

<file path=xl/calcChain.xml><?xml version="1.0" encoding="utf-8"?>
<calcChain xmlns="http://schemas.openxmlformats.org/spreadsheetml/2006/main">
  <c r="B1" i="18" l="1"/>
  <c r="C1" i="18"/>
  <c r="D1" i="18"/>
  <c r="E1" i="18"/>
  <c r="F1" i="18"/>
  <c r="G1" i="18"/>
  <c r="A2" i="18"/>
  <c r="B2" i="18"/>
  <c r="C2" i="18"/>
  <c r="D2" i="18"/>
  <c r="E2" i="18"/>
  <c r="F2" i="18"/>
  <c r="G2" i="18"/>
  <c r="A3" i="18"/>
  <c r="B3" i="18"/>
  <c r="C3" i="18"/>
  <c r="D3" i="18"/>
  <c r="E3" i="18"/>
  <c r="F3" i="18"/>
  <c r="G3" i="18"/>
  <c r="A4" i="18"/>
  <c r="B4" i="18"/>
  <c r="C4" i="18"/>
  <c r="D4" i="18"/>
  <c r="E4" i="18"/>
  <c r="F4" i="18"/>
  <c r="G4" i="18"/>
  <c r="A5" i="18"/>
  <c r="B5" i="18"/>
  <c r="C5" i="18"/>
  <c r="D5" i="18"/>
  <c r="E5" i="18"/>
  <c r="F5" i="18"/>
  <c r="G5" i="18"/>
  <c r="A6" i="18"/>
  <c r="B6" i="18"/>
  <c r="C6" i="18"/>
  <c r="D6" i="18"/>
  <c r="E6" i="18"/>
  <c r="F6" i="18"/>
  <c r="G6" i="18"/>
  <c r="A7" i="18"/>
  <c r="B7" i="18"/>
  <c r="C7" i="18"/>
  <c r="D7" i="18"/>
  <c r="E7" i="18"/>
  <c r="F7" i="18"/>
  <c r="G7" i="18"/>
  <c r="A8" i="18"/>
  <c r="B8" i="18"/>
  <c r="C8" i="18"/>
  <c r="D8" i="18"/>
  <c r="E8" i="18"/>
  <c r="F8" i="18"/>
  <c r="G8" i="18"/>
  <c r="A9" i="18"/>
  <c r="B9" i="18"/>
  <c r="C9" i="18"/>
  <c r="D9" i="18"/>
  <c r="E9" i="18"/>
  <c r="F9" i="18"/>
  <c r="G9" i="18"/>
  <c r="A10" i="18"/>
  <c r="B10" i="18"/>
  <c r="C10" i="18"/>
  <c r="D10" i="18"/>
  <c r="E10" i="18"/>
  <c r="F10" i="18"/>
  <c r="G10" i="18"/>
  <c r="A11" i="18"/>
  <c r="B11" i="18"/>
  <c r="C11" i="18"/>
  <c r="D11" i="18"/>
  <c r="E11" i="18"/>
  <c r="F11" i="18"/>
  <c r="G11" i="18"/>
  <c r="A12" i="18"/>
  <c r="B12" i="18"/>
  <c r="C12" i="18"/>
  <c r="D12" i="18"/>
  <c r="E12" i="18"/>
  <c r="F12" i="18"/>
  <c r="G12" i="18"/>
  <c r="A13" i="18"/>
  <c r="B13" i="18"/>
  <c r="C13" i="18"/>
  <c r="D13" i="18"/>
  <c r="E13" i="18"/>
  <c r="F13" i="18"/>
  <c r="G13" i="18"/>
  <c r="A14" i="18"/>
  <c r="B14" i="18"/>
  <c r="C14" i="18"/>
  <c r="D14" i="18"/>
  <c r="E14" i="18"/>
  <c r="F14" i="18"/>
  <c r="G14" i="18"/>
  <c r="A15" i="18"/>
  <c r="B15" i="18"/>
  <c r="C15" i="18"/>
  <c r="D15" i="18"/>
  <c r="E15" i="18"/>
  <c r="F15" i="18"/>
  <c r="G15" i="18"/>
  <c r="A16" i="18"/>
  <c r="B16" i="18"/>
  <c r="C16" i="18"/>
  <c r="D16" i="18"/>
  <c r="E16" i="18"/>
  <c r="F16" i="18"/>
  <c r="G16" i="18"/>
  <c r="A17" i="18"/>
  <c r="B17" i="18"/>
  <c r="C17" i="18"/>
  <c r="D17" i="18"/>
  <c r="E17" i="18"/>
  <c r="F17" i="18"/>
  <c r="G17" i="18"/>
  <c r="A18" i="18"/>
  <c r="B18" i="18"/>
  <c r="C18" i="18"/>
  <c r="D18" i="18"/>
  <c r="E18" i="18"/>
  <c r="F18" i="18"/>
  <c r="G18" i="18"/>
  <c r="A19" i="18"/>
  <c r="B19" i="18"/>
  <c r="C19" i="18"/>
  <c r="D19" i="18"/>
  <c r="E19" i="18"/>
  <c r="F19" i="18"/>
  <c r="G19" i="18"/>
  <c r="A20" i="18"/>
  <c r="B20" i="18"/>
  <c r="C20" i="18"/>
  <c r="D20" i="18"/>
  <c r="E20" i="18"/>
  <c r="F20" i="18"/>
  <c r="G20" i="18"/>
  <c r="A21" i="18"/>
  <c r="B21" i="18"/>
  <c r="C21" i="18"/>
  <c r="D21" i="18"/>
  <c r="E21" i="18"/>
  <c r="F21" i="18"/>
  <c r="G21" i="18"/>
  <c r="A22" i="18"/>
  <c r="B22" i="18"/>
  <c r="C22" i="18"/>
  <c r="D22" i="18"/>
  <c r="E22" i="18"/>
  <c r="F22" i="18"/>
  <c r="G22" i="18"/>
  <c r="A23" i="18"/>
  <c r="B23" i="18"/>
  <c r="C23" i="18"/>
  <c r="D23" i="18"/>
  <c r="E23" i="18"/>
  <c r="F23" i="18"/>
  <c r="G23" i="18"/>
  <c r="A24" i="18"/>
  <c r="B24" i="18"/>
  <c r="C24" i="18"/>
  <c r="D24" i="18"/>
  <c r="E24" i="18"/>
  <c r="F24" i="18"/>
  <c r="G24" i="18"/>
  <c r="A25" i="18"/>
  <c r="B25" i="18"/>
  <c r="C25" i="18"/>
  <c r="D25" i="18"/>
  <c r="E25" i="18"/>
  <c r="F25" i="18"/>
  <c r="G25" i="18"/>
  <c r="A26" i="18"/>
  <c r="B26" i="18"/>
  <c r="C26" i="18"/>
  <c r="D26" i="18"/>
  <c r="E26" i="18"/>
  <c r="F26" i="18"/>
  <c r="G26" i="18"/>
  <c r="A27" i="18"/>
  <c r="B27" i="18"/>
  <c r="C27" i="18"/>
  <c r="D27" i="18"/>
  <c r="E27" i="18"/>
  <c r="F27" i="18"/>
  <c r="G27" i="18"/>
  <c r="A28" i="18"/>
  <c r="B28" i="18"/>
  <c r="C28" i="18"/>
  <c r="D28" i="18"/>
  <c r="E28" i="18"/>
  <c r="F28" i="18"/>
  <c r="G28" i="18"/>
  <c r="W61" i="15"/>
  <c r="W60" i="15"/>
  <c r="W59" i="15"/>
  <c r="W58" i="15"/>
  <c r="W57" i="15"/>
  <c r="W56" i="15"/>
  <c r="W55" i="15"/>
  <c r="W54" i="15"/>
  <c r="W53" i="15"/>
  <c r="W52" i="15"/>
  <c r="W51" i="15"/>
  <c r="W50" i="15"/>
  <c r="W49" i="15"/>
  <c r="U61" i="15"/>
  <c r="V60" i="15"/>
  <c r="U60" i="15"/>
  <c r="V59" i="15"/>
  <c r="U59" i="15"/>
  <c r="V58" i="15"/>
  <c r="U58" i="15"/>
  <c r="V57" i="15"/>
  <c r="U57" i="15"/>
  <c r="V56" i="15"/>
  <c r="U56" i="15"/>
  <c r="V55" i="15"/>
  <c r="U55" i="15"/>
  <c r="V54" i="15"/>
  <c r="U54" i="15"/>
  <c r="V53" i="15"/>
  <c r="U53" i="15"/>
  <c r="V52" i="15"/>
  <c r="U52" i="15"/>
  <c r="V51" i="15"/>
  <c r="U51" i="15"/>
  <c r="V50" i="15"/>
  <c r="U50" i="15"/>
  <c r="V49" i="15"/>
  <c r="U49" i="15"/>
  <c r="T61" i="15"/>
  <c r="T60" i="15"/>
  <c r="T59" i="15"/>
  <c r="T58" i="15"/>
  <c r="T57" i="15"/>
  <c r="T56" i="15"/>
  <c r="T55" i="15"/>
  <c r="T54" i="15"/>
  <c r="T53" i="15"/>
  <c r="T52" i="15"/>
  <c r="T51" i="15"/>
  <c r="T50" i="15"/>
  <c r="T49" i="15"/>
  <c r="S61" i="15"/>
  <c r="S60" i="15"/>
  <c r="S59" i="15"/>
  <c r="S58" i="15"/>
  <c r="S57" i="15"/>
  <c r="S56" i="15"/>
  <c r="S55" i="15"/>
  <c r="S54" i="15"/>
  <c r="S53" i="15"/>
  <c r="S52" i="15"/>
  <c r="S51" i="15"/>
  <c r="S50" i="15"/>
  <c r="S49" i="15"/>
  <c r="V48" i="15"/>
  <c r="U48" i="15"/>
  <c r="T48" i="15"/>
  <c r="V47" i="15"/>
  <c r="U47" i="15"/>
  <c r="T47" i="15"/>
  <c r="V46" i="15"/>
  <c r="U46" i="15"/>
  <c r="T46" i="15"/>
  <c r="V45" i="15"/>
  <c r="U45" i="15"/>
  <c r="T45" i="15"/>
  <c r="V44" i="15"/>
  <c r="U44" i="15"/>
  <c r="T44" i="15"/>
  <c r="V43" i="15"/>
  <c r="U43" i="15"/>
  <c r="T43" i="15"/>
  <c r="V42" i="15"/>
  <c r="U42" i="15"/>
  <c r="T42" i="15"/>
  <c r="V41" i="15"/>
  <c r="U41" i="15"/>
  <c r="T41" i="15"/>
  <c r="V40" i="15"/>
  <c r="U40" i="15"/>
  <c r="T40" i="15"/>
  <c r="V39" i="15"/>
  <c r="U39" i="15"/>
  <c r="T39" i="15"/>
  <c r="V38" i="15"/>
  <c r="U38" i="15"/>
  <c r="T38" i="15"/>
  <c r="V37" i="15"/>
  <c r="U37" i="15"/>
  <c r="T37" i="15"/>
  <c r="V36" i="15"/>
  <c r="U36" i="15"/>
  <c r="T36" i="15"/>
  <c r="V35" i="15"/>
  <c r="U35" i="15"/>
  <c r="T35" i="15"/>
  <c r="N63" i="15"/>
  <c r="N62" i="15"/>
  <c r="N61" i="15"/>
  <c r="N60" i="15"/>
  <c r="N59" i="15"/>
  <c r="N58" i="15"/>
  <c r="N57" i="15"/>
  <c r="N56" i="15"/>
  <c r="N55" i="15"/>
  <c r="N54" i="15"/>
  <c r="N53" i="15"/>
  <c r="N52" i="15"/>
  <c r="N51" i="15"/>
  <c r="N50" i="15"/>
  <c r="N49" i="15"/>
  <c r="L63" i="15"/>
  <c r="K63" i="15"/>
  <c r="J63" i="15"/>
  <c r="I63" i="15"/>
  <c r="L62" i="15"/>
  <c r="K62" i="15"/>
  <c r="J62" i="15"/>
  <c r="I62" i="15"/>
  <c r="L61" i="15"/>
  <c r="K61" i="15"/>
  <c r="J61" i="15"/>
  <c r="I61" i="15"/>
  <c r="L60" i="15"/>
  <c r="K60" i="15"/>
  <c r="J60" i="15"/>
  <c r="I60" i="15"/>
  <c r="L59" i="15"/>
  <c r="K59" i="15"/>
  <c r="J59" i="15"/>
  <c r="I59" i="15"/>
  <c r="L58" i="15"/>
  <c r="K58" i="15"/>
  <c r="J58" i="15"/>
  <c r="I58" i="15"/>
  <c r="L57" i="15"/>
  <c r="K57" i="15"/>
  <c r="J57" i="15"/>
  <c r="I57" i="15"/>
  <c r="L56" i="15"/>
  <c r="K56" i="15"/>
  <c r="J56" i="15"/>
  <c r="I56" i="15"/>
  <c r="L55" i="15"/>
  <c r="K55" i="15"/>
  <c r="J55" i="15"/>
  <c r="I55" i="15"/>
  <c r="L54" i="15"/>
  <c r="K54" i="15"/>
  <c r="J54" i="15"/>
  <c r="I54" i="15"/>
  <c r="L53" i="15"/>
  <c r="K53" i="15"/>
  <c r="J53" i="15"/>
  <c r="I53" i="15"/>
  <c r="L52" i="15"/>
  <c r="K52" i="15"/>
  <c r="J52" i="15"/>
  <c r="I52" i="15"/>
  <c r="L51" i="15"/>
  <c r="K51" i="15"/>
  <c r="J51" i="15"/>
  <c r="I51" i="15"/>
  <c r="L50" i="15"/>
  <c r="K50" i="15"/>
  <c r="J50" i="15"/>
  <c r="I50" i="15"/>
  <c r="L49" i="15"/>
  <c r="K49" i="15"/>
  <c r="J49" i="15"/>
  <c r="I49" i="15"/>
  <c r="F62" i="15"/>
  <c r="E62" i="15"/>
  <c r="F61" i="15"/>
  <c r="E61" i="15"/>
  <c r="F60" i="15"/>
  <c r="E60" i="15"/>
  <c r="F59" i="15"/>
  <c r="E59" i="15"/>
  <c r="F58" i="15"/>
  <c r="E58" i="15"/>
  <c r="F57" i="15"/>
  <c r="E57" i="15"/>
  <c r="F56" i="15"/>
  <c r="E56" i="15"/>
  <c r="F55" i="15"/>
  <c r="E55" i="15"/>
  <c r="F54" i="15"/>
  <c r="E54" i="15"/>
  <c r="F53" i="15"/>
  <c r="E53" i="15"/>
  <c r="F52" i="15"/>
  <c r="E52" i="15"/>
  <c r="F51" i="15"/>
  <c r="E51" i="15"/>
  <c r="F50" i="15"/>
  <c r="E50" i="15"/>
  <c r="F49" i="15"/>
  <c r="E49" i="15"/>
  <c r="F48" i="15"/>
  <c r="E48" i="15"/>
  <c r="F47" i="15"/>
  <c r="E47" i="15"/>
  <c r="F46" i="15"/>
  <c r="E46" i="15"/>
  <c r="F45" i="15"/>
  <c r="E45" i="15"/>
  <c r="F44" i="15"/>
  <c r="E44" i="15"/>
  <c r="F43" i="15"/>
  <c r="E43" i="15"/>
  <c r="F42" i="15"/>
  <c r="E42" i="15"/>
  <c r="F41" i="15"/>
  <c r="E41" i="15"/>
  <c r="F40" i="15"/>
  <c r="E40" i="15"/>
  <c r="F39" i="15"/>
  <c r="E39" i="15"/>
  <c r="F38" i="15"/>
  <c r="E38" i="15"/>
  <c r="F37" i="15"/>
  <c r="E37" i="15"/>
  <c r="F36" i="15"/>
  <c r="E36" i="15"/>
  <c r="F35" i="15"/>
  <c r="E35" i="15"/>
  <c r="D35"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N30" i="15"/>
  <c r="N29" i="15"/>
  <c r="N28" i="15"/>
  <c r="N27" i="15"/>
  <c r="N26" i="15"/>
  <c r="N25" i="15"/>
  <c r="N24" i="15"/>
  <c r="N23" i="15"/>
  <c r="N22" i="15"/>
  <c r="N21" i="15"/>
  <c r="N20" i="15"/>
  <c r="N19" i="15"/>
  <c r="N18" i="15"/>
  <c r="V30" i="13"/>
  <c r="V29" i="13"/>
  <c r="V28" i="13"/>
  <c r="V27" i="13"/>
  <c r="V26" i="13"/>
  <c r="V25" i="13"/>
  <c r="V24" i="13"/>
  <c r="V23" i="13"/>
  <c r="V22" i="13"/>
  <c r="V21" i="13"/>
  <c r="V20" i="13"/>
  <c r="V19" i="13"/>
  <c r="V18" i="13"/>
  <c r="V17" i="13"/>
  <c r="N30" i="13"/>
  <c r="N29" i="13"/>
  <c r="N28" i="13"/>
  <c r="N27" i="13"/>
  <c r="G30" i="13"/>
  <c r="G29" i="13"/>
  <c r="G28" i="13"/>
  <c r="G27" i="13"/>
  <c r="N26" i="13"/>
  <c r="N25" i="13"/>
  <c r="N24" i="13"/>
  <c r="G26" i="13"/>
  <c r="G25" i="13"/>
  <c r="G24" i="13"/>
  <c r="N23" i="13"/>
  <c r="N22" i="13"/>
  <c r="N21" i="13"/>
  <c r="G23" i="13"/>
  <c r="G22" i="13"/>
  <c r="G20" i="13"/>
  <c r="N20" i="13"/>
  <c r="N19" i="13"/>
  <c r="G21" i="13"/>
  <c r="G19" i="13"/>
  <c r="N18" i="13"/>
  <c r="N17" i="13"/>
  <c r="G18" i="13"/>
  <c r="G17" i="13"/>
  <c r="G16" i="13"/>
  <c r="G15" i="13"/>
  <c r="O27" i="1"/>
  <c r="O26" i="1"/>
  <c r="O25" i="1"/>
  <c r="O24" i="1"/>
  <c r="O23" i="1"/>
  <c r="O22" i="1"/>
  <c r="O21" i="1"/>
  <c r="O20" i="1"/>
  <c r="O19" i="1"/>
  <c r="O18" i="1"/>
  <c r="O17" i="1"/>
  <c r="O16" i="1"/>
  <c r="O15" i="1"/>
  <c r="F16" i="15"/>
  <c r="F15" i="15"/>
  <c r="F14" i="15"/>
  <c r="F12" i="15"/>
  <c r="F11" i="15"/>
  <c r="F9" i="15"/>
  <c r="F8" i="15"/>
  <c r="F6" i="15"/>
  <c r="F5" i="15"/>
  <c r="L30" i="13"/>
  <c r="U30" i="13" s="1"/>
  <c r="L31" i="15" s="1"/>
  <c r="L29" i="13"/>
  <c r="U29" i="13" s="1"/>
  <c r="L30" i="15" s="1"/>
  <c r="L28" i="13"/>
  <c r="U28" i="13" s="1"/>
  <c r="L29" i="15" s="1"/>
  <c r="L27" i="13"/>
  <c r="U27" i="13" s="1"/>
  <c r="L28" i="15" s="1"/>
  <c r="F30" i="13"/>
  <c r="F31" i="15" s="1"/>
  <c r="F29" i="13"/>
  <c r="F30" i="15" s="1"/>
  <c r="F28" i="13"/>
  <c r="F29" i="15" s="1"/>
  <c r="F27" i="13"/>
  <c r="F28" i="15" s="1"/>
  <c r="K30" i="13"/>
  <c r="T30" i="13" s="1"/>
  <c r="K31" i="15" s="1"/>
  <c r="K29" i="13"/>
  <c r="T29" i="13" s="1"/>
  <c r="K30" i="15" s="1"/>
  <c r="K28" i="13"/>
  <c r="T28" i="13" s="1"/>
  <c r="K29" i="15" s="1"/>
  <c r="K27" i="13"/>
  <c r="T27" i="13" s="1"/>
  <c r="K28" i="15" s="1"/>
  <c r="E30" i="13"/>
  <c r="E31" i="15" s="1"/>
  <c r="E29" i="13"/>
  <c r="E30" i="15" s="1"/>
  <c r="E28" i="13"/>
  <c r="E29" i="15" s="1"/>
  <c r="E27" i="13"/>
  <c r="E28" i="15" s="1"/>
  <c r="J30" i="13"/>
  <c r="S30" i="13" s="1"/>
  <c r="J31" i="15" s="1"/>
  <c r="J29" i="13"/>
  <c r="S29" i="13" s="1"/>
  <c r="J30" i="15" s="1"/>
  <c r="J28" i="13"/>
  <c r="S28" i="13" s="1"/>
  <c r="J29" i="15" s="1"/>
  <c r="J27" i="13"/>
  <c r="S27" i="13" s="1"/>
  <c r="J28" i="15" s="1"/>
  <c r="D30" i="13"/>
  <c r="D29" i="13"/>
  <c r="D28" i="13"/>
  <c r="D27" i="13"/>
  <c r="I30" i="13"/>
  <c r="R30" i="13" s="1"/>
  <c r="I31" i="15" s="1"/>
  <c r="I29" i="13"/>
  <c r="R29" i="13" s="1"/>
  <c r="I30" i="15" s="1"/>
  <c r="I28" i="13"/>
  <c r="R28" i="13" s="1"/>
  <c r="I29" i="15" s="1"/>
  <c r="I27" i="13"/>
  <c r="R27" i="13" s="1"/>
  <c r="I28" i="15" s="1"/>
  <c r="C30" i="13"/>
  <c r="C29" i="13"/>
  <c r="C28" i="13"/>
  <c r="C27" i="13"/>
  <c r="L26" i="13"/>
  <c r="U26" i="13" s="1"/>
  <c r="L27" i="15" s="1"/>
  <c r="L25" i="13"/>
  <c r="U25" i="13" s="1"/>
  <c r="L26" i="15" s="1"/>
  <c r="L24" i="13"/>
  <c r="U24" i="13" s="1"/>
  <c r="L25" i="15" s="1"/>
  <c r="F26" i="13"/>
  <c r="F27" i="15" s="1"/>
  <c r="F25" i="13"/>
  <c r="F26" i="15" s="1"/>
  <c r="F24" i="13"/>
  <c r="F25" i="15" s="1"/>
  <c r="K26" i="13"/>
  <c r="T26" i="13" s="1"/>
  <c r="K27" i="15" s="1"/>
  <c r="K25" i="13"/>
  <c r="T25" i="13" s="1"/>
  <c r="K26" i="15" s="1"/>
  <c r="K24" i="13"/>
  <c r="T24" i="13" s="1"/>
  <c r="K25" i="15" s="1"/>
  <c r="E26" i="13"/>
  <c r="E27" i="15" s="1"/>
  <c r="E25" i="13"/>
  <c r="E26" i="15" s="1"/>
  <c r="E24" i="13"/>
  <c r="E25" i="15" s="1"/>
  <c r="J26" i="13"/>
  <c r="S26" i="13" s="1"/>
  <c r="J27" i="15" s="1"/>
  <c r="J25" i="13"/>
  <c r="S25" i="13" s="1"/>
  <c r="J26" i="15" s="1"/>
  <c r="J24" i="13"/>
  <c r="S24" i="13" s="1"/>
  <c r="J25" i="15" s="1"/>
  <c r="D26" i="13"/>
  <c r="D25" i="13"/>
  <c r="D24" i="13"/>
  <c r="I26" i="13"/>
  <c r="R26" i="13" s="1"/>
  <c r="I27" i="15" s="1"/>
  <c r="C26" i="13"/>
  <c r="I25" i="13"/>
  <c r="R25" i="13" s="1"/>
  <c r="I26" i="15" s="1"/>
  <c r="C25" i="13"/>
  <c r="I24" i="13"/>
  <c r="R24" i="13" s="1"/>
  <c r="I25" i="15" s="1"/>
  <c r="C24" i="13"/>
  <c r="D16" i="13"/>
  <c r="J17" i="13"/>
  <c r="S17" i="13" s="1"/>
  <c r="J18" i="15" s="1"/>
  <c r="D17" i="13"/>
  <c r="J18" i="13"/>
  <c r="S18" i="13" s="1"/>
  <c r="J19" i="15" s="1"/>
  <c r="J19" i="13"/>
  <c r="S19" i="13" s="1"/>
  <c r="J20" i="15" s="1"/>
  <c r="J20" i="13"/>
  <c r="S20" i="13" s="1"/>
  <c r="J21" i="15" s="1"/>
  <c r="D18" i="13"/>
  <c r="D19" i="13"/>
  <c r="D20" i="13"/>
  <c r="J23" i="13"/>
  <c r="S23" i="13" s="1"/>
  <c r="J24" i="15" s="1"/>
  <c r="J22" i="13"/>
  <c r="S22" i="13" s="1"/>
  <c r="J23" i="15" s="1"/>
  <c r="J21" i="13"/>
  <c r="S21" i="13" s="1"/>
  <c r="J22" i="15" s="1"/>
  <c r="D23" i="13"/>
  <c r="D22" i="13"/>
  <c r="D21" i="13"/>
  <c r="K23" i="13"/>
  <c r="T23" i="13" s="1"/>
  <c r="K24" i="15" s="1"/>
  <c r="K22" i="13"/>
  <c r="T22" i="13" s="1"/>
  <c r="K23" i="15" s="1"/>
  <c r="K21" i="13"/>
  <c r="T21" i="13" s="1"/>
  <c r="K22" i="15" s="1"/>
  <c r="E23" i="13"/>
  <c r="E24" i="15" s="1"/>
  <c r="E22" i="13"/>
  <c r="E23" i="15" s="1"/>
  <c r="E21" i="13"/>
  <c r="E22" i="15" s="1"/>
  <c r="L23" i="13"/>
  <c r="U23" i="13" s="1"/>
  <c r="L24" i="15" s="1"/>
  <c r="L22" i="13"/>
  <c r="U22" i="13" s="1"/>
  <c r="L23" i="15" s="1"/>
  <c r="L21" i="13"/>
  <c r="U21" i="13" s="1"/>
  <c r="L22" i="15" s="1"/>
  <c r="F23" i="13"/>
  <c r="F24" i="15" s="1"/>
  <c r="F22" i="13"/>
  <c r="F23" i="15" s="1"/>
  <c r="F21" i="13"/>
  <c r="F22" i="15" s="1"/>
  <c r="I23" i="13"/>
  <c r="R23" i="13" s="1"/>
  <c r="I24" i="15" s="1"/>
  <c r="I22" i="13"/>
  <c r="R22" i="13" s="1"/>
  <c r="I23" i="15" s="1"/>
  <c r="I21" i="13"/>
  <c r="R21" i="13" s="1"/>
  <c r="I22" i="15" s="1"/>
  <c r="C23" i="13"/>
  <c r="C22" i="13"/>
  <c r="C21" i="13"/>
  <c r="I20" i="13"/>
  <c r="R20" i="13" s="1"/>
  <c r="I21" i="15" s="1"/>
  <c r="I19" i="13"/>
  <c r="R19" i="13" s="1"/>
  <c r="I20" i="15" s="1"/>
  <c r="C20" i="13"/>
  <c r="C19" i="13"/>
  <c r="L20" i="13"/>
  <c r="U20" i="13" s="1"/>
  <c r="L21" i="15" s="1"/>
  <c r="L19" i="13"/>
  <c r="U19" i="13" s="1"/>
  <c r="L20" i="15" s="1"/>
  <c r="F20" i="13"/>
  <c r="F21" i="15" s="1"/>
  <c r="F19" i="13"/>
  <c r="F20" i="15" s="1"/>
  <c r="K20" i="13"/>
  <c r="T20" i="13" s="1"/>
  <c r="K21" i="15" s="1"/>
  <c r="K19" i="13"/>
  <c r="T19" i="13" s="1"/>
  <c r="K20" i="15" s="1"/>
  <c r="E20" i="13"/>
  <c r="E21" i="15" s="1"/>
  <c r="E19" i="13"/>
  <c r="E20" i="15" s="1"/>
  <c r="K18" i="13"/>
  <c r="T18" i="13" s="1"/>
  <c r="K19" i="15" s="1"/>
  <c r="K17" i="13"/>
  <c r="T17" i="13" s="1"/>
  <c r="K18" i="15" s="1"/>
  <c r="E18" i="13"/>
  <c r="E19" i="15" s="1"/>
  <c r="E17" i="13"/>
  <c r="E18" i="15" s="1"/>
  <c r="L18" i="13"/>
  <c r="U18" i="13" s="1"/>
  <c r="L19" i="15" s="1"/>
  <c r="L17" i="13"/>
  <c r="U17" i="13" s="1"/>
  <c r="L18" i="15" s="1"/>
  <c r="F18" i="13"/>
  <c r="F19" i="15" s="1"/>
  <c r="F17" i="13"/>
  <c r="F18" i="15" s="1"/>
  <c r="I18" i="13"/>
  <c r="R18" i="13" s="1"/>
  <c r="I19" i="15" s="1"/>
  <c r="I17" i="13"/>
  <c r="R17" i="13" s="1"/>
  <c r="I18" i="15" s="1"/>
  <c r="C18" i="13"/>
  <c r="C17" i="13"/>
  <c r="C16" i="13"/>
  <c r="C15" i="13"/>
  <c r="E16" i="13"/>
  <c r="E17" i="15" s="1"/>
  <c r="E12" i="13"/>
  <c r="E13" i="15" s="1"/>
  <c r="E9" i="13"/>
  <c r="E10" i="15" s="1"/>
  <c r="E6" i="13"/>
  <c r="E7" i="15" s="1"/>
  <c r="E3" i="13"/>
  <c r="E4" i="15" s="1"/>
  <c r="F16" i="13"/>
  <c r="F17" i="15" s="1"/>
  <c r="F12" i="13"/>
  <c r="F13" i="15" s="1"/>
  <c r="F9" i="13"/>
  <c r="F10" i="15" s="1"/>
  <c r="F6" i="13"/>
  <c r="F7" i="15" s="1"/>
  <c r="F3" i="13"/>
  <c r="F4" i="15" s="1"/>
  <c r="D25" i="15"/>
  <c r="D21" i="15"/>
  <c r="D17" i="15"/>
  <c r="D13" i="15"/>
  <c r="D10" i="15"/>
  <c r="D7" i="15"/>
  <c r="D4" i="15"/>
  <c r="L23" i="1"/>
  <c r="L19" i="1"/>
  <c r="N15" i="1"/>
  <c r="M23" i="1"/>
  <c r="E14" i="9"/>
  <c r="E13" i="9"/>
  <c r="E12" i="9"/>
  <c r="E11" i="9"/>
  <c r="E10" i="9"/>
  <c r="E9" i="9"/>
  <c r="M19" i="1"/>
  <c r="M15" i="1"/>
  <c r="L2" i="1"/>
  <c r="L15" i="1"/>
  <c r="L11" i="1"/>
  <c r="L8" i="1"/>
  <c r="L5" i="1"/>
  <c r="D8" i="1"/>
  <c r="E8" i="1" s="1"/>
  <c r="C2" i="1" s="1"/>
  <c r="C28" i="1"/>
  <c r="C27" i="1"/>
  <c r="C26" i="1"/>
  <c r="C25" i="1"/>
  <c r="C24" i="1"/>
  <c r="C23" i="1"/>
  <c r="C22" i="1"/>
  <c r="C21" i="1"/>
  <c r="C20" i="1"/>
  <c r="C19" i="1"/>
  <c r="C18" i="1"/>
  <c r="C17" i="1"/>
  <c r="C16" i="1"/>
  <c r="C15" i="1"/>
  <c r="D15" i="1" s="1"/>
  <c r="C14" i="1"/>
  <c r="C13" i="1"/>
  <c r="C12" i="1"/>
  <c r="C11" i="1"/>
  <c r="D11" i="1" s="1"/>
  <c r="C10" i="1"/>
  <c r="C9" i="1"/>
  <c r="C8" i="1"/>
  <c r="D24" i="12"/>
  <c r="D23" i="12"/>
  <c r="D22" i="12"/>
  <c r="D21" i="12"/>
  <c r="D20" i="12"/>
  <c r="D19" i="12"/>
  <c r="D18" i="12"/>
  <c r="D17" i="12"/>
  <c r="D16" i="12"/>
  <c r="D15" i="12"/>
  <c r="D14" i="12"/>
  <c r="D13" i="12"/>
  <c r="D12" i="12"/>
  <c r="D11" i="12"/>
  <c r="D10" i="12"/>
  <c r="D9" i="12"/>
  <c r="D8" i="12"/>
  <c r="D7" i="12"/>
  <c r="D6" i="12"/>
  <c r="D5" i="12"/>
  <c r="D4" i="12"/>
  <c r="H15" i="1"/>
  <c r="H11" i="1"/>
  <c r="H8" i="1"/>
  <c r="H5" i="1"/>
  <c r="H2" i="1"/>
  <c r="I28" i="1"/>
  <c r="I27" i="1"/>
  <c r="I26" i="1"/>
  <c r="I25" i="1"/>
  <c r="I24" i="1"/>
  <c r="I23" i="1"/>
  <c r="I22" i="1"/>
  <c r="I21" i="1"/>
  <c r="I20" i="1"/>
  <c r="I19" i="1"/>
  <c r="I18" i="1"/>
  <c r="I17" i="1"/>
  <c r="I16" i="1"/>
  <c r="I15" i="1"/>
  <c r="I14" i="1"/>
  <c r="I13" i="1"/>
  <c r="I12" i="1"/>
  <c r="I11" i="1"/>
  <c r="I10" i="1"/>
  <c r="I9" i="1"/>
  <c r="I8" i="1"/>
  <c r="D23" i="3"/>
  <c r="D22" i="3"/>
  <c r="D21" i="3"/>
  <c r="D20" i="3"/>
  <c r="D19" i="3"/>
  <c r="D18" i="3"/>
  <c r="D17" i="3"/>
  <c r="D16" i="3"/>
  <c r="D15" i="3"/>
  <c r="D14" i="3"/>
  <c r="D13" i="3"/>
  <c r="D12" i="3"/>
  <c r="D11" i="3"/>
  <c r="D10" i="3"/>
  <c r="D9" i="3"/>
  <c r="D8" i="3"/>
  <c r="D7" i="3"/>
  <c r="D6" i="3"/>
  <c r="D5" i="3"/>
  <c r="D4" i="3"/>
  <c r="D3" i="3"/>
  <c r="G29" i="1"/>
  <c r="G28" i="1"/>
  <c r="G27" i="1"/>
  <c r="G26" i="1"/>
  <c r="G25" i="1"/>
  <c r="G24" i="1"/>
  <c r="G23" i="1"/>
  <c r="G22" i="1"/>
  <c r="G21" i="1"/>
  <c r="G20" i="1"/>
  <c r="G19" i="1"/>
  <c r="G18" i="1"/>
  <c r="G17" i="1"/>
  <c r="G16" i="1"/>
  <c r="G15" i="1"/>
  <c r="G14" i="1"/>
  <c r="G13" i="1"/>
  <c r="G12" i="1"/>
  <c r="G11" i="1"/>
  <c r="G10" i="1"/>
  <c r="G9" i="1"/>
  <c r="G8" i="1"/>
  <c r="G7" i="1"/>
  <c r="G6" i="1"/>
  <c r="G5" i="1"/>
  <c r="G4" i="1"/>
  <c r="G3" i="1"/>
  <c r="G2" i="1"/>
  <c r="K67" i="11"/>
  <c r="M67" i="11" s="1"/>
  <c r="O67" i="11" s="1"/>
  <c r="Q67" i="11" s="1"/>
  <c r="K66" i="11"/>
  <c r="M66" i="11" s="1"/>
  <c r="O66" i="11" s="1"/>
  <c r="Q66" i="11" s="1"/>
  <c r="K65" i="11"/>
  <c r="M65" i="11" s="1"/>
  <c r="O65" i="11" s="1"/>
  <c r="Q65" i="11" s="1"/>
  <c r="K64" i="11"/>
  <c r="M64" i="11" s="1"/>
  <c r="O64" i="11" s="1"/>
  <c r="Q64" i="11" s="1"/>
  <c r="K63" i="11"/>
  <c r="M63" i="11" s="1"/>
  <c r="O63" i="11" s="1"/>
  <c r="Q63" i="11" s="1"/>
  <c r="K62" i="11"/>
  <c r="M62" i="11" s="1"/>
  <c r="O62" i="11" s="1"/>
  <c r="Q62" i="11" s="1"/>
  <c r="K61" i="11"/>
  <c r="M61" i="11" s="1"/>
  <c r="O61" i="11" s="1"/>
  <c r="Q61" i="11" s="1"/>
  <c r="K60" i="11"/>
  <c r="M60" i="11" s="1"/>
  <c r="O60" i="11" s="1"/>
  <c r="Q60" i="11" s="1"/>
  <c r="K59" i="11"/>
  <c r="M59" i="11" s="1"/>
  <c r="O59" i="11" s="1"/>
  <c r="Q59" i="11" s="1"/>
  <c r="K58" i="11"/>
  <c r="M58" i="11" s="1"/>
  <c r="O58" i="11" s="1"/>
  <c r="Q58" i="11" s="1"/>
  <c r="K57" i="11"/>
  <c r="M57" i="11" s="1"/>
  <c r="O57" i="11" s="1"/>
  <c r="Q57" i="11" s="1"/>
  <c r="K56" i="11"/>
  <c r="M56" i="11" s="1"/>
  <c r="O56" i="11" s="1"/>
  <c r="Q56" i="11" s="1"/>
  <c r="K55" i="11"/>
  <c r="M55" i="11" s="1"/>
  <c r="O55" i="11" s="1"/>
  <c r="Q55" i="11" s="1"/>
  <c r="K54" i="11"/>
  <c r="M54" i="11" s="1"/>
  <c r="O54" i="11" s="1"/>
  <c r="Q54" i="11" s="1"/>
  <c r="K53" i="11"/>
  <c r="M53" i="11" s="1"/>
  <c r="O53" i="11" s="1"/>
  <c r="Q53" i="11" s="1"/>
  <c r="K52" i="11"/>
  <c r="M52" i="11" s="1"/>
  <c r="O52" i="11" s="1"/>
  <c r="Q52" i="11" s="1"/>
  <c r="K51" i="11"/>
  <c r="M51" i="11" s="1"/>
  <c r="O51" i="11" s="1"/>
  <c r="Q51" i="11" s="1"/>
  <c r="K50" i="11"/>
  <c r="M50" i="11" s="1"/>
  <c r="O50" i="11" s="1"/>
  <c r="Q50" i="11" s="1"/>
  <c r="K49" i="11"/>
  <c r="M49" i="11" s="1"/>
  <c r="O49" i="11" s="1"/>
  <c r="Q49" i="11" s="1"/>
  <c r="K48" i="11"/>
  <c r="M48" i="11" s="1"/>
  <c r="O48" i="11" s="1"/>
  <c r="Q48" i="11" s="1"/>
  <c r="K47" i="11"/>
  <c r="M47" i="11" s="1"/>
  <c r="O47" i="11" s="1"/>
  <c r="Q47" i="11" s="1"/>
  <c r="K46" i="11"/>
  <c r="M46" i="11" s="1"/>
  <c r="O46" i="11" s="1"/>
  <c r="Q46" i="11" s="1"/>
  <c r="K45" i="11"/>
  <c r="M45" i="11" s="1"/>
  <c r="O45" i="11" s="1"/>
  <c r="Q45" i="11" s="1"/>
  <c r="K44" i="11"/>
  <c r="M44" i="11" s="1"/>
  <c r="O44" i="11" s="1"/>
  <c r="Q44" i="11" s="1"/>
  <c r="K43" i="11"/>
  <c r="M43" i="11" s="1"/>
  <c r="O43" i="11" s="1"/>
  <c r="Q43" i="11" s="1"/>
  <c r="M42" i="11"/>
  <c r="O42" i="11" s="1"/>
  <c r="Q42" i="11" s="1"/>
  <c r="K42" i="11"/>
  <c r="B15" i="1"/>
  <c r="B11" i="1"/>
  <c r="B8" i="1"/>
  <c r="B5" i="1"/>
  <c r="C5" i="1" s="1"/>
  <c r="B2" i="1"/>
  <c r="A4" i="9"/>
  <c r="D9" i="8"/>
  <c r="D11" i="8"/>
  <c r="D12" i="8"/>
  <c r="B7" i="6"/>
  <c r="C7" i="6"/>
  <c r="D7" i="6"/>
  <c r="E7" i="6"/>
  <c r="F7" i="6"/>
  <c r="J8" i="1" l="1"/>
  <c r="J15" i="1"/>
  <c r="J11" i="1"/>
  <c r="K8" i="1" s="1"/>
  <c r="I2" i="1" s="1"/>
  <c r="I5" i="1" l="1"/>
</calcChain>
</file>

<file path=xl/sharedStrings.xml><?xml version="1.0" encoding="utf-8"?>
<sst xmlns="http://schemas.openxmlformats.org/spreadsheetml/2006/main" count="485" uniqueCount="264">
  <si>
    <t>Year</t>
  </si>
  <si>
    <t>Iron &amp; Steel</t>
  </si>
  <si>
    <t>Refining</t>
  </si>
  <si>
    <t>Aluminum</t>
  </si>
  <si>
    <t>Chemicals</t>
  </si>
  <si>
    <t>(http://www.census.gov/prod/2000pubs/m98-as1.pdf).</t>
  </si>
  <si>
    <r>
      <t xml:space="preserve">of Manufactures, </t>
    </r>
    <r>
      <rPr>
        <i/>
        <sz val="10"/>
        <rFont val="Arial"/>
        <family val="2"/>
      </rPr>
      <t>Statistics for  Industry Groups and Industries 1998</t>
    </r>
    <r>
      <rPr>
        <sz val="11"/>
        <color theme="1"/>
        <rFont val="Calibri"/>
        <family val="2"/>
        <scheme val="minor"/>
      </rPr>
      <t xml:space="preserve">, </t>
    </r>
  </si>
  <si>
    <t>(http://www.census.gov/prod/www/abs/industry.html); U.S. Census Bureau Annual Survey</t>
  </si>
  <si>
    <r>
      <t>Annual Survey of Manufactures,</t>
    </r>
    <r>
      <rPr>
        <i/>
        <sz val="10"/>
        <rFont val="Arial"/>
        <family val="2"/>
      </rPr>
      <t xml:space="preserve"> Statistics for  Industry Groups and Industries</t>
    </r>
  </si>
  <si>
    <r>
      <t>Iron And Steel Institute.</t>
    </r>
    <r>
      <rPr>
        <i/>
        <sz val="10"/>
        <rFont val="Arial"/>
        <family val="2"/>
      </rPr>
      <t xml:space="preserve"> 2000 Annual Statistical Report; </t>
    </r>
    <r>
      <rPr>
        <sz val="10"/>
        <rFont val="Arial"/>
        <family val="2"/>
      </rPr>
      <t>Economic Indicators:</t>
    </r>
    <r>
      <rPr>
        <i/>
        <sz val="10"/>
        <rFont val="Arial"/>
        <family val="2"/>
      </rPr>
      <t xml:space="preserve">  </t>
    </r>
    <r>
      <rPr>
        <sz val="10"/>
        <rFont val="Arial"/>
        <family val="2"/>
      </rPr>
      <t>U.S. Census Bureau</t>
    </r>
  </si>
  <si>
    <r>
      <t xml:space="preserve">Sources:  Physical Units: American Iron And Steel Institute. </t>
    </r>
    <r>
      <rPr>
        <i/>
        <sz val="10"/>
        <rFont val="Arial"/>
        <family val="2"/>
      </rPr>
      <t>1991 Annual Statistical Report</t>
    </r>
    <r>
      <rPr>
        <sz val="11"/>
        <color theme="1"/>
        <rFont val="Calibri"/>
        <family val="2"/>
        <scheme val="minor"/>
      </rPr>
      <t>;  American</t>
    </r>
  </si>
  <si>
    <r>
      <t xml:space="preserve"> 3</t>
    </r>
    <r>
      <rPr>
        <sz val="11"/>
        <color theme="1"/>
        <rFont val="Calibri"/>
        <family val="2"/>
        <scheme val="minor"/>
      </rPr>
      <t xml:space="preserve"> Value added in 1998 dollars was converted using GDP implicit price deflators for SIC 33.</t>
    </r>
  </si>
  <si>
    <r>
      <t xml:space="preserve"> 2 </t>
    </r>
    <r>
      <rPr>
        <sz val="11"/>
        <color theme="1"/>
        <rFont val="Calibri"/>
        <family val="2"/>
        <scheme val="minor"/>
      </rPr>
      <t>Value of shipments in 1998 dollars was converted using gross output implicit price deflators for SIC 33.</t>
    </r>
  </si>
  <si>
    <r>
      <t xml:space="preserve"> 1</t>
    </r>
    <r>
      <rPr>
        <sz val="11"/>
        <color theme="1"/>
        <rFont val="Calibri"/>
        <family val="2"/>
        <scheme val="minor"/>
      </rPr>
      <t xml:space="preserve"> Data for 1998 corresponds to NAICS 3311; data for all other years is SIC 331.</t>
    </r>
  </si>
  <si>
    <t>n/a</t>
  </si>
  <si>
    <r>
      <t xml:space="preserve">Value Added  </t>
    </r>
    <r>
      <rPr>
        <vertAlign val="superscript"/>
        <sz val="10"/>
        <rFont val="Arial"/>
        <family val="2"/>
      </rPr>
      <t>3</t>
    </r>
  </si>
  <si>
    <r>
      <t xml:space="preserve">Value of Shipments </t>
    </r>
    <r>
      <rPr>
        <vertAlign val="superscript"/>
        <sz val="10"/>
        <rFont val="Arial"/>
        <family val="2"/>
      </rPr>
      <t>2</t>
    </r>
  </si>
  <si>
    <t>Real Economic Indicators (1998 $ billion)</t>
  </si>
  <si>
    <t xml:space="preserve">Value Added </t>
  </si>
  <si>
    <t xml:space="preserve">Value of Shipments </t>
  </si>
  <si>
    <r>
      <t xml:space="preserve">Nominal Economic Indicators (current $ billion) </t>
    </r>
    <r>
      <rPr>
        <b/>
        <vertAlign val="superscript"/>
        <sz val="10"/>
        <rFont val="Arial"/>
        <family val="2"/>
      </rPr>
      <t>1</t>
    </r>
  </si>
  <si>
    <t>Million Tons</t>
  </si>
  <si>
    <t xml:space="preserve">Physical Units </t>
  </si>
  <si>
    <t>Steel (SIC 331, NAICS 3311)</t>
  </si>
  <si>
    <r>
      <t>Table 5e. Economic and Physical Indicators for the Steel Industry, 1985-1998</t>
    </r>
    <r>
      <rPr>
        <sz val="10"/>
        <rFont val="Arial"/>
        <family val="2"/>
      </rPr>
      <t> </t>
    </r>
  </si>
  <si>
    <t>Reserve Board, data obtained from Kristen T. Hamdan from the Federal Reserve Board.</t>
  </si>
  <si>
    <t xml:space="preserve">Bureau,  Annual Survey of Manufactures (http://tier2.census.gov/asm/asm.htm); Federal </t>
  </si>
  <si>
    <t>of Economic Analysis, 1977-2000 Gross Output by Detailed Industry (NDN-0288); U.S. Census</t>
  </si>
  <si>
    <t xml:space="preserve">reflects the production of the 50 top chemicals in the U.S.; Economic Indicators: U.S. Bureau </t>
  </si>
  <si>
    <t xml:space="preserve">Manufacturers Assn (now the American Chemistry Council), Washington, DC.   Data </t>
  </si>
  <si>
    <r>
      <t xml:space="preserve">Sources: Physical Units: </t>
    </r>
    <r>
      <rPr>
        <i/>
        <sz val="10"/>
        <rFont val="Arial"/>
        <family val="2"/>
      </rPr>
      <t>Chemical Industry Statistical Handbook</t>
    </r>
    <r>
      <rPr>
        <sz val="10"/>
        <rFont val="Arial"/>
        <family val="2"/>
      </rPr>
      <t xml:space="preserve">, 1998-1999, Chemical </t>
    </r>
  </si>
  <si>
    <t>indexes into a 1998=100 base.</t>
  </si>
  <si>
    <r>
      <t>4</t>
    </r>
    <r>
      <rPr>
        <sz val="10"/>
        <rFont val="Arial"/>
        <family val="2"/>
      </rPr>
      <t xml:space="preserve"> Industrial Production in 1998 dollars obtained by rebasing 1992=100 Industrial production </t>
    </r>
  </si>
  <si>
    <t>for SIC 28.</t>
  </si>
  <si>
    <r>
      <t xml:space="preserve">3 </t>
    </r>
    <r>
      <rPr>
        <sz val="10"/>
        <rFont val="Arial"/>
        <family val="2"/>
      </rPr>
      <t xml:space="preserve">Value added and GDP in 1998 dollars were converted using GDP implicit price deflators </t>
    </r>
  </si>
  <si>
    <t>implicit price deflators for SIC 28.</t>
  </si>
  <si>
    <r>
      <t>2</t>
    </r>
    <r>
      <rPr>
        <sz val="10"/>
        <rFont val="Arial"/>
        <family val="2"/>
      </rPr>
      <t xml:space="preserve"> Value of shipments and Gross Output in 1998 dollars were converted using gross output </t>
    </r>
  </si>
  <si>
    <t>GDP by Industry between 1996-1998.</t>
  </si>
  <si>
    <r>
      <t xml:space="preserve">1 </t>
    </r>
    <r>
      <rPr>
        <sz val="10"/>
        <rFont val="Arial"/>
        <family val="2"/>
      </rPr>
      <t xml:space="preserve">Value added for 1998 was derived by adjusting the 1996 value added by the change in </t>
    </r>
  </si>
  <si>
    <r>
      <t xml:space="preserve">Industrial Production  </t>
    </r>
    <r>
      <rPr>
        <vertAlign val="superscript"/>
        <sz val="10"/>
        <rFont val="Arial"/>
        <family val="2"/>
      </rPr>
      <t>4</t>
    </r>
  </si>
  <si>
    <r>
      <t>Value Added</t>
    </r>
    <r>
      <rPr>
        <vertAlign val="superscript"/>
        <sz val="10"/>
        <rFont val="Arial"/>
        <family val="2"/>
      </rPr>
      <t xml:space="preserve"> 3</t>
    </r>
  </si>
  <si>
    <r>
      <t>Gross Domestic Product</t>
    </r>
    <r>
      <rPr>
        <vertAlign val="superscript"/>
        <sz val="10"/>
        <rFont val="Arial"/>
        <family val="2"/>
      </rPr>
      <t xml:space="preserve"> 3</t>
    </r>
  </si>
  <si>
    <r>
      <t xml:space="preserve">Gross Output </t>
    </r>
    <r>
      <rPr>
        <vertAlign val="superscript"/>
        <sz val="10"/>
        <rFont val="Arial"/>
        <family val="2"/>
      </rPr>
      <t>2</t>
    </r>
  </si>
  <si>
    <t xml:space="preserve">Real Economic Indicators (1998 $ billion) </t>
  </si>
  <si>
    <t>Industrial Production</t>
  </si>
  <si>
    <r>
      <t xml:space="preserve">Value Added  </t>
    </r>
    <r>
      <rPr>
        <vertAlign val="superscript"/>
        <sz val="10"/>
        <rFont val="Arial"/>
        <family val="2"/>
      </rPr>
      <t>1</t>
    </r>
  </si>
  <si>
    <t xml:space="preserve">Gross Domestic Product </t>
  </si>
  <si>
    <t xml:space="preserve">Gross Output </t>
  </si>
  <si>
    <t xml:space="preserve">Nominal Economic Indicators (current $ billion) </t>
  </si>
  <si>
    <t>Million tons</t>
  </si>
  <si>
    <t>Chemicals (SIC 28, NAICS 325)</t>
  </si>
  <si>
    <t>Table 5d. Economic and Physical Indicators for the Chemical Industry, 1985-1988</t>
  </si>
  <si>
    <t>Reserve Board, data obtained from Kristen T. Hamdan of the Federal Reserve Board.</t>
  </si>
  <si>
    <t xml:space="preserve"> Census Bureau, Annual Survey of Manufactures (http://tier2.census.gov/asm/asm.htm); Federal </t>
  </si>
  <si>
    <t xml:space="preserve"> U.S. Bureau of Economic Analysis, 1977-2000 Gross Output by Detailed Industry (NDN-0288);  U.S.</t>
  </si>
  <si>
    <t>(DOE/EIA-0384(2000)):Table 5.8 Refinery Input and Output, 1949 - 2000. Pg. 137; Economic Indicators:</t>
  </si>
  <si>
    <r>
      <t xml:space="preserve">Sources: Physical Units:  Energy Information Administration,  </t>
    </r>
    <r>
      <rPr>
        <i/>
        <sz val="10"/>
        <rFont val="Arial"/>
        <family val="2"/>
      </rPr>
      <t>Annual Energy Review 2000</t>
    </r>
    <r>
      <rPr>
        <sz val="10"/>
        <rFont val="Arial"/>
        <family val="2"/>
      </rPr>
      <t xml:space="preserve">.  </t>
    </r>
  </si>
  <si>
    <t>1998=100 base.</t>
  </si>
  <si>
    <r>
      <t>4</t>
    </r>
    <r>
      <rPr>
        <sz val="10"/>
        <rFont val="Arial"/>
        <family val="2"/>
      </rPr>
      <t xml:space="preserve"> Industrial Production in 1998 dollars obtained by rebasing 1992=100 Industrial production indexes into a </t>
    </r>
  </si>
  <si>
    <r>
      <t>3</t>
    </r>
    <r>
      <rPr>
        <sz val="10"/>
        <color indexed="8"/>
        <rFont val="Arial"/>
        <family val="2"/>
      </rPr>
      <t xml:space="preserve"> Value added and GDP in 1998 dollars were converted using GDP implicit price deflators for SIC 29.</t>
    </r>
  </si>
  <si>
    <t>price deflators for SIC 29.</t>
  </si>
  <si>
    <r>
      <t>2</t>
    </r>
    <r>
      <rPr>
        <sz val="10"/>
        <color indexed="8"/>
        <rFont val="Arial"/>
        <family val="2"/>
      </rPr>
      <t xml:space="preserve"> Value of shipments and Gross Output in 1998 dollars were converted using gross output implicit </t>
    </r>
  </si>
  <si>
    <t xml:space="preserve"> between 1996-1998.</t>
  </si>
  <si>
    <r>
      <t xml:space="preserve">1 </t>
    </r>
    <r>
      <rPr>
        <sz val="10"/>
        <rFont val="Arial"/>
        <family val="2"/>
      </rPr>
      <t>Value added for 1998 was derived by adjusting the 1996 value added by the change in GDP by Industry</t>
    </r>
  </si>
  <si>
    <r>
      <t xml:space="preserve">Industrial Production </t>
    </r>
    <r>
      <rPr>
        <vertAlign val="superscript"/>
        <sz val="10"/>
        <rFont val="Arial"/>
        <family val="2"/>
      </rPr>
      <t xml:space="preserve"> 4</t>
    </r>
  </si>
  <si>
    <r>
      <t xml:space="preserve">Value Added </t>
    </r>
    <r>
      <rPr>
        <vertAlign val="superscript"/>
        <sz val="10"/>
        <rFont val="Arial"/>
        <family val="2"/>
      </rPr>
      <t>3</t>
    </r>
  </si>
  <si>
    <t xml:space="preserve">Industrial Production </t>
  </si>
  <si>
    <t>Billion Barrels (calculated)</t>
  </si>
  <si>
    <t>Million Barrels per Day</t>
  </si>
  <si>
    <t>Petroleum   (SIC 29; NAICS 324)</t>
  </si>
  <si>
    <r>
      <t>Table 5b. Economic and Physical Indicators for the Petroleum Industry, 1985-1998</t>
    </r>
    <r>
      <rPr>
        <sz val="10"/>
        <rFont val="Arial"/>
        <family val="2"/>
      </rPr>
      <t> </t>
    </r>
  </si>
  <si>
    <t>(http://www.census.gov/prod/www/abs/industry.html).</t>
  </si>
  <si>
    <r>
      <t>Statistics for Industry Groups and Industries</t>
    </r>
    <r>
      <rPr>
        <sz val="11"/>
        <color theme="1"/>
        <rFont val="Calibri"/>
        <family val="2"/>
        <scheme val="minor"/>
      </rPr>
      <t xml:space="preserve"> </t>
    </r>
  </si>
  <si>
    <r>
      <t>for 1999</t>
    </r>
    <r>
      <rPr>
        <sz val="11"/>
        <color theme="1"/>
        <rFont val="Calibri"/>
        <family val="2"/>
        <scheme val="minor"/>
      </rPr>
      <t xml:space="preserve">; Economic Indicators: U.S. Census Bureau, Annual Survey of Manufactures, </t>
    </r>
  </si>
  <si>
    <r>
      <t xml:space="preserve">Sources:  Physical Units: The Aluminum Association.  2000.  </t>
    </r>
    <r>
      <rPr>
        <i/>
        <sz val="10"/>
        <rFont val="Arial"/>
        <family val="2"/>
      </rPr>
      <t xml:space="preserve">Aluminum Statistical Review </t>
    </r>
  </si>
  <si>
    <r>
      <t>3</t>
    </r>
    <r>
      <rPr>
        <sz val="11"/>
        <color theme="1"/>
        <rFont val="Calibri"/>
        <family val="2"/>
        <scheme val="minor"/>
      </rPr>
      <t xml:space="preserve"> Value added in 1998 dollars was converted using GDP implicit price deflators for SIC 33.</t>
    </r>
  </si>
  <si>
    <t xml:space="preserve"> deflators for SIC 33.</t>
  </si>
  <si>
    <r>
      <t>2</t>
    </r>
    <r>
      <rPr>
        <sz val="11"/>
        <color theme="1"/>
        <rFont val="Calibri"/>
        <family val="2"/>
        <scheme val="minor"/>
      </rPr>
      <t xml:space="preserve"> Value of shipments in 1998 dollars was converted using gross output implicit price </t>
    </r>
  </si>
  <si>
    <r>
      <t>1</t>
    </r>
    <r>
      <rPr>
        <sz val="11"/>
        <color theme="1"/>
        <rFont val="Calibri"/>
        <family val="2"/>
        <scheme val="minor"/>
      </rPr>
      <t xml:space="preserve"> Data for 1994 and 1998 corresponds to SIC 3334, 3353, 3354, 3357, and 3399.</t>
    </r>
  </si>
  <si>
    <t>Total</t>
  </si>
  <si>
    <t xml:space="preserve">Imports Processing </t>
  </si>
  <si>
    <t>Secondary Aluminum Smelting</t>
  </si>
  <si>
    <t xml:space="preserve">Primary Aluminum Smelting </t>
  </si>
  <si>
    <t>Physical Units (thousand tons)</t>
  </si>
  <si>
    <t>Aluminum (SIC 3334, 3353-4, 3357, 3399; NAICS 3313)</t>
  </si>
  <si>
    <r>
      <t>Table 5c. Economic and Physical Indicators for the Aluminum Industry, 1985-1998</t>
    </r>
    <r>
      <rPr>
        <sz val="10"/>
        <rFont val="Arial"/>
        <family val="2"/>
      </rPr>
      <t> </t>
    </r>
  </si>
  <si>
    <r>
      <t xml:space="preserve">   </t>
    </r>
    <r>
      <rPr>
        <b/>
        <sz val="9"/>
        <rFont val="Arial"/>
        <family val="2"/>
      </rPr>
      <t>Sources</t>
    </r>
    <r>
      <rPr>
        <sz val="9"/>
        <rFont val="Arial"/>
        <family val="2"/>
      </rPr>
      <t xml:space="preserve">: U.S. Department of Commerce,  Bureau of the Census, </t>
    </r>
    <r>
      <rPr>
        <i/>
        <sz val="9"/>
        <rFont val="Arial"/>
        <family val="2"/>
      </rPr>
      <t>Annual Survey of Manufacturers</t>
    </r>
    <r>
      <rPr>
        <sz val="9"/>
        <rFont val="Arial"/>
        <family val="2"/>
      </rPr>
      <t>, Statistics for Industry Groups and Industries, 2004 and 2008, Bureau of Economic Analysis (BEA), "Value of Shipments and Price Indexes by Detailed Industry 1998-2007," December 2009, "Gross Output and Price Indexes by Detailed Industry 1998-2007," December 2009; "Price Indexes for Value Added by Detailed Industry," December 2009; U.S. Geological Survey, Aluminum Statistics by David A. Buckingham, Patricia A. Plunkert, and E.L. Bray October 2008.</t>
    </r>
  </si>
  <si>
    <r>
      <t>2</t>
    </r>
    <r>
      <rPr>
        <sz val="9"/>
        <rFont val="Arial"/>
        <family val="2"/>
      </rPr>
      <t xml:space="preserve"> Deflated using BEA's chain-type price indices for value added.</t>
    </r>
  </si>
  <si>
    <r>
      <t xml:space="preserve">    </t>
    </r>
    <r>
      <rPr>
        <b/>
        <sz val="9"/>
        <rFont val="Arial"/>
        <family val="2"/>
      </rPr>
      <t>Notes</t>
    </r>
    <r>
      <rPr>
        <sz val="9"/>
        <rFont val="Arial"/>
        <family val="2"/>
      </rPr>
      <t xml:space="preserve">: </t>
    </r>
    <r>
      <rPr>
        <vertAlign val="superscript"/>
        <sz val="9"/>
        <rFont val="Arial"/>
        <family val="2"/>
      </rPr>
      <t>1</t>
    </r>
    <r>
      <rPr>
        <sz val="9"/>
        <rFont val="Arial"/>
        <family val="2"/>
      </rPr>
      <t xml:space="preserve"> Deflated using BEA's chain-type price indices for value of shipments.</t>
    </r>
  </si>
  <si>
    <r>
      <t xml:space="preserve">   Value Added </t>
    </r>
    <r>
      <rPr>
        <vertAlign val="superscript"/>
        <sz val="10"/>
        <rFont val="Arial"/>
        <family val="2"/>
      </rPr>
      <t>2</t>
    </r>
  </si>
  <si>
    <r>
      <t xml:space="preserve">   Value of Shipments </t>
    </r>
    <r>
      <rPr>
        <vertAlign val="superscript"/>
        <sz val="10"/>
        <rFont val="Arial"/>
        <family val="2"/>
      </rPr>
      <t>1</t>
    </r>
  </si>
  <si>
    <t>Real Economic (Billion 2000 Dollars)</t>
  </si>
  <si>
    <t xml:space="preserve">   Value Added</t>
  </si>
  <si>
    <t xml:space="preserve">   Value of Shipments</t>
  </si>
  <si>
    <t>Nominal Economic (Current Billion Dollars)</t>
  </si>
  <si>
    <t xml:space="preserve">   Aluminum Exports</t>
  </si>
  <si>
    <t xml:space="preserve">   Aluminum Imports </t>
  </si>
  <si>
    <t xml:space="preserve">   Secondary Aluminum Production</t>
  </si>
  <si>
    <t xml:space="preserve">   Primary Aluminum Production</t>
  </si>
  <si>
    <t>Physical  (Thousand Metric Tons)</t>
  </si>
  <si>
    <t>Indicators</t>
  </si>
  <si>
    <t>MECS Survey Years</t>
  </si>
  <si>
    <t>Table 5c. Economic and Physical Indicators for the Aluminum Industry (NAICS 3313), 1998, 2002, and 2006</t>
  </si>
  <si>
    <t>Page Last Modified: May 2010</t>
  </si>
  <si>
    <t>Energy Information Administration</t>
  </si>
  <si>
    <t>Page Last Modified: May 2010 </t>
  </si>
  <si>
    <r>
      <t>Production</t>
    </r>
    <r>
      <rPr>
        <b/>
        <vertAlign val="superscript"/>
        <sz val="10"/>
        <rFont val="Arial"/>
        <family val="2"/>
      </rPr>
      <t>1</t>
    </r>
    <r>
      <rPr>
        <b/>
        <sz val="10"/>
        <rFont val="Arial"/>
        <family val="2"/>
      </rPr>
      <t xml:space="preserve"> (Million Short Tons)</t>
    </r>
  </si>
  <si>
    <t>Inorganic Chemicals</t>
  </si>
  <si>
    <t xml:space="preserve">Bulk Petrochemical </t>
  </si>
  <si>
    <t xml:space="preserve">Organic Intermediate </t>
  </si>
  <si>
    <t>Plastic Resins</t>
  </si>
  <si>
    <t>Synthetic Rubber</t>
  </si>
  <si>
    <t>NA</t>
  </si>
  <si>
    <t>Synthetic Fibers</t>
  </si>
  <si>
    <t>Value of Shipments (Billion Current  Dollars)</t>
  </si>
  <si>
    <t xml:space="preserve">Inorganic Chemicals </t>
  </si>
  <si>
    <t>Bulk Petrochemicals &amp; Intermediates</t>
  </si>
  <si>
    <r>
      <t xml:space="preserve">Value of Shipments </t>
    </r>
    <r>
      <rPr>
        <b/>
        <vertAlign val="superscript"/>
        <sz val="10"/>
        <rFont val="Arial"/>
        <family val="2"/>
      </rPr>
      <t>2</t>
    </r>
    <r>
      <rPr>
        <b/>
        <sz val="10"/>
        <rFont val="Arial"/>
        <family val="2"/>
      </rPr>
      <t xml:space="preserve"> (Billion 2000 Dollars)</t>
    </r>
  </si>
  <si>
    <r>
      <t xml:space="preserve">    </t>
    </r>
    <r>
      <rPr>
        <b/>
        <sz val="10"/>
        <rFont val="Arial"/>
        <family val="2"/>
      </rPr>
      <t>Notes</t>
    </r>
    <r>
      <rPr>
        <sz val="11"/>
        <color theme="1"/>
        <rFont val="Calibri"/>
        <family val="2"/>
        <scheme val="minor"/>
      </rPr>
      <t xml:space="preserve">: </t>
    </r>
    <r>
      <rPr>
        <vertAlign val="superscript"/>
        <sz val="10"/>
        <rFont val="Arial"/>
        <family val="2"/>
      </rPr>
      <t>1</t>
    </r>
    <r>
      <rPr>
        <sz val="11"/>
        <color theme="1"/>
        <rFont val="Calibri"/>
        <family val="2"/>
        <scheme val="minor"/>
      </rPr>
      <t xml:space="preserve"> The conversion factors used are 2000 pounds per ton and  62.426 pounds per cubic feet.</t>
    </r>
  </si>
  <si>
    <r>
      <t xml:space="preserve"> 2</t>
    </r>
    <r>
      <rPr>
        <sz val="9"/>
        <rFont val="Arial"/>
        <family val="2"/>
      </rPr>
      <t xml:space="preserve"> Deflated using BEA's chain-type price indices for value of shipments (NAICS 325)</t>
    </r>
  </si>
  <si>
    <r>
      <t xml:space="preserve">   </t>
    </r>
    <r>
      <rPr>
        <b/>
        <sz val="9"/>
        <rFont val="Arial"/>
        <family val="2"/>
      </rPr>
      <t>Sources</t>
    </r>
    <r>
      <rPr>
        <sz val="9"/>
        <rFont val="Arial"/>
        <family val="2"/>
      </rPr>
      <t xml:space="preserve">: U.S. Department of Commerce, Bureau of Economic Analysis (BEA), "Value of Shipments and Price Indexes by Detailed Industry 1998-2007," December 2005 and December 2009; American Chemical Chemistry Council, </t>
    </r>
    <r>
      <rPr>
        <i/>
        <sz val="9"/>
        <rFont val="Arial"/>
        <family val="2"/>
      </rPr>
      <t xml:space="preserve">Guide to the Business of Chemistry 2007, Basic Chemicals, 2007, </t>
    </r>
    <r>
      <rPr>
        <sz val="9"/>
        <rFont val="Arial"/>
        <family val="2"/>
      </rPr>
      <t>Tables 2.7, 2.8, 2.9, 2.10, 2.11, 2.12, 2.13, and 2.14.</t>
    </r>
  </si>
  <si>
    <t>Table 5b. Economic and Physical Indicators for the Petroleum Industry (NAICS 324), 1998, 2002 and 2006</t>
  </si>
  <si>
    <t xml:space="preserve">Physical  </t>
  </si>
  <si>
    <t>Petroleum (Million Barrels per Year)</t>
  </si>
  <si>
    <t xml:space="preserve">   Gross Output</t>
  </si>
  <si>
    <r>
      <t xml:space="preserve">   Gross Output </t>
    </r>
    <r>
      <rPr>
        <vertAlign val="superscript"/>
        <sz val="10"/>
        <rFont val="Arial"/>
        <family val="2"/>
      </rPr>
      <t>2</t>
    </r>
  </si>
  <si>
    <r>
      <t xml:space="preserve">   Value Added </t>
    </r>
    <r>
      <rPr>
        <vertAlign val="superscript"/>
        <sz val="10"/>
        <rFont val="Arial"/>
        <family val="2"/>
      </rPr>
      <t>3</t>
    </r>
  </si>
  <si>
    <r>
      <t xml:space="preserve">2 </t>
    </r>
    <r>
      <rPr>
        <sz val="9"/>
        <rFont val="Arial"/>
        <family val="2"/>
      </rPr>
      <t>Deflated using BEA's chain-type price indices for gross output.</t>
    </r>
  </si>
  <si>
    <r>
      <t>3</t>
    </r>
    <r>
      <rPr>
        <sz val="9"/>
        <rFont val="Arial"/>
        <family val="2"/>
      </rPr>
      <t xml:space="preserve"> Deflated using BEA's chain-type price indices for value added.</t>
    </r>
  </si>
  <si>
    <r>
      <t xml:space="preserve">   </t>
    </r>
    <r>
      <rPr>
        <b/>
        <sz val="9"/>
        <rFont val="Arial"/>
        <family val="2"/>
      </rPr>
      <t>Sources</t>
    </r>
    <r>
      <rPr>
        <sz val="9"/>
        <rFont val="Arial"/>
        <family val="2"/>
      </rPr>
      <t xml:space="preserve">: Energy Information Administration, </t>
    </r>
    <r>
      <rPr>
        <i/>
        <sz val="9"/>
        <rFont val="Arial"/>
        <family val="2"/>
      </rPr>
      <t>Annual Energy Review 200</t>
    </r>
    <r>
      <rPr>
        <sz val="9"/>
        <rFont val="Arial"/>
        <family val="2"/>
      </rPr>
      <t xml:space="preserve">8. (DOE/EIA-0384(2008) Table 5.8 Refinery Input and Output, 1949-2008; U.S. Department of Commerce, Bureau of the Census </t>
    </r>
    <r>
      <rPr>
        <i/>
        <sz val="9"/>
        <rFont val="Arial"/>
        <family val="2"/>
      </rPr>
      <t>Annual Survey of Manufacturers</t>
    </r>
    <r>
      <rPr>
        <sz val="9"/>
        <rFont val="Arial"/>
        <family val="2"/>
      </rPr>
      <t>, Statistics for Industry Groups and Industries, 2001, 2004, and  2009, Bureau of Economic Analysis (BEA), "Value of Shipments and Price Indexes by Detailed Industry" Dec 2005 and 2009  "Gross Output and Price Indexes by Detailed Industry 1998-2007," December 2005 and 2009 and "Price Indexes for Value Added by Detailed Industry," December 2005 and 2009.</t>
    </r>
  </si>
  <si>
    <t>Iron &amp; steel</t>
  </si>
  <si>
    <t>Aluminum (3)</t>
  </si>
  <si>
    <t>Primary</t>
  </si>
  <si>
    <t>Secondary (from old scrap)</t>
  </si>
  <si>
    <t xml:space="preserve">Total </t>
  </si>
  <si>
    <t>Production</t>
  </si>
  <si>
    <t>Energy use (GJ)</t>
  </si>
  <si>
    <t>(1) &amp; (2) Iron and Steel 2 years later (million metric tons)  http://minerals.usgs.gov/minerals/pubs/commodity/iron_&amp;_steel/</t>
  </si>
  <si>
    <t>(3) thousand metric tons http://minerals.usgs.gov/minerals/pubs/commodity/aluminum/</t>
  </si>
  <si>
    <t>utilization is calculated by dividing gross input to distillation units by the annual average capacity.</t>
  </si>
  <si>
    <t>of the current year's January 1 capacity and the following year's January 1 capacity.  Beginning in 1981,</t>
  </si>
  <si>
    <r>
      <t>4</t>
    </r>
    <r>
      <rPr>
        <sz val="7"/>
        <color indexed="8"/>
        <rFont val="Arial"/>
        <family val="2"/>
      </rPr>
      <t>Through 1980, utilization is calculated by dividing gross input to distillation units by one-half of the sum</t>
    </r>
  </si>
  <si>
    <r>
      <t>annual reports.  </t>
    </r>
    <r>
      <rPr>
        <sz val="7"/>
        <color indexed="8"/>
        <rFont val="Symbol"/>
        <family val="1"/>
        <charset val="2"/>
      </rPr>
      <t>·</t>
    </r>
    <r>
      <rPr>
        <sz val="7"/>
        <color indexed="8"/>
        <rFont val="Arial"/>
        <family val="2"/>
      </rPr>
      <t>  2010Calculated.</t>
    </r>
  </si>
  <si>
    <r>
      <t>(January-December 2010 issues).  </t>
    </r>
    <r>
      <rPr>
        <b/>
        <sz val="7"/>
        <color indexed="8"/>
        <rFont val="Arial"/>
        <family val="2"/>
      </rPr>
      <t>Utilization:  </t>
    </r>
    <r>
      <rPr>
        <sz val="7"/>
        <color indexed="8"/>
        <rFont val="Symbol"/>
        <family val="1"/>
        <charset val="2"/>
      </rPr>
      <t>·</t>
    </r>
    <r>
      <rPr>
        <sz val="7"/>
        <color indexed="8"/>
        <rFont val="Arial"/>
        <family val="2"/>
      </rPr>
      <t>  1949-1980Calculated.  </t>
    </r>
    <r>
      <rPr>
        <sz val="7"/>
        <color indexed="8"/>
        <rFont val="Symbol"/>
        <family val="1"/>
        <charset val="2"/>
      </rPr>
      <t>·</t>
    </r>
    <r>
      <rPr>
        <sz val="7"/>
        <color indexed="8"/>
        <rFont val="Arial"/>
        <family val="2"/>
      </rPr>
      <t>  1981-2009EIA, PSA,</t>
    </r>
  </si>
  <si>
    <r>
      <t>Territories.  </t>
    </r>
    <r>
      <rPr>
        <sz val="7"/>
        <color indexed="8"/>
        <rFont val="Symbol"/>
        <family val="1"/>
        <charset val="2"/>
      </rPr>
      <t>·</t>
    </r>
    <r>
      <rPr>
        <sz val="7"/>
        <color indexed="8"/>
        <rFont val="Arial"/>
        <family val="2"/>
      </rPr>
      <t>  1981-2009EIA, PSA, annual reports.  </t>
    </r>
    <r>
      <rPr>
        <sz val="7"/>
        <color indexed="8"/>
        <rFont val="Symbol"/>
        <family val="1"/>
        <charset val="2"/>
      </rPr>
      <t>·</t>
    </r>
    <r>
      <rPr>
        <sz val="7"/>
        <color indexed="8"/>
        <rFont val="Arial"/>
        <family val="2"/>
      </rPr>
      <t>  2010EIA, </t>
    </r>
    <r>
      <rPr>
        <i/>
        <sz val="7"/>
        <color indexed="8"/>
        <rFont val="Arial"/>
        <family val="2"/>
      </rPr>
      <t>Petroleum Supply Monthly</t>
    </r>
  </si>
  <si>
    <r>
      <t>reports.  </t>
    </r>
    <r>
      <rPr>
        <sz val="7"/>
        <color indexed="8"/>
        <rFont val="Symbol"/>
        <family val="1"/>
        <charset val="2"/>
      </rPr>
      <t>·</t>
    </r>
    <r>
      <rPr>
        <sz val="7"/>
        <color indexed="8"/>
        <rFont val="Arial"/>
        <family val="2"/>
      </rPr>
      <t>  1978-1980EIA, Energy Data Reports, </t>
    </r>
    <r>
      <rPr>
        <i/>
        <sz val="7"/>
        <color indexed="8"/>
        <rFont val="Arial"/>
        <family val="2"/>
      </rPr>
      <t>Petroleum Refineries in the United States and U.S.</t>
    </r>
  </si>
  <si>
    <r>
      <t>chapters.  </t>
    </r>
    <r>
      <rPr>
        <sz val="7"/>
        <color indexed="8"/>
        <rFont val="Symbol"/>
        <family val="1"/>
        <charset val="2"/>
      </rPr>
      <t>·</t>
    </r>
    <r>
      <rPr>
        <sz val="7"/>
        <color indexed="8"/>
        <rFont val="Arial"/>
        <family val="2"/>
      </rPr>
      <t>  1967-1977Bureau of Mines, Mineral Industry Surveys, </t>
    </r>
    <r>
      <rPr>
        <i/>
        <sz val="7"/>
        <color indexed="8"/>
        <rFont val="Arial"/>
        <family val="2"/>
      </rPr>
      <t>Petroleum Refineries, Annual, </t>
    </r>
    <r>
      <rPr>
        <sz val="7"/>
        <color indexed="8"/>
        <rFont val="Arial"/>
        <family val="2"/>
      </rPr>
      <t>annual</t>
    </r>
  </si>
  <si>
    <r>
      <t>of Mines, </t>
    </r>
    <r>
      <rPr>
        <i/>
        <sz val="7"/>
        <color indexed="8"/>
        <rFont val="Arial"/>
        <family val="2"/>
      </rPr>
      <t>Minerals Yearbook, </t>
    </r>
    <r>
      <rPr>
        <sz val="7"/>
        <color indexed="8"/>
        <rFont val="Arial"/>
        <family val="2"/>
      </rPr>
      <t>"Natural Gas Liquids" and "Crude Petroleum and Petroleum Products"</t>
    </r>
  </si>
  <si>
    <r>
      <t>Refinery Capacity Report </t>
    </r>
    <r>
      <rPr>
        <sz val="7"/>
        <color indexed="8"/>
        <rFont val="Arial"/>
        <family val="2"/>
      </rPr>
      <t>(June 2010), Table 1.  </t>
    </r>
    <r>
      <rPr>
        <b/>
        <sz val="7"/>
        <color indexed="8"/>
        <rFont val="Arial"/>
        <family val="2"/>
      </rPr>
      <t>Gross Input to Distillation Units:  </t>
    </r>
    <r>
      <rPr>
        <sz val="7"/>
        <color indexed="8"/>
        <rFont val="Symbol"/>
        <family val="1"/>
        <charset val="2"/>
      </rPr>
      <t>·</t>
    </r>
    <r>
      <rPr>
        <sz val="7"/>
        <color indexed="8"/>
        <rFont val="Arial"/>
        <family val="2"/>
      </rPr>
      <t>  1949-1966Bureau</t>
    </r>
  </si>
  <si>
    <r>
      <t>the United States.  </t>
    </r>
    <r>
      <rPr>
        <sz val="7"/>
        <color indexed="8"/>
        <rFont val="Symbol"/>
        <family val="1"/>
        <charset val="2"/>
      </rPr>
      <t>·</t>
    </r>
    <r>
      <rPr>
        <sz val="7"/>
        <color indexed="8"/>
        <rFont val="Arial"/>
        <family val="2"/>
      </rPr>
      <t>  1982-2009EIA, </t>
    </r>
    <r>
      <rPr>
        <i/>
        <sz val="7"/>
        <color indexed="8"/>
        <rFont val="Arial"/>
        <family val="2"/>
      </rPr>
      <t>Petroleum Supply Annual (PSA), </t>
    </r>
    <r>
      <rPr>
        <sz val="7"/>
        <color indexed="8"/>
        <rFont val="Arial"/>
        <family val="2"/>
      </rPr>
      <t>annual reports.  </t>
    </r>
    <r>
      <rPr>
        <sz val="7"/>
        <color indexed="8"/>
        <rFont val="Symbol"/>
        <family val="1"/>
        <charset val="2"/>
      </rPr>
      <t>·</t>
    </r>
    <r>
      <rPr>
        <sz val="7"/>
        <color indexed="8"/>
        <rFont val="Arial"/>
        <family val="2"/>
      </rPr>
      <t>  2010EIA,</t>
    </r>
  </si>
  <si>
    <r>
      <t>·</t>
    </r>
    <r>
      <rPr>
        <sz val="7"/>
        <color indexed="8"/>
        <rFont val="Arial"/>
        <family val="2"/>
      </rPr>
      <t>  1978-1981U.S. Energy Information Administration (EIA), Energy Data Reports, </t>
    </r>
    <r>
      <rPr>
        <i/>
        <sz val="7"/>
        <color indexed="8"/>
        <rFont val="Arial"/>
        <family val="2"/>
      </rPr>
      <t>Petroleum Refineries in</t>
    </r>
  </si>
  <si>
    <r>
      <t>·</t>
    </r>
    <r>
      <rPr>
        <sz val="7"/>
        <color indexed="8"/>
        <rFont val="Arial"/>
        <family val="2"/>
      </rPr>
      <t>  1962-1977Bureau of Mines, Mineral Industry Surveys, </t>
    </r>
    <r>
      <rPr>
        <i/>
        <sz val="7"/>
        <color indexed="8"/>
        <rFont val="Arial"/>
        <family val="2"/>
      </rPr>
      <t>Petroleum Refineries, Annual, </t>
    </r>
    <r>
      <rPr>
        <sz val="7"/>
        <color indexed="8"/>
        <rFont val="Arial"/>
        <family val="2"/>
      </rPr>
      <t>annual reports.</t>
    </r>
  </si>
  <si>
    <t>Information Circular, "Petroleum Refineries, Including Cracking Plants in the United States."</t>
  </si>
  <si>
    <r>
      <t>Sources:  </t>
    </r>
    <r>
      <rPr>
        <b/>
        <sz val="7"/>
        <color indexed="8"/>
        <rFont val="Arial"/>
        <family val="2"/>
      </rPr>
      <t>Operable Refineries </t>
    </r>
    <r>
      <rPr>
        <sz val="7"/>
        <color indexed="8"/>
        <rFont val="Arial"/>
        <family val="2"/>
      </rPr>
      <t>and </t>
    </r>
    <r>
      <rPr>
        <b/>
        <sz val="7"/>
        <color indexed="8"/>
        <rFont val="Arial"/>
        <family val="2"/>
      </rPr>
      <t>Operable Refineries Capacity:  </t>
    </r>
    <r>
      <rPr>
        <sz val="7"/>
        <color indexed="8"/>
        <rFont val="Symbol"/>
        <family val="1"/>
        <charset val="2"/>
      </rPr>
      <t>·</t>
    </r>
    <r>
      <rPr>
        <sz val="7"/>
        <color indexed="8"/>
        <rFont val="Arial"/>
        <family val="2"/>
      </rPr>
      <t>  1949-1961Bureau of Mines</t>
    </r>
  </si>
  <si>
    <r>
      <t>3</t>
    </r>
    <r>
      <rPr>
        <sz val="7"/>
        <color indexed="8"/>
        <rFont val="Arial"/>
        <family val="2"/>
      </rPr>
      <t>See Note 3, "Gross Input to Distillation Units," at end of section.</t>
    </r>
  </si>
  <si>
    <t>Web Page:  For related information, see http://www.eia.gov/petroleum/.</t>
  </si>
  <si>
    <r>
      <t>2</t>
    </r>
    <r>
      <rPr>
        <sz val="7"/>
        <color indexed="8"/>
        <rFont val="Arial"/>
        <family val="2"/>
      </rPr>
      <t>Average of monthly capacity data.</t>
    </r>
  </si>
  <si>
    <t>"operable" refineries on January 1.  See "Operable Refineries" in Glossary.</t>
  </si>
  <si>
    <t>R=Revised.  P=Preliminary.  NA=Not available.  </t>
  </si>
  <si>
    <r>
      <t>1</t>
    </r>
    <r>
      <rPr>
        <sz val="7"/>
        <color indexed="8"/>
        <rFont val="Arial"/>
        <family val="2"/>
      </rPr>
      <t>Through 1956, includes only those refineries in operation on January 1; beginning in 1957, includes all</t>
    </r>
  </si>
  <si>
    <r>
      <t>2010</t>
    </r>
    <r>
      <rPr>
        <vertAlign val="superscript"/>
        <sz val="5"/>
        <color indexed="8"/>
        <rFont val="Arial"/>
        <family val="2"/>
      </rPr>
      <t>P</t>
    </r>
  </si>
  <si>
    <t>[R]</t>
  </si>
  <si>
    <t>Percent</t>
  </si>
  <si>
    <t>Thousand Barrels</t>
  </si>
  <si>
    <t>Thousand Barrels per Day</t>
  </si>
  <si>
    <t>Number</t>
  </si>
  <si>
    <r>
      <t>to Distillation Units </t>
    </r>
    <r>
      <rPr>
        <vertAlign val="superscript"/>
        <sz val="5"/>
        <color indexed="8"/>
        <rFont val="Arial"/>
        <family val="2"/>
      </rPr>
      <t>3</t>
    </r>
  </si>
  <si>
    <r>
      <t>Annual Average </t>
    </r>
    <r>
      <rPr>
        <vertAlign val="superscript"/>
        <sz val="5"/>
        <color indexed="8"/>
        <rFont val="Arial"/>
        <family val="2"/>
      </rPr>
      <t>2</t>
    </r>
  </si>
  <si>
    <t>On January 1</t>
  </si>
  <si>
    <r>
      <t>Refineries </t>
    </r>
    <r>
      <rPr>
        <vertAlign val="superscript"/>
        <sz val="5"/>
        <color indexed="8"/>
        <rFont val="Arial"/>
        <family val="2"/>
      </rPr>
      <t>1</t>
    </r>
  </si>
  <si>
    <t>Gross Input</t>
  </si>
  <si>
    <t>Operable</t>
  </si>
  <si>
    <r>
      <t>Utilization </t>
    </r>
    <r>
      <rPr>
        <vertAlign val="superscript"/>
        <sz val="5"/>
        <color indexed="8"/>
        <rFont val="Arial"/>
        <family val="2"/>
      </rPr>
      <t>4</t>
    </r>
  </si>
  <si>
    <t>Operable Refineries Capacity</t>
  </si>
  <si>
    <t>Table 5.9  Refinery Capacity and Utilization, 1949-2010</t>
  </si>
  <si>
    <t>Thousand Barrels / Year</t>
  </si>
  <si>
    <t>Million Barrels / Year</t>
  </si>
  <si>
    <t>Capacity</t>
  </si>
  <si>
    <t>Adjusted For Capacity</t>
  </si>
  <si>
    <t>Billion Barrels / Year</t>
  </si>
  <si>
    <t>Secondary</t>
  </si>
  <si>
    <t>Aluminum - MECs</t>
  </si>
  <si>
    <t>Pig Iron</t>
  </si>
  <si>
    <t>Steel</t>
  </si>
  <si>
    <t>Million Metric Tons Metal</t>
  </si>
  <si>
    <t>Iron &amp; Steel - MECs</t>
  </si>
  <si>
    <t>Ratio Difference</t>
  </si>
  <si>
    <t>Average of Differences</t>
  </si>
  <si>
    <t>Interpolated</t>
  </si>
  <si>
    <t>Modified</t>
  </si>
  <si>
    <t>Synthetic Rubber 2002 Data</t>
  </si>
  <si>
    <t>Ratio</t>
  </si>
  <si>
    <t>Petroleum</t>
  </si>
  <si>
    <t>http://www.eia.gov/emeu/efficiency/steel_data.htm</t>
  </si>
  <si>
    <t>  First Use/Ton of Steel</t>
  </si>
  <si>
    <t>(1000 Btu per Ton)</t>
  </si>
  <si>
    <t>Energy Source</t>
  </si>
  <si>
    <t>MECS Survey Year</t>
  </si>
  <si>
    <t>All Energy Sources</t>
  </si>
  <si>
    <t> Electricity</t>
  </si>
  <si>
    <t> Natural Gas</t>
  </si>
  <si>
    <t> Coal</t>
  </si>
  <si>
    <t> Coke and Breeze</t>
  </si>
  <si>
    <t>Iron and Steel Mills </t>
  </si>
  <si>
    <t>(NAICS1 331111)</t>
  </si>
  <si>
    <t>Total 3</t>
  </si>
  <si>
    <t>  Net Electricity 4</t>
  </si>
  <si>
    <t>  Natural Gas</t>
  </si>
  <si>
    <t>  Coal</t>
  </si>
  <si>
    <t>Million BTU / Ton</t>
  </si>
  <si>
    <t>Table 2a.  First Use for All Purposes (Primary Energy) by Selected Industries, 1985-1998</t>
  </si>
  <si>
    <t>(Trillion Btu)</t>
  </si>
  <si>
    <t xml:space="preserve"> </t>
  </si>
  <si>
    <t>SIC</t>
  </si>
  <si>
    <t>Group</t>
  </si>
  <si>
    <t>Food and Kindred Products</t>
  </si>
  <si>
    <t>Tobacco Products</t>
  </si>
  <si>
    <t>W</t>
  </si>
  <si>
    <t>Textile Mill Products</t>
  </si>
  <si>
    <t>Apparel and Other Textile Products</t>
  </si>
  <si>
    <t>Lumber and Wood Products</t>
  </si>
  <si>
    <t>Furniture and Fixtures</t>
  </si>
  <si>
    <t>Paper and Allied Products</t>
  </si>
  <si>
    <t>Printing and Publishing</t>
  </si>
  <si>
    <t>Chemicals and Allied Products</t>
  </si>
  <si>
    <t>Petroleum and Coal Products</t>
  </si>
  <si>
    <t>Rubber and Misc. Plastics Products</t>
  </si>
  <si>
    <t>Leather and Leather Products</t>
  </si>
  <si>
    <t>Stone Clay and Glass Products</t>
  </si>
  <si>
    <t>Primary Metal Industries</t>
  </si>
  <si>
    <t>Fabricated Metal Products</t>
  </si>
  <si>
    <t>Industrial Machinery and Equipment</t>
  </si>
  <si>
    <t>Electronic and Other Electric Equipment</t>
  </si>
  <si>
    <t>Transportation Equipment</t>
  </si>
  <si>
    <t>Instruments and Related Products</t>
  </si>
  <si>
    <t>Misc. Manufacturing Industries</t>
  </si>
  <si>
    <t xml:space="preserve">  Manufacturing</t>
  </si>
  <si>
    <t xml:space="preserve"> W=Withheld to avoid disclosing data for individual establishments.  </t>
  </si>
  <si>
    <t xml:space="preserve">Note: For 1998, nonfuel use by SIC 29 and 33 were witheld.  NAICS code 324 data is shown for SIC 29.  </t>
  </si>
  <si>
    <t xml:space="preserve">SIC 33 is calculated as the delta. </t>
  </si>
  <si>
    <t>Source:  Energy Information Administration (EIA), Manufacturing Energy Consumption Surveys (MECS)</t>
  </si>
  <si>
    <t>Trillion BTU</t>
  </si>
  <si>
    <t>Carbon Emissions</t>
  </si>
  <si>
    <t>MMtCO2e</t>
  </si>
  <si>
    <t>Refining - BBOO</t>
  </si>
  <si>
    <t>Iron &amp; Steel - USGS - Million Metric Tons</t>
  </si>
  <si>
    <t>Aluminum - USGS - Million Metric Tons</t>
  </si>
  <si>
    <t>Chemicals - Million Tons</t>
  </si>
  <si>
    <t>Thousand BTU / Ton</t>
  </si>
  <si>
    <t>Carbon Intensities</t>
  </si>
  <si>
    <t>MMTCE</t>
  </si>
  <si>
    <t>MMTCO2e</t>
  </si>
  <si>
    <t>atomic weight of carbon</t>
  </si>
  <si>
    <t>atomic weight of carbon dioxide</t>
  </si>
  <si>
    <t>Normalized Carbon Intensities</t>
  </si>
  <si>
    <t>1998 Data</t>
  </si>
  <si>
    <t>Cement</t>
  </si>
  <si>
    <t>Cement - Thousand Metric Tons</t>
  </si>
  <si>
    <t>Normalized Thousand BTU / Ton</t>
  </si>
  <si>
    <t>Stitched Intensities</t>
  </si>
  <si>
    <t>Factor</t>
  </si>
  <si>
    <t>Energy</t>
  </si>
  <si>
    <t>Emissions</t>
  </si>
  <si>
    <t>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</si>
</sst>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_(* #,##0_);_(* \(#,##0\);_(* &quot;-&quot;??_);_(@_)"/>
    <numFmt numFmtId="166" formatCode="_(* #,##0.0_);_(* \(#,##0.0\);_(* &quot;-&quot;??_);_(@_)"/>
    <numFmt numFmtId="168" formatCode="#,##0.000"/>
    <numFmt numFmtId="173" formatCode="0.0_)"/>
  </numFmts>
  <fonts count="35"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i/>
      <sz val="10"/>
      <name val="Arial"/>
      <family val="2"/>
    </font>
    <font>
      <vertAlign val="superscript"/>
      <sz val="10"/>
      <name val="Arial"/>
      <family val="2"/>
    </font>
    <font>
      <b/>
      <sz val="10"/>
      <name val="Arial"/>
      <family val="2"/>
    </font>
    <font>
      <b/>
      <vertAlign val="superscript"/>
      <sz val="10"/>
      <name val="Arial"/>
      <family val="2"/>
    </font>
    <font>
      <sz val="10"/>
      <name val="Courier"/>
      <family val="3"/>
    </font>
    <font>
      <sz val="10"/>
      <color indexed="8"/>
      <name val="Arial"/>
      <family val="2"/>
    </font>
    <font>
      <vertAlign val="superscript"/>
      <sz val="10"/>
      <color indexed="8"/>
      <name val="Arial"/>
      <family val="2"/>
    </font>
    <font>
      <sz val="12"/>
      <name val="Times New Roman"/>
      <family val="1"/>
    </font>
    <font>
      <sz val="9"/>
      <name val="Arial"/>
      <family val="2"/>
    </font>
    <font>
      <b/>
      <sz val="9"/>
      <name val="Arial"/>
      <family val="2"/>
    </font>
    <font>
      <i/>
      <sz val="9"/>
      <name val="Arial"/>
      <family val="2"/>
    </font>
    <font>
      <vertAlign val="superscript"/>
      <sz val="9"/>
      <name val="Arial"/>
      <family val="2"/>
    </font>
    <font>
      <sz val="11"/>
      <color rgb="FF000000"/>
      <name val="Calibri"/>
      <family val="2"/>
      <scheme val="minor"/>
    </font>
    <font>
      <sz val="7"/>
      <color rgb="FF000000"/>
      <name val="Arial"/>
      <family val="2"/>
    </font>
    <font>
      <vertAlign val="superscript"/>
      <sz val="5"/>
      <color rgb="FF000000"/>
      <name val="Arial"/>
      <family val="2"/>
    </font>
    <font>
      <sz val="7"/>
      <color indexed="8"/>
      <name val="Arial"/>
      <family val="2"/>
    </font>
    <font>
      <sz val="7"/>
      <color indexed="8"/>
      <name val="Symbol"/>
      <family val="1"/>
      <charset val="2"/>
    </font>
    <font>
      <b/>
      <sz val="7"/>
      <color indexed="8"/>
      <name val="Arial"/>
      <family val="2"/>
    </font>
    <font>
      <i/>
      <sz val="7"/>
      <color rgb="FF000000"/>
      <name val="Arial"/>
      <family val="2"/>
    </font>
    <font>
      <i/>
      <sz val="7"/>
      <color indexed="8"/>
      <name val="Arial"/>
      <family val="2"/>
    </font>
    <font>
      <sz val="7"/>
      <color rgb="FF000000"/>
      <name val="Symbol"/>
      <family val="1"/>
      <charset val="2"/>
    </font>
    <font>
      <u/>
      <sz val="11"/>
      <color rgb="FF0000FF"/>
      <name val="Calibri"/>
      <family val="2"/>
      <scheme val="minor"/>
    </font>
    <font>
      <vertAlign val="superscript"/>
      <sz val="5"/>
      <color indexed="8"/>
      <name val="Arial"/>
      <family val="2"/>
    </font>
    <font>
      <sz val="5"/>
      <color rgb="FF000000"/>
      <name val="Arial"/>
      <family val="2"/>
    </font>
    <font>
      <b/>
      <sz val="7"/>
      <color rgb="FF000000"/>
      <name val="Arial"/>
      <family val="2"/>
    </font>
    <font>
      <b/>
      <sz val="12"/>
      <color rgb="FF000000"/>
      <name val="Arial"/>
      <family val="2"/>
    </font>
    <font>
      <sz val="11"/>
      <color theme="1"/>
      <name val="Times New Roman"/>
      <family val="1"/>
    </font>
    <font>
      <b/>
      <sz val="10"/>
      <color rgb="FF000066"/>
      <name val="Arial"/>
      <family val="2"/>
    </font>
    <font>
      <sz val="10"/>
      <color rgb="FF000066"/>
      <name val="Arial"/>
      <family val="2"/>
    </font>
    <font>
      <sz val="10"/>
      <color rgb="FF000000"/>
      <name val="Arial"/>
      <family val="2"/>
    </font>
    <font>
      <sz val="9"/>
      <color rgb="FF000000"/>
      <name val="Arial"/>
      <family val="2"/>
    </font>
  </fonts>
  <fills count="6">
    <fill>
      <patternFill patternType="none"/>
    </fill>
    <fill>
      <patternFill patternType="gray125"/>
    </fill>
    <fill>
      <patternFill patternType="solid">
        <fgColor rgb="FFF0F0F0"/>
        <bgColor rgb="FF000000"/>
      </patternFill>
    </fill>
    <fill>
      <patternFill patternType="solid">
        <fgColor rgb="FFFFFFFF"/>
        <bgColor indexed="64"/>
      </patternFill>
    </fill>
    <fill>
      <patternFill patternType="solid">
        <fgColor rgb="FFE6E6E6"/>
        <bgColor indexed="64"/>
      </patternFill>
    </fill>
    <fill>
      <patternFill patternType="solid">
        <fgColor rgb="FFF4F4F4"/>
        <bgColor indexed="64"/>
      </patternFill>
    </fill>
  </fills>
  <borders count="18">
    <border>
      <left/>
      <right/>
      <top/>
      <bottom/>
      <diagonal/>
    </border>
    <border>
      <left/>
      <right/>
      <top style="thin">
        <color indexed="64"/>
      </top>
      <bottom/>
      <diagonal/>
    </border>
    <border>
      <left/>
      <right/>
      <top/>
      <bottom style="thin">
        <color indexed="64"/>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9">
    <xf numFmtId="0" fontId="0" fillId="0" borderId="0"/>
    <xf numFmtId="43" fontId="1" fillId="0" borderId="0" applyFont="0" applyFill="0" applyBorder="0" applyAlignment="0" applyProtection="0"/>
    <xf numFmtId="0" fontId="3" fillId="0" borderId="0"/>
    <xf numFmtId="0" fontId="8" fillId="0" borderId="0"/>
    <xf numFmtId="0" fontId="9" fillId="0" borderId="0"/>
    <xf numFmtId="43" fontId="3" fillId="0" borderId="0" applyFont="0" applyFill="0" applyBorder="0" applyAlignment="0" applyProtection="0"/>
    <xf numFmtId="0" fontId="16" fillId="0" borderId="0"/>
    <xf numFmtId="0" fontId="25" fillId="0" borderId="0" applyNumberFormat="0" applyFill="0" applyBorder="0" applyAlignment="0" applyProtection="0"/>
    <xf numFmtId="9" fontId="3" fillId="0" borderId="0" applyFont="0" applyFill="0" applyBorder="0" applyAlignment="0" applyProtection="0"/>
  </cellStyleXfs>
  <cellXfs count="159">
    <xf numFmtId="0" fontId="0" fillId="0" borderId="0" xfId="0"/>
    <xf numFmtId="0" fontId="3" fillId="0" borderId="0" xfId="2"/>
    <xf numFmtId="0" fontId="5" fillId="0" borderId="0" xfId="2" applyFont="1"/>
    <xf numFmtId="1" fontId="3" fillId="0" borderId="0" xfId="2" applyNumberFormat="1"/>
    <xf numFmtId="3" fontId="3" fillId="0" borderId="0" xfId="2" applyNumberFormat="1"/>
    <xf numFmtId="3" fontId="3" fillId="0" borderId="0" xfId="2" applyNumberFormat="1" applyAlignment="1">
      <alignment horizontal="right"/>
    </xf>
    <xf numFmtId="0" fontId="6" fillId="0" borderId="0" xfId="2" applyFont="1"/>
    <xf numFmtId="164" fontId="3" fillId="0" borderId="0" xfId="2" applyNumberFormat="1" applyAlignment="1">
      <alignment horizontal="right"/>
    </xf>
    <xf numFmtId="0" fontId="3" fillId="0" borderId="0" xfId="2" applyFont="1"/>
    <xf numFmtId="3" fontId="3" fillId="0" borderId="0" xfId="2" applyNumberFormat="1" applyFont="1"/>
    <xf numFmtId="3" fontId="6" fillId="0" borderId="0" xfId="2" applyNumberFormat="1" applyFont="1"/>
    <xf numFmtId="3" fontId="3" fillId="0" borderId="0" xfId="2" applyNumberFormat="1" applyFont="1" applyAlignment="1">
      <alignment horizontal="right"/>
    </xf>
    <xf numFmtId="0" fontId="6" fillId="0" borderId="0" xfId="2" applyFont="1" applyBorder="1" applyAlignment="1">
      <alignment horizontal="left"/>
    </xf>
    <xf numFmtId="0" fontId="3" fillId="0" borderId="0" xfId="2" applyBorder="1"/>
    <xf numFmtId="0" fontId="3" fillId="0" borderId="0" xfId="2" applyFont="1" applyBorder="1"/>
    <xf numFmtId="0" fontId="3" fillId="0" borderId="0" xfId="3" applyFont="1" applyBorder="1" applyAlignment="1" applyProtection="1">
      <alignment horizontal="left"/>
    </xf>
    <xf numFmtId="0" fontId="10" fillId="0" borderId="0" xfId="4" applyFont="1" applyFill="1" applyBorder="1" applyAlignment="1">
      <alignment horizontal="left"/>
    </xf>
    <xf numFmtId="0" fontId="9" fillId="0" borderId="0" xfId="4" applyFont="1" applyFill="1" applyBorder="1" applyAlignment="1">
      <alignment horizontal="left"/>
    </xf>
    <xf numFmtId="3" fontId="3" fillId="0" borderId="0" xfId="2" applyNumberFormat="1" applyFill="1" applyBorder="1"/>
    <xf numFmtId="164" fontId="3" fillId="0" borderId="0" xfId="2" applyNumberFormat="1" applyFont="1" applyBorder="1"/>
    <xf numFmtId="164" fontId="3" fillId="0" borderId="0" xfId="2" applyNumberFormat="1" applyFont="1" applyBorder="1" applyAlignment="1">
      <alignment horizontal="right"/>
    </xf>
    <xf numFmtId="164" fontId="3" fillId="0" borderId="0" xfId="2" applyNumberFormat="1" applyFill="1" applyBorder="1"/>
    <xf numFmtId="0" fontId="3" fillId="0" borderId="0" xfId="3" applyFont="1" applyBorder="1" applyAlignment="1" applyProtection="1">
      <alignment horizontal="left" wrapText="1"/>
    </xf>
    <xf numFmtId="0" fontId="6" fillId="0" borderId="0" xfId="2" applyFont="1" applyBorder="1"/>
    <xf numFmtId="2" fontId="3" fillId="0" borderId="0" xfId="3" applyNumberFormat="1" applyFont="1" applyBorder="1" applyAlignment="1" applyProtection="1">
      <alignment horizontal="left" wrapText="1"/>
    </xf>
    <xf numFmtId="2" fontId="3" fillId="0" borderId="0" xfId="2" applyNumberFormat="1" applyFont="1"/>
    <xf numFmtId="4" fontId="3" fillId="0" borderId="0" xfId="2" applyNumberFormat="1" applyFill="1" applyBorder="1"/>
    <xf numFmtId="0" fontId="3" fillId="0" borderId="0" xfId="2" applyFill="1" applyBorder="1"/>
    <xf numFmtId="0" fontId="6" fillId="0" borderId="0" xfId="2" applyFont="1" applyFill="1" applyBorder="1" applyAlignment="1">
      <alignment horizontal="right"/>
    </xf>
    <xf numFmtId="0" fontId="6" fillId="0" borderId="0" xfId="2" applyFont="1" applyBorder="1" applyAlignment="1">
      <alignment vertical="center"/>
    </xf>
    <xf numFmtId="0" fontId="11" fillId="0" borderId="0" xfId="2" applyFont="1"/>
    <xf numFmtId="0" fontId="4" fillId="0" borderId="0" xfId="2" applyFont="1"/>
    <xf numFmtId="164" fontId="3" fillId="0" borderId="0" xfId="2" applyNumberFormat="1"/>
    <xf numFmtId="0" fontId="3" fillId="0" borderId="0" xfId="2" applyFont="1" applyAlignment="1">
      <alignment horizontal="right"/>
    </xf>
    <xf numFmtId="0" fontId="12" fillId="0" borderId="0" xfId="2" applyFont="1" applyAlignment="1">
      <alignment wrapText="1"/>
    </xf>
    <xf numFmtId="0" fontId="12" fillId="0" borderId="0" xfId="2" applyFont="1"/>
    <xf numFmtId="0" fontId="15" fillId="0" borderId="0" xfId="2" applyFont="1"/>
    <xf numFmtId="0" fontId="12" fillId="0" borderId="1" xfId="2" applyFont="1" applyBorder="1"/>
    <xf numFmtId="1" fontId="3" fillId="0" borderId="0" xfId="2" applyNumberFormat="1" applyBorder="1"/>
    <xf numFmtId="1" fontId="3" fillId="0" borderId="2" xfId="2" applyNumberFormat="1" applyBorder="1"/>
    <xf numFmtId="3" fontId="0" fillId="0" borderId="0" xfId="5" applyNumberFormat="1" applyFont="1"/>
    <xf numFmtId="1" fontId="3" fillId="0" borderId="0" xfId="2" applyNumberFormat="1" applyFont="1"/>
    <xf numFmtId="0" fontId="3" fillId="0" borderId="0" xfId="2" applyFont="1" applyAlignment="1">
      <alignment horizontal="left"/>
    </xf>
    <xf numFmtId="0" fontId="6" fillId="0" borderId="2" xfId="2" applyFont="1" applyBorder="1" applyAlignment="1">
      <alignment horizontal="center" wrapText="1"/>
    </xf>
    <xf numFmtId="0" fontId="12" fillId="0" borderId="0" xfId="2" applyFont="1" applyBorder="1" applyAlignment="1">
      <alignment horizontal="left"/>
    </xf>
    <xf numFmtId="1" fontId="3" fillId="0" borderId="0" xfId="2" applyNumberFormat="1" applyAlignment="1">
      <alignment horizontal="right"/>
    </xf>
    <xf numFmtId="3" fontId="3" fillId="0" borderId="0" xfId="5" applyNumberFormat="1" applyFont="1"/>
    <xf numFmtId="0" fontId="3" fillId="0" borderId="2" xfId="2" applyBorder="1"/>
    <xf numFmtId="0" fontId="3" fillId="0" borderId="1" xfId="2" applyBorder="1" applyAlignment="1"/>
    <xf numFmtId="0" fontId="15" fillId="0" borderId="0" xfId="2" applyFont="1" applyAlignment="1">
      <alignment wrapText="1"/>
    </xf>
    <xf numFmtId="0" fontId="3" fillId="0" borderId="0" xfId="2" applyAlignment="1"/>
    <xf numFmtId="0" fontId="12" fillId="0" borderId="0" xfId="2" applyFont="1" applyAlignment="1"/>
    <xf numFmtId="165" fontId="0" fillId="0" borderId="0" xfId="5" applyNumberFormat="1" applyFont="1"/>
    <xf numFmtId="1" fontId="3" fillId="0" borderId="0" xfId="2" applyNumberFormat="1" applyAlignment="1">
      <alignment horizontal="center" wrapText="1"/>
    </xf>
    <xf numFmtId="0" fontId="3" fillId="0" borderId="0" xfId="2" applyAlignment="1">
      <alignment horizontal="left"/>
    </xf>
    <xf numFmtId="1" fontId="0" fillId="0" borderId="0" xfId="5" applyNumberFormat="1" applyFont="1"/>
    <xf numFmtId="166" fontId="0" fillId="0" borderId="2" xfId="5" applyNumberFormat="1" applyFont="1" applyBorder="1"/>
    <xf numFmtId="0" fontId="12" fillId="0" borderId="1" xfId="2" applyFont="1" applyBorder="1" applyAlignment="1"/>
    <xf numFmtId="0" fontId="15" fillId="0" borderId="0" xfId="2" applyFont="1" applyAlignment="1"/>
    <xf numFmtId="0" fontId="12" fillId="0" borderId="0" xfId="2" applyFont="1" applyAlignment="1"/>
    <xf numFmtId="3" fontId="0" fillId="0" borderId="0" xfId="0" applyNumberFormat="1"/>
    <xf numFmtId="0" fontId="16" fillId="0" borderId="0" xfId="6" applyFont="1"/>
    <xf numFmtId="0" fontId="16" fillId="0" borderId="3" xfId="6" applyFont="1" applyBorder="1" applyAlignment="1">
      <alignment wrapText="1"/>
    </xf>
    <xf numFmtId="0" fontId="16" fillId="0" borderId="4" xfId="6" applyFont="1" applyBorder="1" applyAlignment="1">
      <alignment wrapText="1"/>
    </xf>
    <xf numFmtId="0" fontId="17" fillId="0" borderId="4" xfId="6" applyFont="1" applyBorder="1" applyAlignment="1">
      <alignment vertical="top" wrapText="1"/>
    </xf>
    <xf numFmtId="0" fontId="17" fillId="0" borderId="5" xfId="6" applyFont="1" applyBorder="1" applyAlignment="1">
      <alignment vertical="top" wrapText="1"/>
    </xf>
    <xf numFmtId="0" fontId="16" fillId="0" borderId="6" xfId="6" applyFont="1" applyBorder="1" applyAlignment="1">
      <alignment wrapText="1"/>
    </xf>
    <xf numFmtId="0" fontId="16" fillId="0" borderId="0" xfId="6" applyFont="1" applyAlignment="1">
      <alignment wrapText="1"/>
    </xf>
    <xf numFmtId="0" fontId="17" fillId="0" borderId="0" xfId="6" applyFont="1" applyBorder="1" applyAlignment="1">
      <alignment vertical="top" wrapText="1"/>
    </xf>
    <xf numFmtId="0" fontId="17" fillId="0" borderId="7" xfId="6" applyFont="1" applyBorder="1" applyAlignment="1">
      <alignment vertical="top" wrapText="1"/>
    </xf>
    <xf numFmtId="0" fontId="18" fillId="0" borderId="0" xfId="6" applyFont="1" applyBorder="1" applyAlignment="1">
      <alignment vertical="top" wrapText="1"/>
    </xf>
    <xf numFmtId="0" fontId="18" fillId="0" borderId="7" xfId="6" applyFont="1" applyBorder="1" applyAlignment="1">
      <alignment vertical="top" wrapText="1"/>
    </xf>
    <xf numFmtId="0" fontId="17" fillId="0" borderId="6" xfId="6" applyFont="1" applyBorder="1" applyAlignment="1">
      <alignment vertical="top" wrapText="1"/>
    </xf>
    <xf numFmtId="0" fontId="17" fillId="0" borderId="0" xfId="6" applyFont="1" applyAlignment="1">
      <alignment vertical="top" wrapText="1"/>
    </xf>
    <xf numFmtId="0" fontId="22" fillId="0" borderId="6" xfId="6" applyFont="1" applyBorder="1" applyAlignment="1">
      <alignment vertical="top" wrapText="1"/>
    </xf>
    <xf numFmtId="0" fontId="22" fillId="0" borderId="0" xfId="6" applyFont="1" applyAlignment="1">
      <alignment vertical="top" wrapText="1"/>
    </xf>
    <xf numFmtId="0" fontId="24" fillId="0" borderId="6" xfId="6" applyFont="1" applyBorder="1" applyAlignment="1">
      <alignment vertical="top" wrapText="1"/>
    </xf>
    <xf numFmtId="0" fontId="24" fillId="0" borderId="0" xfId="6" applyFont="1" applyAlignment="1">
      <alignment vertical="top" wrapText="1"/>
    </xf>
    <xf numFmtId="0" fontId="25" fillId="0" borderId="6" xfId="7" applyBorder="1" applyAlignment="1">
      <alignment vertical="top" wrapText="1"/>
    </xf>
    <xf numFmtId="0" fontId="25" fillId="0" borderId="0" xfId="7" applyBorder="1" applyAlignment="1">
      <alignment vertical="top" wrapText="1"/>
    </xf>
    <xf numFmtId="0" fontId="17" fillId="0" borderId="8" xfId="6" applyFont="1" applyBorder="1" applyAlignment="1">
      <alignment vertical="top" wrapText="1"/>
    </xf>
    <xf numFmtId="0" fontId="17" fillId="0" borderId="9" xfId="6" applyFont="1" applyBorder="1" applyAlignment="1">
      <alignment vertical="top" wrapText="1"/>
    </xf>
    <xf numFmtId="0" fontId="18" fillId="0" borderId="9" xfId="6" applyFont="1" applyBorder="1" applyAlignment="1">
      <alignment vertical="top" wrapText="1"/>
    </xf>
    <xf numFmtId="0" fontId="18" fillId="0" borderId="10" xfId="6" applyFont="1" applyBorder="1" applyAlignment="1">
      <alignment vertical="top" wrapText="1"/>
    </xf>
    <xf numFmtId="0" fontId="16" fillId="0" borderId="3" xfId="6" applyFont="1" applyBorder="1" applyAlignment="1">
      <alignment horizontal="right" wrapText="1"/>
    </xf>
    <xf numFmtId="0" fontId="17" fillId="0" borderId="3" xfId="6" applyFont="1" applyBorder="1" applyAlignment="1">
      <alignment horizontal="right" wrapText="1"/>
    </xf>
    <xf numFmtId="3" fontId="17" fillId="0" borderId="3" xfId="6" applyNumberFormat="1" applyFont="1" applyBorder="1" applyAlignment="1">
      <alignment horizontal="right" wrapText="1"/>
    </xf>
    <xf numFmtId="0" fontId="17" fillId="0" borderId="11" xfId="6" applyFont="1" applyBorder="1" applyAlignment="1">
      <alignment horizontal="left"/>
    </xf>
    <xf numFmtId="0" fontId="27" fillId="0" borderId="3" xfId="6" applyFont="1" applyBorder="1" applyAlignment="1">
      <alignment horizontal="center" wrapText="1"/>
    </xf>
    <xf numFmtId="0" fontId="16" fillId="2" borderId="3" xfId="6" applyFont="1" applyFill="1" applyBorder="1" applyAlignment="1">
      <alignment horizontal="right" wrapText="1"/>
    </xf>
    <xf numFmtId="0" fontId="17" fillId="2" borderId="3" xfId="6" applyFont="1" applyFill="1" applyBorder="1" applyAlignment="1">
      <alignment horizontal="right" wrapText="1"/>
    </xf>
    <xf numFmtId="3" fontId="17" fillId="2" borderId="3" xfId="6" applyNumberFormat="1" applyFont="1" applyFill="1" applyBorder="1" applyAlignment="1">
      <alignment horizontal="right" wrapText="1"/>
    </xf>
    <xf numFmtId="0" fontId="17" fillId="2" borderId="11" xfId="6" applyFont="1" applyFill="1" applyBorder="1" applyAlignment="1">
      <alignment horizontal="left"/>
    </xf>
    <xf numFmtId="0" fontId="17" fillId="0" borderId="12" xfId="6" applyFont="1" applyBorder="1" applyAlignment="1">
      <alignment horizontal="center" wrapText="1"/>
    </xf>
    <xf numFmtId="0" fontId="17" fillId="0" borderId="13" xfId="6" applyFont="1" applyBorder="1" applyAlignment="1">
      <alignment horizontal="center" wrapText="1"/>
    </xf>
    <xf numFmtId="0" fontId="17" fillId="0" borderId="14" xfId="6" applyFont="1" applyBorder="1" applyAlignment="1">
      <alignment horizontal="center" wrapText="1"/>
    </xf>
    <xf numFmtId="0" fontId="17" fillId="0" borderId="3" xfId="6" applyFont="1" applyBorder="1" applyAlignment="1">
      <alignment horizontal="center" wrapText="1"/>
    </xf>
    <xf numFmtId="0" fontId="28" fillId="0" borderId="11" xfId="6" applyFont="1" applyBorder="1" applyAlignment="1">
      <alignment horizontal="center" wrapText="1"/>
    </xf>
    <xf numFmtId="0" fontId="28" fillId="0" borderId="3" xfId="6" applyFont="1" applyBorder="1" applyAlignment="1">
      <alignment horizontal="center" wrapText="1"/>
    </xf>
    <xf numFmtId="0" fontId="28" fillId="0" borderId="5" xfId="6" applyFont="1" applyBorder="1" applyAlignment="1">
      <alignment horizontal="center" wrapText="1"/>
    </xf>
    <xf numFmtId="0" fontId="28" fillId="0" borderId="12" xfId="6" applyFont="1" applyBorder="1" applyAlignment="1">
      <alignment horizontal="center" wrapText="1"/>
    </xf>
    <xf numFmtId="0" fontId="28" fillId="0" borderId="13" xfId="6" applyFont="1" applyBorder="1" applyAlignment="1">
      <alignment horizontal="center" wrapText="1"/>
    </xf>
    <xf numFmtId="0" fontId="28" fillId="0" borderId="3" xfId="6" applyFont="1" applyBorder="1" applyAlignment="1">
      <alignment horizontal="center" wrapText="1"/>
    </xf>
    <xf numFmtId="0" fontId="28" fillId="0" borderId="15" xfId="6" applyFont="1" applyBorder="1" applyAlignment="1">
      <alignment horizontal="center" wrapText="1"/>
    </xf>
    <xf numFmtId="0" fontId="28" fillId="0" borderId="6" xfId="6" applyFont="1" applyBorder="1" applyAlignment="1">
      <alignment horizontal="center" wrapText="1"/>
    </xf>
    <xf numFmtId="0" fontId="28" fillId="0" borderId="7" xfId="6" applyFont="1" applyBorder="1" applyAlignment="1">
      <alignment horizontal="center" wrapText="1"/>
    </xf>
    <xf numFmtId="0" fontId="28" fillId="0" borderId="4" xfId="6" applyFont="1" applyBorder="1" applyAlignment="1">
      <alignment horizontal="center" wrapText="1"/>
    </xf>
    <xf numFmtId="0" fontId="28" fillId="0" borderId="6" xfId="6" applyFont="1" applyBorder="1" applyAlignment="1">
      <alignment horizontal="center" wrapText="1"/>
    </xf>
    <xf numFmtId="0" fontId="28" fillId="0" borderId="8" xfId="6" applyFont="1" applyBorder="1" applyAlignment="1">
      <alignment horizontal="center" wrapText="1"/>
    </xf>
    <xf numFmtId="0" fontId="28" fillId="0" borderId="10" xfId="6" applyFont="1" applyBorder="1" applyAlignment="1">
      <alignment horizontal="center" wrapText="1"/>
    </xf>
    <xf numFmtId="0" fontId="16" fillId="0" borderId="8" xfId="6" applyFont="1" applyBorder="1" applyAlignment="1">
      <alignment horizontal="center" wrapText="1"/>
    </xf>
    <xf numFmtId="0" fontId="16" fillId="0" borderId="10" xfId="6" applyFont="1" applyBorder="1" applyAlignment="1">
      <alignment horizontal="center" wrapText="1"/>
    </xf>
    <xf numFmtId="0" fontId="28" fillId="0" borderId="9" xfId="6" applyFont="1" applyBorder="1" applyAlignment="1">
      <alignment horizontal="center" wrapText="1"/>
    </xf>
    <xf numFmtId="0" fontId="16" fillId="0" borderId="6" xfId="6" applyFont="1" applyBorder="1" applyAlignment="1">
      <alignment horizontal="center" wrapText="1"/>
    </xf>
    <xf numFmtId="0" fontId="28" fillId="0" borderId="16" xfId="6" applyFont="1" applyBorder="1" applyAlignment="1">
      <alignment horizontal="center" wrapText="1"/>
    </xf>
    <xf numFmtId="0" fontId="29" fillId="0" borderId="12" xfId="6" applyFont="1" applyBorder="1" applyAlignment="1">
      <alignment horizontal="left" wrapText="1"/>
    </xf>
    <xf numFmtId="0" fontId="29" fillId="0" borderId="14" xfId="6" applyFont="1" applyBorder="1" applyAlignment="1">
      <alignment horizontal="left" wrapText="1"/>
    </xf>
    <xf numFmtId="0" fontId="29" fillId="0" borderId="13" xfId="6" applyFont="1" applyBorder="1" applyAlignment="1">
      <alignment horizontal="left" wrapText="1"/>
    </xf>
    <xf numFmtId="43" fontId="0" fillId="0" borderId="0" xfId="1" applyFont="1"/>
    <xf numFmtId="3" fontId="16" fillId="0" borderId="0" xfId="6" applyNumberFormat="1" applyFont="1"/>
    <xf numFmtId="3" fontId="2" fillId="0" borderId="0" xfId="0" applyNumberFormat="1" applyFont="1"/>
    <xf numFmtId="0" fontId="2" fillId="0" borderId="0" xfId="0" applyFont="1"/>
    <xf numFmtId="4" fontId="0" fillId="0" borderId="0" xfId="0" applyNumberFormat="1"/>
    <xf numFmtId="168" fontId="0" fillId="0" borderId="0" xfId="0" applyNumberFormat="1"/>
    <xf numFmtId="1" fontId="0" fillId="0" borderId="0" xfId="0" applyNumberFormat="1"/>
    <xf numFmtId="0" fontId="25" fillId="0" borderId="0" xfId="7"/>
    <xf numFmtId="0" fontId="0" fillId="3" borderId="0" xfId="0" applyFill="1"/>
    <xf numFmtId="0" fontId="31" fillId="3" borderId="17" xfId="0" applyFont="1" applyFill="1" applyBorder="1" applyAlignment="1">
      <alignment horizontal="center" vertical="center" wrapText="1"/>
    </xf>
    <xf numFmtId="0" fontId="30" fillId="3" borderId="17" xfId="0" applyFont="1" applyFill="1" applyBorder="1" applyAlignment="1">
      <alignment horizontal="right" vertical="center" wrapText="1"/>
    </xf>
    <xf numFmtId="0" fontId="31" fillId="4" borderId="17" xfId="0" applyFont="1" applyFill="1" applyBorder="1" applyAlignment="1">
      <alignment horizontal="left" vertical="center" wrapText="1"/>
    </xf>
    <xf numFmtId="3" fontId="32" fillId="4" borderId="17" xfId="0" applyNumberFormat="1" applyFont="1" applyFill="1" applyBorder="1" applyAlignment="1">
      <alignment horizontal="right" vertical="center" wrapText="1"/>
    </xf>
    <xf numFmtId="0" fontId="31" fillId="3" borderId="17" xfId="0" applyFont="1" applyFill="1" applyBorder="1" applyAlignment="1">
      <alignment horizontal="left" vertical="center" wrapText="1"/>
    </xf>
    <xf numFmtId="3" fontId="32" fillId="3" borderId="17" xfId="0" applyNumberFormat="1" applyFont="1" applyFill="1" applyBorder="1" applyAlignment="1">
      <alignment horizontal="right" vertical="center" wrapText="1"/>
    </xf>
    <xf numFmtId="0" fontId="32" fillId="4" borderId="17" xfId="0" applyFont="1" applyFill="1" applyBorder="1" applyAlignment="1">
      <alignment horizontal="right" vertical="center" wrapText="1"/>
    </xf>
    <xf numFmtId="0" fontId="25" fillId="3" borderId="13" xfId="7" applyFill="1" applyBorder="1" applyAlignment="1">
      <alignment horizontal="center" vertical="center" wrapText="1"/>
    </xf>
    <xf numFmtId="0" fontId="25" fillId="3" borderId="14" xfId="7" applyFill="1" applyBorder="1" applyAlignment="1">
      <alignment horizontal="center" vertical="center" wrapText="1"/>
    </xf>
    <xf numFmtId="0" fontId="25" fillId="3" borderId="12" xfId="7" applyFill="1" applyBorder="1" applyAlignment="1">
      <alignment horizontal="center" vertical="center" wrapText="1"/>
    </xf>
    <xf numFmtId="0" fontId="31" fillId="3" borderId="13" xfId="0" applyFont="1" applyFill="1" applyBorder="1" applyAlignment="1">
      <alignment horizontal="center" vertical="center" wrapText="1"/>
    </xf>
    <xf numFmtId="0" fontId="31" fillId="3" borderId="14" xfId="0" applyFont="1" applyFill="1" applyBorder="1" applyAlignment="1">
      <alignment horizontal="center" vertical="center" wrapText="1"/>
    </xf>
    <xf numFmtId="0" fontId="31" fillId="3" borderId="12" xfId="0" applyFont="1" applyFill="1" applyBorder="1" applyAlignment="1">
      <alignment horizontal="center" vertical="center" wrapText="1"/>
    </xf>
    <xf numFmtId="3" fontId="32" fillId="4" borderId="13" xfId="0" applyNumberFormat="1" applyFont="1" applyFill="1" applyBorder="1" applyAlignment="1">
      <alignment horizontal="right" vertical="center" wrapText="1"/>
    </xf>
    <xf numFmtId="3" fontId="32" fillId="4" borderId="12" xfId="0" applyNumberFormat="1" applyFont="1" applyFill="1" applyBorder="1" applyAlignment="1">
      <alignment horizontal="right" vertical="center" wrapText="1"/>
    </xf>
    <xf numFmtId="3" fontId="32" fillId="3" borderId="13" xfId="0" applyNumberFormat="1" applyFont="1" applyFill="1" applyBorder="1" applyAlignment="1">
      <alignment horizontal="right" vertical="center" wrapText="1"/>
    </xf>
    <xf numFmtId="3" fontId="32" fillId="3" borderId="12" xfId="0" applyNumberFormat="1" applyFont="1" applyFill="1" applyBorder="1" applyAlignment="1">
      <alignment horizontal="right" vertical="center" wrapText="1"/>
    </xf>
    <xf numFmtId="0" fontId="32" fillId="4" borderId="13" xfId="0" applyFont="1" applyFill="1" applyBorder="1" applyAlignment="1">
      <alignment horizontal="right" vertical="center" wrapText="1"/>
    </xf>
    <xf numFmtId="0" fontId="32" fillId="4" borderId="12" xfId="0" applyFont="1" applyFill="1" applyBorder="1" applyAlignment="1">
      <alignment horizontal="right" vertical="center" wrapText="1"/>
    </xf>
    <xf numFmtId="0" fontId="34" fillId="5" borderId="0" xfId="0" applyFont="1" applyFill="1" applyAlignment="1">
      <alignment horizontal="left" vertical="center" wrapText="1"/>
    </xf>
    <xf numFmtId="0" fontId="25" fillId="5" borderId="0" xfId="7" applyFill="1" applyAlignment="1">
      <alignment horizontal="left" vertical="center" wrapText="1"/>
    </xf>
    <xf numFmtId="0" fontId="25" fillId="3" borderId="0" xfId="7" applyFill="1" applyAlignment="1">
      <alignment horizontal="left" vertical="center" wrapText="1"/>
    </xf>
    <xf numFmtId="0" fontId="33" fillId="3" borderId="0" xfId="0" applyFont="1" applyFill="1" applyAlignment="1">
      <alignment horizontal="left" vertical="center" wrapText="1"/>
    </xf>
    <xf numFmtId="0" fontId="33" fillId="5" borderId="0" xfId="0" applyFont="1" applyFill="1" applyAlignment="1">
      <alignment horizontal="left" vertical="center" wrapText="1"/>
    </xf>
    <xf numFmtId="0" fontId="25" fillId="5" borderId="0" xfId="7" applyFill="1" applyAlignment="1">
      <alignment horizontal="left" vertical="center" wrapText="1"/>
    </xf>
    <xf numFmtId="0" fontId="33" fillId="5" borderId="0" xfId="0" applyFont="1" applyFill="1" applyAlignment="1">
      <alignment horizontal="center" vertical="center" wrapText="1"/>
    </xf>
    <xf numFmtId="0" fontId="6" fillId="0" borderId="0" xfId="2" applyFont="1" applyFill="1" applyAlignment="1">
      <alignment horizontal="right"/>
    </xf>
    <xf numFmtId="165" fontId="0" fillId="0" borderId="0" xfId="5" applyNumberFormat="1" applyFont="1" applyAlignment="1">
      <alignment horizontal="right"/>
    </xf>
    <xf numFmtId="164" fontId="3" fillId="0" borderId="0" xfId="2" applyNumberFormat="1" applyFont="1" applyAlignment="1">
      <alignment horizontal="right"/>
    </xf>
    <xf numFmtId="173" fontId="0" fillId="0" borderId="0" xfId="0" applyNumberFormat="1" applyProtection="1"/>
    <xf numFmtId="43" fontId="0" fillId="0" borderId="0" xfId="0" applyNumberFormat="1"/>
    <xf numFmtId="0" fontId="0" fillId="0" borderId="0" xfId="0" applyFont="1"/>
  </cellXfs>
  <cellStyles count="9">
    <cellStyle name="Comma" xfId="1" builtinId="3"/>
    <cellStyle name="Comma 2" xfId="5"/>
    <cellStyle name="Hyperlink" xfId="7" builtinId="8"/>
    <cellStyle name="Normal" xfId="0" builtinId="0"/>
    <cellStyle name="Normal 2" xfId="2"/>
    <cellStyle name="Normal 3" xfId="6"/>
    <cellStyle name="Normal_33" xfId="4"/>
    <cellStyle name="Normal_Sheet2" xfId="3"/>
    <cellStyle name="Percent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externalLink" Target="externalLinks/externalLink20.xml"/><Relationship Id="rId40" Type="http://schemas.openxmlformats.org/officeDocument/2006/relationships/externalLink" Target="externalLinks/externalLink2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lobal%20Product/USA/Industry/EIA/MECS/1998-2006/MECS_1998-2006%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Global%20Product/USA/Industry/EIA/2009/Iron%20and%20Stee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Global%20Product/USA/Industry/EIA/2009/Refini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Global%20Product/USA/Industry/EIA/2009/Bulk%20Chemic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Global%20Product/USA/Industry/EIA/2012/EARLY2012-Aluminum_Industry_Energy_Consumpti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Global%20Product/USA/Industry/EIA/2012/EARLY2012-Iron_and_Steel_Industries_Energy_Consumptio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Global%20Product/USA/Industry/EIA/2012/EARLY2012-Refining_Industry_Energy_Consumptio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Global%20Product/USA/Industry/EIA/2012/EARLY2012-Bulk_Chemical_Industry_Energy_Consumptio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lobal%20Product/USA/Industry/USGS/Cement/20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Global%20Product/USA/Industry/USGS/Cement/200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Global%20Product/USA/Industry/USGS/Cement/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lobal%20Product/USA/Industry/EIA/2001/1999%20Dat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Global%20Product/USA/Industry/EIA/2004/Cemen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Global%20Product/USA/Industry/EIA/2005/Cemen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Global%20Product/USA/Industry/EIA/2009/Cemen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Global%20Product/USA/Industry/EIA/2012/EARLY2012-Cement_Industry_Energy_Consump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lobal%20Product/USA/Industry/EIA/2001/2001%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lobal%20Product/USA/Industry/EIA/2003/2003%20Dat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lobal%20Product/USA/Industry/EIA/2006/Aluminu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Product/USA/Industry/EIA/2006/Bulk%20Chemical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lobal%20Product/USA/Industry/EIA/2006/Refin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Global%20Product/USA/Industry/EIA/2006/Iron%20and%20Stee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lobal%20Product/USA/Industry/EIA/2009/Aluminu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A VS ASM"/>
      <sheetName val="Table1a"/>
      <sheetName val="Table1b"/>
      <sheetName val="Table1c"/>
      <sheetName val="Table1d"/>
      <sheetName val="Table2a"/>
      <sheetName val="Table2b"/>
      <sheetName val="Table 2c"/>
      <sheetName val="vALUE ADDED 2002"/>
      <sheetName val="Charles_Gilbert"/>
      <sheetName val="Value Adeed deflator"/>
      <sheetName val="Value Added 2006"/>
      <sheetName val="Table 3a"/>
      <sheetName val="Table 3b"/>
      <sheetName val="Table 3c"/>
      <sheetName val="Table 3d"/>
      <sheetName val="Table 3e"/>
      <sheetName val="Table 3f"/>
      <sheetName val="Electricity"/>
      <sheetName val="Table 4e"/>
      <sheetName val="Table 4a"/>
      <sheetName val="Table 4b"/>
      <sheetName val="Table 4c"/>
      <sheetName val="Table 4d"/>
      <sheetName val="Table 4f "/>
      <sheetName val="Table 5a"/>
      <sheetName val="Table 5b"/>
      <sheetName val="Table 5c"/>
      <sheetName val="Table 5d"/>
      <sheetName val="Graphs"/>
      <sheetName val="Table 5e"/>
      <sheetName val="Table 5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22">
          <cell r="A22" t="str">
            <v>Table 5d. Economic and Physical Indicators for Basic Chemicals, 1988, 2002, and 2006</v>
          </cell>
        </row>
      </sheetData>
      <sheetData sheetId="29"/>
      <sheetData sheetId="30"/>
      <sheetData sheetId="3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im2"/>
    </sheetNames>
    <sheetDataSet>
      <sheetData sheetId="0">
        <row r="27">
          <cell r="B27">
            <v>1512.37524414063</v>
          </cell>
          <cell r="C27">
            <v>1467.46618652344</v>
          </cell>
          <cell r="D27">
            <v>1462.91027832031</v>
          </cell>
        </row>
        <row r="44">
          <cell r="B44">
            <v>141.38932800293</v>
          </cell>
          <cell r="C44">
            <v>137.34507751464801</v>
          </cell>
          <cell r="D44">
            <v>135.75735473632801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im2"/>
    </sheetNames>
    <sheetDataSet>
      <sheetData sheetId="0">
        <row r="30">
          <cell r="B30">
            <v>3936.18139648438</v>
          </cell>
          <cell r="C30">
            <v>4026.31762695313</v>
          </cell>
          <cell r="D30">
            <v>4710.6513671875</v>
          </cell>
        </row>
        <row r="32">
          <cell r="B32">
            <v>250.67417907714801</v>
          </cell>
          <cell r="C32">
            <v>251.29504394531301</v>
          </cell>
          <cell r="D32">
            <v>263.36270141601602</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im2"/>
    </sheetNames>
    <sheetDataSet>
      <sheetData sheetId="0">
        <row r="33">
          <cell r="B33">
            <v>6863.5849609375</v>
          </cell>
          <cell r="C33">
            <v>6868.4130859375</v>
          </cell>
          <cell r="D33">
            <v>6709.6982421875</v>
          </cell>
        </row>
        <row r="56">
          <cell r="B56">
            <v>313.48623657226602</v>
          </cell>
          <cell r="C56">
            <v>313.83184814453102</v>
          </cell>
          <cell r="D56">
            <v>303.70300292968801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RLY2012-Aluminum_Industry_Ene"/>
    </sheetNames>
    <sheetDataSet>
      <sheetData sheetId="0">
        <row r="19">
          <cell r="B19">
            <v>229.5</v>
          </cell>
          <cell r="C19">
            <v>265</v>
          </cell>
          <cell r="D19">
            <v>270.7</v>
          </cell>
          <cell r="F19">
            <v>268.60000000000002</v>
          </cell>
        </row>
        <row r="36">
          <cell r="B36">
            <v>27.6</v>
          </cell>
          <cell r="C36">
            <v>30.9</v>
          </cell>
          <cell r="D36">
            <v>30.7</v>
          </cell>
          <cell r="F36">
            <v>29.9</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RLY2012-Iron_and_Steel_Indust"/>
    </sheetNames>
    <sheetDataSet>
      <sheetData sheetId="0">
        <row r="20">
          <cell r="B20">
            <v>1006</v>
          </cell>
          <cell r="C20">
            <v>1255.8</v>
          </cell>
          <cell r="D20">
            <v>1359.2</v>
          </cell>
          <cell r="F20">
            <v>1332.1</v>
          </cell>
        </row>
        <row r="38">
          <cell r="B38">
            <v>91.9</v>
          </cell>
          <cell r="C38">
            <v>116.7</v>
          </cell>
          <cell r="D38">
            <v>126.2</v>
          </cell>
          <cell r="F38">
            <v>122.2</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RLY2012-Refining_Industry_Ene"/>
    </sheetNames>
    <sheetDataSet>
      <sheetData sheetId="0">
        <row r="22">
          <cell r="B22">
            <v>3687.7</v>
          </cell>
          <cell r="C22">
            <v>3751.9</v>
          </cell>
          <cell r="D22">
            <v>3821.4</v>
          </cell>
          <cell r="F22">
            <v>3805.3</v>
          </cell>
        </row>
        <row r="42">
          <cell r="B42">
            <v>203.7</v>
          </cell>
          <cell r="C42">
            <v>203.9</v>
          </cell>
          <cell r="D42">
            <v>205.7</v>
          </cell>
          <cell r="F42">
            <v>208.2</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RLY2012-Bulk_Chemical_Industr"/>
    </sheetNames>
    <sheetDataSet>
      <sheetData sheetId="0">
        <row r="26">
          <cell r="B26">
            <v>4736</v>
          </cell>
          <cell r="C26">
            <v>5009</v>
          </cell>
          <cell r="D26">
            <v>5026.8</v>
          </cell>
          <cell r="F26">
            <v>4907.3999999999996</v>
          </cell>
        </row>
        <row r="50">
          <cell r="B50">
            <v>221.7</v>
          </cell>
          <cell r="C50">
            <v>234.5</v>
          </cell>
          <cell r="D50">
            <v>230.9</v>
          </cell>
          <cell r="F50">
            <v>221.9</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01"/>
      <sheetName val="Table02"/>
      <sheetName val="Table03"/>
      <sheetName val="Table04"/>
      <sheetName val="Table05"/>
      <sheetName val="Table06"/>
      <sheetName val="Table07"/>
      <sheetName val="Table08"/>
      <sheetName val="Table09"/>
      <sheetName val="Table10"/>
      <sheetName val="Table11"/>
      <sheetName val="Table12"/>
      <sheetName val="Table13"/>
      <sheetName val="Table14"/>
      <sheetName val="Table15"/>
      <sheetName val="Table16"/>
      <sheetName val="Table17"/>
      <sheetName val="Table18"/>
      <sheetName val="Table19"/>
      <sheetName val="Table20"/>
      <sheetName val="Table21"/>
      <sheetName val="Table22"/>
      <sheetName val="Table23"/>
    </sheetNames>
    <sheetDataSet>
      <sheetData sheetId="0">
        <row r="9">
          <cell r="E9">
            <v>83931</v>
          </cell>
          <cell r="G9">
            <v>85952</v>
          </cell>
          <cell r="I9">
            <v>87846</v>
          </cell>
          <cell r="K9">
            <v>88900</v>
          </cell>
          <cell r="M9">
            <v>89732</v>
          </cell>
        </row>
        <row r="10">
          <cell r="E10">
            <v>74523</v>
          </cell>
          <cell r="G10">
            <v>76003</v>
          </cell>
          <cell r="I10">
            <v>78138</v>
          </cell>
          <cell r="K10">
            <v>78451</v>
          </cell>
          <cell r="M10">
            <v>81517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xt"/>
      <sheetName val="T1"/>
      <sheetName val="T2"/>
      <sheetName val="T3"/>
      <sheetName val="T4"/>
      <sheetName val="T5"/>
      <sheetName val="T6"/>
      <sheetName val="T7"/>
      <sheetName val="T8"/>
      <sheetName val="T9"/>
      <sheetName val="T10"/>
      <sheetName val="T11"/>
      <sheetName val="T12"/>
      <sheetName val="T13"/>
      <sheetName val="T14 "/>
      <sheetName val="T15"/>
      <sheetName val="T16"/>
      <sheetName val="T17"/>
      <sheetName val="T18"/>
      <sheetName val="T19"/>
      <sheetName val="T20"/>
      <sheetName val="T21"/>
      <sheetName val="T22"/>
    </sheetNames>
    <sheetDataSet>
      <sheetData sheetId="0" refreshError="1"/>
      <sheetData sheetId="1">
        <row r="9">
          <cell r="G9">
            <v>92843</v>
          </cell>
          <cell r="I9">
            <v>97434</v>
          </cell>
          <cell r="K9">
            <v>99319</v>
          </cell>
          <cell r="M9">
            <v>98166.780963569996</v>
          </cell>
        </row>
        <row r="10">
          <cell r="G10">
            <v>81882</v>
          </cell>
          <cell r="I10">
            <v>86658</v>
          </cell>
          <cell r="K10">
            <v>87405</v>
          </cell>
          <cell r="M10">
            <v>88554.800272050008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ce"/>
      <sheetName val="T1"/>
      <sheetName val="T2"/>
      <sheetName val="T3"/>
      <sheetName val="T4"/>
      <sheetName val="T5"/>
      <sheetName val="T6"/>
      <sheetName val="T7"/>
      <sheetName val="T8"/>
      <sheetName val="T9"/>
      <sheetName val="T10"/>
      <sheetName val="T11"/>
      <sheetName val="T12"/>
      <sheetName val="T13"/>
      <sheetName val="T14"/>
      <sheetName val="T15"/>
      <sheetName val="T16 "/>
      <sheetName val="T17"/>
      <sheetName val="T18"/>
      <sheetName val="T19 "/>
      <sheetName val="T20 "/>
      <sheetName val="T21"/>
      <sheetName val="T22"/>
    </sheetNames>
    <sheetDataSet>
      <sheetData sheetId="0"/>
      <sheetData sheetId="1">
        <row r="8">
          <cell r="E8">
            <v>95463.673570545012</v>
          </cell>
          <cell r="G8">
            <v>86310</v>
          </cell>
          <cell r="I8">
            <v>63907</v>
          </cell>
          <cell r="K8">
            <v>66421</v>
          </cell>
        </row>
        <row r="9">
          <cell r="E9">
            <v>86129.706979755007</v>
          </cell>
          <cell r="G9">
            <v>78382</v>
          </cell>
          <cell r="I9">
            <v>56115.980227470005</v>
          </cell>
          <cell r="K9">
            <v>59802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99c"/>
    </sheetNames>
    <sheetDataSet>
      <sheetData sheetId="0">
        <row r="515">
          <cell r="B515">
            <v>392.52218627929699</v>
          </cell>
          <cell r="C515">
            <v>381.57598876953102</v>
          </cell>
        </row>
        <row r="556">
          <cell r="C556">
            <v>1688.11755371094</v>
          </cell>
        </row>
        <row r="594">
          <cell r="B594">
            <v>262.37054443359398</v>
          </cell>
          <cell r="C594">
            <v>257.32458496093801</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e2"/>
    </sheetNames>
    <sheetDataSet>
      <sheetData sheetId="0">
        <row r="21">
          <cell r="B21">
            <v>344.64685058593801</v>
          </cell>
          <cell r="D21">
            <v>337.60357666015602</v>
          </cell>
        </row>
        <row r="38">
          <cell r="B38">
            <v>33.099258422851563</v>
          </cell>
          <cell r="C38">
            <v>32.421100616455078</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e2"/>
    </sheetNames>
    <sheetDataSet>
      <sheetData sheetId="0">
        <row r="21">
          <cell r="B21">
            <v>365.38708496093801</v>
          </cell>
          <cell r="C21">
            <v>372.86898803710898</v>
          </cell>
          <cell r="D21">
            <v>389.09759521484398</v>
          </cell>
        </row>
        <row r="37">
          <cell r="B37">
            <v>35.077671051025398</v>
          </cell>
          <cell r="C37">
            <v>35.9497680664063</v>
          </cell>
          <cell r="D37">
            <v>37.452602386474602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im2"/>
    </sheetNames>
    <sheetDataSet>
      <sheetData sheetId="0">
        <row r="26">
          <cell r="B26">
            <v>432.86590576171898</v>
          </cell>
          <cell r="C26">
            <v>424.990478515625</v>
          </cell>
          <cell r="D26">
            <v>394.24652099609398</v>
          </cell>
        </row>
        <row r="42">
          <cell r="B42">
            <v>42.370918273925803</v>
          </cell>
          <cell r="C42">
            <v>41.738792419433601</v>
          </cell>
          <cell r="D42">
            <v>38.431056976318402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RLY2012-Cement_Industry_Energ"/>
    </sheetNames>
    <sheetDataSet>
      <sheetData sheetId="0">
        <row r="19">
          <cell r="B19">
            <v>211.2</v>
          </cell>
          <cell r="C19">
            <v>208.5</v>
          </cell>
          <cell r="D19">
            <v>208.9</v>
          </cell>
          <cell r="F19">
            <v>195.9</v>
          </cell>
        </row>
        <row r="36">
          <cell r="B36">
            <v>21.2</v>
          </cell>
          <cell r="C36">
            <v>21</v>
          </cell>
          <cell r="D36">
            <v>20.9</v>
          </cell>
          <cell r="F36">
            <v>19.5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i"/>
    </sheetNames>
    <sheetDataSet>
      <sheetData sheetId="0">
        <row r="244">
          <cell r="B244">
            <v>3024.12109375</v>
          </cell>
          <cell r="C244">
            <v>3058.23828125</v>
          </cell>
        </row>
        <row r="261">
          <cell r="B261">
            <v>51.962932586669901</v>
          </cell>
          <cell r="C261">
            <v>52.49609375</v>
          </cell>
        </row>
        <row r="368">
          <cell r="B368">
            <v>6567.5390625</v>
          </cell>
          <cell r="C368">
            <v>6662.744140625</v>
          </cell>
        </row>
        <row r="390">
          <cell r="B390">
            <v>82.828773498535199</v>
          </cell>
          <cell r="C390">
            <v>84.280998229980497</v>
          </cell>
        </row>
        <row r="445">
          <cell r="B445">
            <v>401.637451171875</v>
          </cell>
          <cell r="C445">
            <v>401.64816284179699</v>
          </cell>
        </row>
        <row r="459">
          <cell r="B459">
            <v>10.5171089172363</v>
          </cell>
          <cell r="C459">
            <v>10.632220268249499</v>
          </cell>
        </row>
        <row r="483">
          <cell r="B483">
            <v>1588.92260742188</v>
          </cell>
        </row>
        <row r="499">
          <cell r="B499">
            <v>38.237716674804702</v>
          </cell>
        </row>
        <row r="522">
          <cell r="B522">
            <v>407.87634277343801</v>
          </cell>
          <cell r="C522">
            <v>405.41650390625</v>
          </cell>
        </row>
        <row r="537">
          <cell r="B537">
            <v>14.1420783996582</v>
          </cell>
          <cell r="C537">
            <v>14.126278877258301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i"/>
    </sheetNames>
    <sheetDataSet>
      <sheetData sheetId="0">
        <row r="271">
          <cell r="C271">
            <v>2975.40087890625</v>
          </cell>
          <cell r="D271">
            <v>2953.7919921875</v>
          </cell>
        </row>
        <row r="288">
          <cell r="C288">
            <v>51.951103210449197</v>
          </cell>
          <cell r="D288">
            <v>51.257068634033203</v>
          </cell>
        </row>
        <row r="522">
          <cell r="C522">
            <v>6771.3291015625</v>
          </cell>
          <cell r="D522">
            <v>6697.75439453125</v>
          </cell>
        </row>
        <row r="544">
          <cell r="C544">
            <v>83.635688781738295</v>
          </cell>
          <cell r="D544">
            <v>80.950767517089801</v>
          </cell>
        </row>
        <row r="763">
          <cell r="B763">
            <v>1492.90771484375</v>
          </cell>
          <cell r="C763">
            <v>1367.29260253906</v>
          </cell>
          <cell r="D763">
            <v>1332.89575195313</v>
          </cell>
        </row>
        <row r="780">
          <cell r="B780">
            <v>37.667465209960902</v>
          </cell>
          <cell r="C780">
            <v>34.358757019042997</v>
          </cell>
          <cell r="D780">
            <v>32.822292327880902</v>
          </cell>
        </row>
        <row r="844">
          <cell r="C844">
            <v>414.612060546875</v>
          </cell>
          <cell r="D844">
            <v>405.29498291015602</v>
          </cell>
        </row>
        <row r="859">
          <cell r="C859">
            <v>14.6498003005981</v>
          </cell>
          <cell r="D859">
            <v>13.7645168304443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3">
          <cell r="B23">
            <v>383.11123657226602</v>
          </cell>
          <cell r="C23">
            <v>388.05657958984398</v>
          </cell>
          <cell r="D23">
            <v>383.4912109375</v>
          </cell>
        </row>
        <row r="37">
          <cell r="B37">
            <v>46.695560455322301</v>
          </cell>
          <cell r="C37">
            <v>46.5491752624512</v>
          </cell>
          <cell r="D37">
            <v>46.053462982177699</v>
          </cell>
        </row>
      </sheetData>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31">
          <cell r="B31">
            <v>6370.4951171875</v>
          </cell>
          <cell r="C31">
            <v>6663.25390625</v>
          </cell>
          <cell r="D31">
            <v>6529.28515625</v>
          </cell>
        </row>
        <row r="53">
          <cell r="B53">
            <v>328.05123901367199</v>
          </cell>
          <cell r="C53">
            <v>343.38690185546898</v>
          </cell>
          <cell r="D53">
            <v>337.43887329101602</v>
          </cell>
        </row>
      </sheetData>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5">
          <cell r="B25">
            <v>3166.833984375</v>
          </cell>
          <cell r="C25">
            <v>3168.16821289063</v>
          </cell>
          <cell r="D25">
            <v>3186.25805664063</v>
          </cell>
        </row>
        <row r="41">
          <cell r="B41">
            <v>205.05929565429699</v>
          </cell>
          <cell r="C41">
            <v>206.66734313964801</v>
          </cell>
          <cell r="D41">
            <v>208.26295471191401</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5">
          <cell r="B25">
            <v>1299.02416992188</v>
          </cell>
          <cell r="C25">
            <v>1341.61669921875</v>
          </cell>
          <cell r="D25">
            <v>1244.20886230469</v>
          </cell>
        </row>
        <row r="41">
          <cell r="B41">
            <v>122.34201812744099</v>
          </cell>
          <cell r="C41">
            <v>126.86809539794901</v>
          </cell>
          <cell r="D41">
            <v>117.75698089599599</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im2"/>
    </sheetNames>
    <sheetDataSet>
      <sheetData sheetId="0">
        <row r="26">
          <cell r="B26">
            <v>387.85067749023398</v>
          </cell>
          <cell r="C26">
            <v>357.658447265625</v>
          </cell>
          <cell r="D26">
            <v>361.56216430664102</v>
          </cell>
        </row>
        <row r="42">
          <cell r="B42">
            <v>46.534297943115199</v>
          </cell>
          <cell r="C42">
            <v>44.928512573242202</v>
          </cell>
          <cell r="D42">
            <v>43.849758148193402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eia.gov/petroleu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eia.gov/emeu/efficiency/iron_steel_9802/steel_9802table5b.html" TargetMode="External"/><Relationship Id="rId3" Type="http://schemas.openxmlformats.org/officeDocument/2006/relationships/hyperlink" Target="http://www.eia.gov/emeu/efficiency/mecs_glossary.htm" TargetMode="External"/><Relationship Id="rId7" Type="http://schemas.openxmlformats.org/officeDocument/2006/relationships/hyperlink" Target="http://www.eia.gov/emeu/efficiency/iron_steel_9802/steel_9802table5b.html" TargetMode="External"/><Relationship Id="rId2" Type="http://schemas.openxmlformats.org/officeDocument/2006/relationships/hyperlink" Target="http://www.eia.gov/emeu/efficiency/mecs_glossary.htm" TargetMode="External"/><Relationship Id="rId1" Type="http://schemas.openxmlformats.org/officeDocument/2006/relationships/hyperlink" Target="http://www.eia.gov/emeu/efficiency/steel_data.htm" TargetMode="External"/><Relationship Id="rId6" Type="http://schemas.openxmlformats.org/officeDocument/2006/relationships/hyperlink" Target="http://www.eia.gov/emeu/efficiency/iron_steel_9802/steel_9802table5b.html" TargetMode="External"/><Relationship Id="rId5" Type="http://schemas.openxmlformats.org/officeDocument/2006/relationships/hyperlink" Target="http://www.eia.gov/emeu/efficiency/iron_steel_9802/steel_9802table5b.html" TargetMode="External"/><Relationship Id="rId4" Type="http://schemas.openxmlformats.org/officeDocument/2006/relationships/hyperlink" Target="http://www.eia.gov/emeu/efficiency/iron_steel_9802/steel_9802table5b.html" TargetMode="External"/><Relationship Id="rId9" Type="http://schemas.openxmlformats.org/officeDocument/2006/relationships/hyperlink" Target="http://www.eia.gov/emeu/efficiency/iron_steel_9802/steel_9802table5b.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I8" sqref="I8"/>
    </sheetView>
  </sheetViews>
  <sheetFormatPr defaultRowHeight="15" x14ac:dyDescent="0.25"/>
  <sheetData>
    <row r="1" spans="1:7" x14ac:dyDescent="0.25">
      <c r="A1" t="s">
        <v>263</v>
      </c>
      <c r="B1" t="str">
        <f>Intensities!S34</f>
        <v>Aluminum</v>
      </c>
      <c r="C1" t="str">
        <f>Intensities!T34</f>
        <v>Iron &amp; Steel</v>
      </c>
      <c r="D1" t="str">
        <f>Intensities!U34</f>
        <v>Petroleum</v>
      </c>
      <c r="E1" t="str">
        <f>Intensities!V34</f>
        <v>Chemicals</v>
      </c>
      <c r="F1" t="str">
        <f>Intensities!W34</f>
        <v>Cement</v>
      </c>
      <c r="G1" t="str">
        <f>Intensities!X34</f>
        <v>Factor</v>
      </c>
    </row>
    <row r="2" spans="1:7" x14ac:dyDescent="0.25">
      <c r="A2">
        <f>Intensities!Q35</f>
        <v>1985</v>
      </c>
      <c r="B2" t="str">
        <f>Intensities!S35</f>
        <v>NA</v>
      </c>
      <c r="C2">
        <f>Intensities!T35</f>
        <v>1</v>
      </c>
      <c r="D2">
        <f>Intensities!U35</f>
        <v>1</v>
      </c>
      <c r="E2">
        <f>Intensities!V35</f>
        <v>1</v>
      </c>
      <c r="F2" t="str">
        <f>Intensities!W35</f>
        <v>NA</v>
      </c>
      <c r="G2" t="str">
        <f>Intensities!X35</f>
        <v>Energy</v>
      </c>
    </row>
    <row r="3" spans="1:7" x14ac:dyDescent="0.25">
      <c r="A3">
        <f>Intensities!Q36</f>
        <v>1986</v>
      </c>
      <c r="B3" t="str">
        <f>Intensities!S36</f>
        <v>NA</v>
      </c>
      <c r="C3" t="str">
        <f>Intensities!T36</f>
        <v>NA</v>
      </c>
      <c r="D3" t="str">
        <f>Intensities!U36</f>
        <v>NA</v>
      </c>
      <c r="E3" t="str">
        <f>Intensities!V36</f>
        <v>NA</v>
      </c>
      <c r="F3" t="str">
        <f>Intensities!W36</f>
        <v>NA</v>
      </c>
      <c r="G3" t="str">
        <f>Intensities!X36</f>
        <v>Energy</v>
      </c>
    </row>
    <row r="4" spans="1:7" x14ac:dyDescent="0.25">
      <c r="A4">
        <f>Intensities!Q37</f>
        <v>1987</v>
      </c>
      <c r="B4" t="str">
        <f>Intensities!S37</f>
        <v>NA</v>
      </c>
      <c r="C4" t="str">
        <f>Intensities!T37</f>
        <v>NA</v>
      </c>
      <c r="D4" t="str">
        <f>Intensities!U37</f>
        <v>NA</v>
      </c>
      <c r="E4" t="str">
        <f>Intensities!V37</f>
        <v>NA</v>
      </c>
      <c r="F4" t="str">
        <f>Intensities!W37</f>
        <v>NA</v>
      </c>
      <c r="G4" t="str">
        <f>Intensities!X37</f>
        <v>Energy</v>
      </c>
    </row>
    <row r="5" spans="1:7" x14ac:dyDescent="0.25">
      <c r="A5">
        <f>Intensities!Q38</f>
        <v>1988</v>
      </c>
      <c r="B5" t="str">
        <f>Intensities!S38</f>
        <v>NA</v>
      </c>
      <c r="C5">
        <f>Intensities!T38</f>
        <v>0.90416470711187757</v>
      </c>
      <c r="D5">
        <f>Intensities!U38</f>
        <v>1.0430048136310954</v>
      </c>
      <c r="E5">
        <f>Intensities!V38</f>
        <v>0.89682228901675842</v>
      </c>
      <c r="F5" t="str">
        <f>Intensities!W38</f>
        <v>NA</v>
      </c>
      <c r="G5" t="str">
        <f>Intensities!X38</f>
        <v>Energy</v>
      </c>
    </row>
    <row r="6" spans="1:7" x14ac:dyDescent="0.25">
      <c r="A6">
        <f>Intensities!Q39</f>
        <v>1989</v>
      </c>
      <c r="B6" t="str">
        <f>Intensities!S39</f>
        <v>NA</v>
      </c>
      <c r="C6" t="str">
        <f>Intensities!T39</f>
        <v>NA</v>
      </c>
      <c r="D6" t="str">
        <f>Intensities!U39</f>
        <v>NA</v>
      </c>
      <c r="E6" t="str">
        <f>Intensities!V39</f>
        <v>NA</v>
      </c>
      <c r="F6" t="str">
        <f>Intensities!W39</f>
        <v>NA</v>
      </c>
      <c r="G6" t="str">
        <f>Intensities!X39</f>
        <v>Energy</v>
      </c>
    </row>
    <row r="7" spans="1:7" x14ac:dyDescent="0.25">
      <c r="A7">
        <f>Intensities!Q40</f>
        <v>1990</v>
      </c>
      <c r="B7" t="str">
        <f>Intensities!S40</f>
        <v>NA</v>
      </c>
      <c r="C7" t="str">
        <f>Intensities!T40</f>
        <v>NA</v>
      </c>
      <c r="D7" t="str">
        <f>Intensities!U40</f>
        <v>NA</v>
      </c>
      <c r="E7" t="str">
        <f>Intensities!V40</f>
        <v>NA</v>
      </c>
      <c r="F7" t="str">
        <f>Intensities!W40</f>
        <v>NA</v>
      </c>
      <c r="G7" t="str">
        <f>Intensities!X40</f>
        <v>Energy</v>
      </c>
    </row>
    <row r="8" spans="1:7" x14ac:dyDescent="0.25">
      <c r="A8">
        <f>Intensities!Q41</f>
        <v>1991</v>
      </c>
      <c r="B8" t="str">
        <f>Intensities!S41</f>
        <v>NA</v>
      </c>
      <c r="C8">
        <f>Intensities!T41</f>
        <v>0.84715472644615142</v>
      </c>
      <c r="D8">
        <f>Intensities!U41</f>
        <v>1.0355993839479189</v>
      </c>
      <c r="E8">
        <f>Intensities!V41</f>
        <v>0.98009588482591925</v>
      </c>
      <c r="F8" t="str">
        <f>Intensities!W41</f>
        <v>NA</v>
      </c>
      <c r="G8" t="str">
        <f>Intensities!X41</f>
        <v>Energy</v>
      </c>
    </row>
    <row r="9" spans="1:7" x14ac:dyDescent="0.25">
      <c r="A9">
        <f>Intensities!Q42</f>
        <v>1992</v>
      </c>
      <c r="B9" t="str">
        <f>Intensities!S42</f>
        <v>NA</v>
      </c>
      <c r="C9" t="str">
        <f>Intensities!T42</f>
        <v>NA</v>
      </c>
      <c r="D9" t="str">
        <f>Intensities!U42</f>
        <v>NA</v>
      </c>
      <c r="E9" t="str">
        <f>Intensities!V42</f>
        <v>NA</v>
      </c>
      <c r="F9" t="str">
        <f>Intensities!W42</f>
        <v>NA</v>
      </c>
      <c r="G9" t="str">
        <f>Intensities!X42</f>
        <v>Energy</v>
      </c>
    </row>
    <row r="10" spans="1:7" x14ac:dyDescent="0.25">
      <c r="A10">
        <f>Intensities!Q43</f>
        <v>1993</v>
      </c>
      <c r="B10" t="str">
        <f>Intensities!S43</f>
        <v>NA</v>
      </c>
      <c r="C10" t="str">
        <f>Intensities!T43</f>
        <v>NA</v>
      </c>
      <c r="D10" t="str">
        <f>Intensities!U43</f>
        <v>NA</v>
      </c>
      <c r="E10" t="str">
        <f>Intensities!V43</f>
        <v>NA</v>
      </c>
      <c r="F10" t="str">
        <f>Intensities!W43</f>
        <v>NA</v>
      </c>
      <c r="G10" t="str">
        <f>Intensities!X43</f>
        <v>Energy</v>
      </c>
    </row>
    <row r="11" spans="1:7" x14ac:dyDescent="0.25">
      <c r="A11">
        <f>Intensities!Q44</f>
        <v>1994</v>
      </c>
      <c r="B11" t="str">
        <f>Intensities!S44</f>
        <v>NA</v>
      </c>
      <c r="C11">
        <f>Intensities!T44</f>
        <v>0.8567173538172127</v>
      </c>
      <c r="D11">
        <f>Intensities!U44</f>
        <v>1.0667438225991321</v>
      </c>
      <c r="E11">
        <f>Intensities!V44</f>
        <v>0.92556830482333685</v>
      </c>
      <c r="F11" t="str">
        <f>Intensities!W44</f>
        <v>NA</v>
      </c>
      <c r="G11" t="str">
        <f>Intensities!X44</f>
        <v>Energy</v>
      </c>
    </row>
    <row r="12" spans="1:7" x14ac:dyDescent="0.25">
      <c r="A12">
        <f>Intensities!Q45</f>
        <v>1995</v>
      </c>
      <c r="B12" t="str">
        <f>Intensities!S45</f>
        <v>NA</v>
      </c>
      <c r="C12" t="str">
        <f>Intensities!T45</f>
        <v>NA</v>
      </c>
      <c r="D12" t="str">
        <f>Intensities!U45</f>
        <v>NA</v>
      </c>
      <c r="E12" t="str">
        <f>Intensities!V45</f>
        <v>NA</v>
      </c>
      <c r="F12" t="str">
        <f>Intensities!W45</f>
        <v>NA</v>
      </c>
      <c r="G12" t="str">
        <f>Intensities!X45</f>
        <v>Energy</v>
      </c>
    </row>
    <row r="13" spans="1:7" x14ac:dyDescent="0.25">
      <c r="A13">
        <f>Intensities!Q46</f>
        <v>1996</v>
      </c>
      <c r="B13" t="str">
        <f>Intensities!S46</f>
        <v>NA</v>
      </c>
      <c r="C13" t="str">
        <f>Intensities!T46</f>
        <v>NA</v>
      </c>
      <c r="D13" t="str">
        <f>Intensities!U46</f>
        <v>NA</v>
      </c>
      <c r="E13" t="str">
        <f>Intensities!V46</f>
        <v>NA</v>
      </c>
      <c r="F13" t="str">
        <f>Intensities!W46</f>
        <v>NA</v>
      </c>
      <c r="G13" t="str">
        <f>Intensities!X46</f>
        <v>Energy</v>
      </c>
    </row>
    <row r="14" spans="1:7" x14ac:dyDescent="0.25">
      <c r="A14">
        <f>Intensities!Q47</f>
        <v>1997</v>
      </c>
      <c r="B14" t="str">
        <f>Intensities!S47</f>
        <v>NA</v>
      </c>
      <c r="C14" t="str">
        <f>Intensities!T47</f>
        <v>NA</v>
      </c>
      <c r="D14" t="str">
        <f>Intensities!U47</f>
        <v>NA</v>
      </c>
      <c r="E14" t="str">
        <f>Intensities!V47</f>
        <v>NA</v>
      </c>
      <c r="F14" t="str">
        <f>Intensities!W47</f>
        <v>NA</v>
      </c>
      <c r="G14" t="str">
        <f>Intensities!X47</f>
        <v>Energy</v>
      </c>
    </row>
    <row r="15" spans="1:7" x14ac:dyDescent="0.25">
      <c r="A15">
        <f>Intensities!Q48</f>
        <v>1998</v>
      </c>
      <c r="B15" t="str">
        <f>Intensities!S48</f>
        <v>NA</v>
      </c>
      <c r="C15">
        <f>Intensities!T48</f>
        <v>0.8883315044155301</v>
      </c>
      <c r="D15">
        <f>Intensities!U48</f>
        <v>1.1364874681793746</v>
      </c>
      <c r="E15">
        <f>Intensities!V48</f>
        <v>0.95827989757453724</v>
      </c>
      <c r="F15" t="str">
        <f>Intensities!W48</f>
        <v>NA</v>
      </c>
      <c r="G15" t="str">
        <f>Intensities!X48</f>
        <v>Energy</v>
      </c>
    </row>
    <row r="16" spans="1:7" x14ac:dyDescent="0.25">
      <c r="A16">
        <f>Intensities!Q49</f>
        <v>1999</v>
      </c>
      <c r="B16">
        <f>Intensities!S49</f>
        <v>1</v>
      </c>
      <c r="C16">
        <f>Intensities!T49</f>
        <v>0.8883315044155301</v>
      </c>
      <c r="D16">
        <f>Intensities!U49</f>
        <v>1.1364874681793746</v>
      </c>
      <c r="E16">
        <f>Intensities!V49</f>
        <v>0.95827989757453724</v>
      </c>
      <c r="F16">
        <f>Intensities!W49</f>
        <v>1</v>
      </c>
      <c r="G16" t="str">
        <f>Intensities!X49</f>
        <v>Emissions</v>
      </c>
    </row>
    <row r="17" spans="1:7" x14ac:dyDescent="0.25">
      <c r="A17">
        <f>Intensities!Q50</f>
        <v>2000</v>
      </c>
      <c r="B17">
        <f>Intensities!S50</f>
        <v>1.060544680442657</v>
      </c>
      <c r="C17">
        <f>Intensities!T50</f>
        <v>0.94211525147751318</v>
      </c>
      <c r="D17">
        <f>Intensities!U50</f>
        <v>1.0732335273434361</v>
      </c>
      <c r="E17">
        <f>Intensities!V50</f>
        <v>0.95339590732494628</v>
      </c>
      <c r="F17">
        <f>Intensities!W50</f>
        <v>0.98909143307955683</v>
      </c>
      <c r="G17" t="str">
        <f>Intensities!X50</f>
        <v>Emissions</v>
      </c>
    </row>
    <row r="18" spans="1:7" x14ac:dyDescent="0.25">
      <c r="A18">
        <f>Intensities!Q51</f>
        <v>2001</v>
      </c>
      <c r="B18">
        <f>Intensities!S51</f>
        <v>1.4403527817038881</v>
      </c>
      <c r="C18">
        <f>Intensities!T51</f>
        <v>1.2795107534601087</v>
      </c>
      <c r="D18">
        <f>Intensities!U51</f>
        <v>1.1100318942330054</v>
      </c>
      <c r="E18">
        <f>Intensities!V51</f>
        <v>0.93877927288917828</v>
      </c>
      <c r="F18">
        <f>Intensities!W51</f>
        <v>0.82036759928344749</v>
      </c>
      <c r="G18" t="str">
        <f>Intensities!X51</f>
        <v>Emissions</v>
      </c>
    </row>
    <row r="19" spans="1:7" x14ac:dyDescent="0.25">
      <c r="A19">
        <f>Intensities!Q52</f>
        <v>2002</v>
      </c>
      <c r="B19">
        <f>Intensities!S52</f>
        <v>1.3428407982280559</v>
      </c>
      <c r="C19">
        <f>Intensities!T52</f>
        <v>1.1928877864804803</v>
      </c>
      <c r="D19">
        <f>Intensities!U52</f>
        <v>1.0636113602300921</v>
      </c>
      <c r="E19">
        <f>Intensities!V52</f>
        <v>0.93493645503611156</v>
      </c>
      <c r="F19">
        <f>Intensities!W52</f>
        <v>0.79699556413658934</v>
      </c>
      <c r="G19" t="str">
        <f>Intensities!X52</f>
        <v>Emissions</v>
      </c>
    </row>
    <row r="20" spans="1:7" x14ac:dyDescent="0.25">
      <c r="A20">
        <f>Intensities!Q53</f>
        <v>2003</v>
      </c>
      <c r="B20">
        <f>Intensities!S53</f>
        <v>1.2781969330962271</v>
      </c>
      <c r="C20">
        <f>Intensities!T53</f>
        <v>1.135462604516688</v>
      </c>
      <c r="D20">
        <f>Intensities!U53</f>
        <v>1.0623771536862323</v>
      </c>
      <c r="E20">
        <f>Intensities!V53</f>
        <v>1.002025544159125</v>
      </c>
      <c r="F20">
        <f>Intensities!W53</f>
        <v>0.84267317472086656</v>
      </c>
      <c r="G20" t="str">
        <f>Intensities!X53</f>
        <v>Emissions</v>
      </c>
    </row>
    <row r="21" spans="1:7" x14ac:dyDescent="0.25">
      <c r="A21">
        <f>Intensities!Q54</f>
        <v>2004</v>
      </c>
      <c r="B21">
        <f>Intensities!S54</f>
        <v>1.30781246411052</v>
      </c>
      <c r="C21">
        <f>Intensities!T54</f>
        <v>1.1617710137366797</v>
      </c>
      <c r="D21">
        <f>Intensities!U54</f>
        <v>1.0419411033868213</v>
      </c>
      <c r="E21">
        <f>Intensities!V54</f>
        <v>0.99738539837649631</v>
      </c>
      <c r="F21">
        <f>Intensities!W54</f>
        <v>0.84644258676792206</v>
      </c>
      <c r="G21" t="str">
        <f>Intensities!X54</f>
        <v>Emissions</v>
      </c>
    </row>
    <row r="22" spans="1:7" x14ac:dyDescent="0.25">
      <c r="A22">
        <f>Intensities!Q55</f>
        <v>2005</v>
      </c>
      <c r="B22">
        <f>Intensities!S55</f>
        <v>1.335670403780729</v>
      </c>
      <c r="C22">
        <f>Intensities!T55</f>
        <v>1.1865180991938336</v>
      </c>
      <c r="D22">
        <f>Intensities!U55</f>
        <v>1.0395920267495606</v>
      </c>
      <c r="E22">
        <f>Intensities!V55</f>
        <v>1.0177938814272587</v>
      </c>
      <c r="F22">
        <f>Intensities!W55</f>
        <v>0.83695777092449064</v>
      </c>
      <c r="G22" t="str">
        <f>Intensities!X55</f>
        <v>Emissions</v>
      </c>
    </row>
    <row r="23" spans="1:7" x14ac:dyDescent="0.25">
      <c r="A23">
        <f>Intensities!Q56</f>
        <v>2006</v>
      </c>
      <c r="B23">
        <f>Intensities!S56</f>
        <v>1.3560897613325309</v>
      </c>
      <c r="C23">
        <f>Intensities!T56</f>
        <v>1.2046572578070243</v>
      </c>
      <c r="D23">
        <f>Intensities!U56</f>
        <v>1.2115395618599163</v>
      </c>
      <c r="E23">
        <f>Intensities!V56</f>
        <v>1.2220801772573093</v>
      </c>
      <c r="F23">
        <f>Intensities!W56</f>
        <v>0.93352122354649547</v>
      </c>
      <c r="G23" t="str">
        <f>Intensities!X56</f>
        <v>Emissions</v>
      </c>
    </row>
    <row r="24" spans="1:7" x14ac:dyDescent="0.25">
      <c r="A24">
        <f>Intensities!Q57</f>
        <v>2007</v>
      </c>
      <c r="B24">
        <f>Intensities!S57</f>
        <v>1.1011246720192298</v>
      </c>
      <c r="C24">
        <f>Intensities!T57</f>
        <v>0.97816373644389953</v>
      </c>
      <c r="D24">
        <f>Intensities!U57</f>
        <v>1.1917713069927107</v>
      </c>
      <c r="E24">
        <f>Intensities!V57</f>
        <v>1.2343151511797055</v>
      </c>
      <c r="F24">
        <f>Intensities!W57</f>
        <v>0.91960606214605578</v>
      </c>
      <c r="G24" t="str">
        <f>Intensities!X57</f>
        <v>Emissions</v>
      </c>
    </row>
    <row r="25" spans="1:7" x14ac:dyDescent="0.25">
      <c r="A25">
        <f>Intensities!Q58</f>
        <v>2008</v>
      </c>
      <c r="B25">
        <f>Intensities!S58</f>
        <v>1.0891600455835053</v>
      </c>
      <c r="C25">
        <f>Intensities!T58</f>
        <v>0.96753518184248266</v>
      </c>
      <c r="D25">
        <f>Intensities!U58</f>
        <v>1.2605289452822412</v>
      </c>
      <c r="E25">
        <f>Intensities!V58</f>
        <v>1.3305991370502854</v>
      </c>
      <c r="F25">
        <f>Intensities!W58</f>
        <v>0.87064032366450206</v>
      </c>
      <c r="G25" t="str">
        <f>Intensities!X58</f>
        <v>Emissions</v>
      </c>
    </row>
    <row r="26" spans="1:7" x14ac:dyDescent="0.25">
      <c r="A26">
        <f>Intensities!Q59</f>
        <v>2009</v>
      </c>
      <c r="B26">
        <f>Intensities!S59</f>
        <v>0.95429542882742791</v>
      </c>
      <c r="C26">
        <f>Intensities!T59</f>
        <v>0.84773069394713252</v>
      </c>
      <c r="D26">
        <f>Intensities!U59</f>
        <v>1.3670315686740535</v>
      </c>
      <c r="E26">
        <f>Intensities!V59</f>
        <v>1.0542834365979212</v>
      </c>
      <c r="F26">
        <f>Intensities!W59</f>
        <v>0.52956566503175906</v>
      </c>
      <c r="G26" t="str">
        <f>Intensities!X59</f>
        <v>Emissions</v>
      </c>
    </row>
    <row r="27" spans="1:7" x14ac:dyDescent="0.25">
      <c r="A27">
        <f>Intensities!Q60</f>
        <v>2010</v>
      </c>
      <c r="B27">
        <f>Intensities!S60</f>
        <v>1.0723450134718151</v>
      </c>
      <c r="C27">
        <f>Intensities!T60</f>
        <v>0.95259785906990946</v>
      </c>
      <c r="D27">
        <f>Intensities!U60</f>
        <v>1.2683824642894739</v>
      </c>
      <c r="E27">
        <f>Intensities!V60</f>
        <v>1.0199969493129604</v>
      </c>
      <c r="F27">
        <f>Intensities!W60</f>
        <v>0.71979918484858818</v>
      </c>
      <c r="G27" t="str">
        <f>Intensities!X60</f>
        <v>Emissions</v>
      </c>
    </row>
    <row r="28" spans="1:7" x14ac:dyDescent="0.25">
      <c r="A28">
        <f>Intensities!Q61</f>
        <v>2011</v>
      </c>
      <c r="B28">
        <f>Intensities!S61</f>
        <v>0.9243857448067041</v>
      </c>
      <c r="C28">
        <f>Intensities!T61</f>
        <v>0.82116097934440979</v>
      </c>
      <c r="D28">
        <f>Intensities!U61</f>
        <v>1.279795590952981</v>
      </c>
      <c r="E28" t="str">
        <f>Intensities!V61</f>
        <v>NA</v>
      </c>
      <c r="F28">
        <f>Intensities!W61</f>
        <v>0.68118370458269462</v>
      </c>
      <c r="G28" t="str">
        <f>Intensities!X61</f>
        <v>Emissions</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3"/>
  <sheetViews>
    <sheetView workbookViewId="0">
      <selection activeCell="A7" sqref="A7"/>
    </sheetView>
  </sheetViews>
  <sheetFormatPr defaultRowHeight="12.75" x14ac:dyDescent="0.2"/>
  <cols>
    <col min="1" max="1" width="49.5703125" style="1" customWidth="1"/>
    <col min="2" max="3" width="10.28515625" style="1" bestFit="1" customWidth="1"/>
    <col min="4" max="16384" width="9.140625" style="1"/>
  </cols>
  <sheetData>
    <row r="1" spans="1:9" x14ac:dyDescent="0.2">
      <c r="A1" s="1" t="s">
        <v>104</v>
      </c>
    </row>
    <row r="2" spans="1:9" x14ac:dyDescent="0.2">
      <c r="A2" s="44" t="s">
        <v>103</v>
      </c>
    </row>
    <row r="4" spans="1:9" s="8" customFormat="1" x14ac:dyDescent="0.2">
      <c r="A4" s="23" t="s">
        <v>102</v>
      </c>
      <c r="B4" s="14"/>
      <c r="C4" s="14"/>
      <c r="D4" s="14"/>
      <c r="E4" s="14"/>
      <c r="F4" s="14"/>
      <c r="G4" s="14"/>
      <c r="H4" s="14"/>
    </row>
    <row r="5" spans="1:9" s="8" customFormat="1" x14ac:dyDescent="0.2">
      <c r="A5" s="23"/>
      <c r="B5" s="14"/>
      <c r="C5" s="14"/>
      <c r="D5" s="14"/>
      <c r="E5" s="14"/>
      <c r="F5" s="14"/>
      <c r="G5" s="14"/>
      <c r="H5" s="14"/>
    </row>
    <row r="6" spans="1:9" x14ac:dyDescent="0.2">
      <c r="B6" s="43" t="s">
        <v>101</v>
      </c>
      <c r="C6" s="43"/>
      <c r="D6" s="43"/>
      <c r="E6" s="14"/>
      <c r="F6" s="14"/>
      <c r="G6" s="14"/>
      <c r="H6" s="13"/>
    </row>
    <row r="7" spans="1:9" x14ac:dyDescent="0.2">
      <c r="A7" s="12" t="s">
        <v>100</v>
      </c>
      <c r="B7" s="23">
        <v>1998</v>
      </c>
      <c r="C7" s="23">
        <v>2002</v>
      </c>
      <c r="D7" s="23">
        <v>2006</v>
      </c>
      <c r="E7" s="14"/>
      <c r="F7" s="14"/>
      <c r="G7" s="14"/>
      <c r="H7" s="13"/>
    </row>
    <row r="8" spans="1:9" ht="16.5" customHeight="1" x14ac:dyDescent="0.2">
      <c r="A8" s="6" t="s">
        <v>99</v>
      </c>
      <c r="B8" s="9"/>
      <c r="C8" s="9"/>
      <c r="D8" s="8"/>
      <c r="E8" s="8"/>
    </row>
    <row r="9" spans="1:9" x14ac:dyDescent="0.2">
      <c r="A9" s="42" t="s">
        <v>98</v>
      </c>
      <c r="B9" s="9">
        <v>3713</v>
      </c>
      <c r="C9" s="9">
        <v>2707</v>
      </c>
      <c r="D9" s="9">
        <f>2284000/1000</f>
        <v>2284</v>
      </c>
      <c r="E9" s="9"/>
    </row>
    <row r="10" spans="1:9" x14ac:dyDescent="0.2">
      <c r="A10" s="42" t="s">
        <v>97</v>
      </c>
      <c r="B10" s="9">
        <v>3440</v>
      </c>
      <c r="C10" s="9">
        <v>2930</v>
      </c>
      <c r="D10" s="9">
        <v>3560</v>
      </c>
      <c r="E10" s="4"/>
    </row>
    <row r="11" spans="1:9" x14ac:dyDescent="0.2">
      <c r="A11" s="42" t="s">
        <v>96</v>
      </c>
      <c r="B11" s="9">
        <v>3550</v>
      </c>
      <c r="C11" s="9">
        <v>4060</v>
      </c>
      <c r="D11" s="9">
        <f>5180000/1000</f>
        <v>5180</v>
      </c>
      <c r="E11" s="8"/>
    </row>
    <row r="12" spans="1:9" x14ac:dyDescent="0.2">
      <c r="A12" s="42" t="s">
        <v>95</v>
      </c>
      <c r="B12" s="9">
        <v>1590</v>
      </c>
      <c r="C12" s="9">
        <v>1590</v>
      </c>
      <c r="D12" s="9">
        <f>2820000/1000</f>
        <v>2820</v>
      </c>
      <c r="E12" s="8"/>
    </row>
    <row r="13" spans="1:9" x14ac:dyDescent="0.2">
      <c r="A13" s="42"/>
      <c r="B13" s="9"/>
      <c r="C13" s="9"/>
      <c r="D13" s="8"/>
    </row>
    <row r="14" spans="1:9" x14ac:dyDescent="0.2">
      <c r="A14" s="6" t="s">
        <v>94</v>
      </c>
      <c r="B14" s="9"/>
      <c r="C14" s="9"/>
      <c r="D14" s="8"/>
      <c r="E14" s="8"/>
      <c r="F14" s="8"/>
      <c r="G14" s="8"/>
      <c r="H14" s="6"/>
    </row>
    <row r="15" spans="1:9" ht="15" x14ac:dyDescent="0.25">
      <c r="A15" s="8" t="s">
        <v>93</v>
      </c>
      <c r="B15" s="40">
        <v>57.047606999999999</v>
      </c>
      <c r="C15" s="40">
        <v>47.873578999999999</v>
      </c>
      <c r="D15" s="40">
        <v>42.311838000000002</v>
      </c>
      <c r="E15" s="41"/>
      <c r="F15" s="41"/>
      <c r="G15" s="41"/>
      <c r="H15" s="32"/>
    </row>
    <row r="16" spans="1:9" ht="15" x14ac:dyDescent="0.25">
      <c r="A16" s="8" t="s">
        <v>92</v>
      </c>
      <c r="B16" s="40">
        <v>24.416122000000001</v>
      </c>
      <c r="C16" s="40">
        <v>18.841643000000001</v>
      </c>
      <c r="D16" s="40">
        <v>11.927211</v>
      </c>
      <c r="E16" s="41"/>
      <c r="F16" s="41"/>
      <c r="G16" s="41"/>
      <c r="H16" s="3"/>
      <c r="I16" s="3"/>
    </row>
    <row r="17" spans="1:9" x14ac:dyDescent="0.2">
      <c r="A17" s="8"/>
      <c r="B17" s="4"/>
      <c r="C17" s="4"/>
      <c r="D17" s="4"/>
      <c r="E17" s="41"/>
      <c r="F17" s="41"/>
      <c r="G17" s="41"/>
      <c r="H17" s="3"/>
      <c r="I17" s="3"/>
    </row>
    <row r="18" spans="1:9" x14ac:dyDescent="0.2">
      <c r="A18" s="6" t="s">
        <v>91</v>
      </c>
      <c r="B18" s="4"/>
      <c r="C18" s="4"/>
      <c r="D18" s="4"/>
      <c r="E18" s="41"/>
      <c r="F18" s="41"/>
      <c r="G18" s="41"/>
      <c r="H18" s="3"/>
      <c r="I18" s="3"/>
    </row>
    <row r="19" spans="1:9" ht="15" x14ac:dyDescent="0.25">
      <c r="A19" s="8" t="s">
        <v>90</v>
      </c>
      <c r="B19" s="40">
        <v>56.598354415888664</v>
      </c>
      <c r="C19" s="40">
        <v>49.366076817398039</v>
      </c>
      <c r="D19" s="40">
        <v>29.113891232455842</v>
      </c>
      <c r="E19" s="41"/>
      <c r="F19" s="41"/>
      <c r="G19" s="41"/>
      <c r="H19" s="3"/>
      <c r="I19" s="3"/>
    </row>
    <row r="20" spans="1:9" ht="15" x14ac:dyDescent="0.25">
      <c r="A20" s="13" t="s">
        <v>89</v>
      </c>
      <c r="B20" s="40">
        <v>22.672809664868282</v>
      </c>
      <c r="C20" s="40">
        <v>19.820790027351148</v>
      </c>
      <c r="D20" s="4">
        <v>7.9278490099503482</v>
      </c>
      <c r="E20" s="39"/>
      <c r="F20" s="39"/>
      <c r="G20" s="38"/>
      <c r="H20" s="38"/>
      <c r="I20" s="3"/>
    </row>
    <row r="21" spans="1:9" ht="13.5" x14ac:dyDescent="0.2">
      <c r="A21" s="37" t="s">
        <v>88</v>
      </c>
      <c r="B21" s="37"/>
      <c r="C21" s="37"/>
      <c r="D21" s="37"/>
      <c r="E21" s="35"/>
      <c r="F21" s="35"/>
      <c r="G21" s="3"/>
      <c r="H21" s="3"/>
      <c r="I21" s="3"/>
    </row>
    <row r="22" spans="1:9" ht="13.5" x14ac:dyDescent="0.2">
      <c r="A22" s="36" t="s">
        <v>87</v>
      </c>
      <c r="B22" s="35"/>
      <c r="C22" s="35"/>
      <c r="D22" s="35"/>
      <c r="E22" s="35"/>
      <c r="F22" s="35"/>
    </row>
    <row r="23" spans="1:9" ht="59.25" customHeight="1" x14ac:dyDescent="0.2">
      <c r="A23" s="34" t="s">
        <v>86</v>
      </c>
      <c r="B23" s="34"/>
      <c r="C23" s="34"/>
      <c r="D23" s="34"/>
      <c r="E23" s="34"/>
      <c r="F23" s="34"/>
    </row>
  </sheetData>
  <mergeCells count="2">
    <mergeCell ref="A23:F23"/>
    <mergeCell ref="B6:D6"/>
  </mergeCells>
  <pageMargins left="0.75" right="0.75" top="1" bottom="1" header="0.5" footer="0.5"/>
  <pageSetup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3"/>
  <sheetViews>
    <sheetView workbookViewId="0">
      <selection activeCell="K23" sqref="K23"/>
    </sheetView>
  </sheetViews>
  <sheetFormatPr defaultRowHeight="12.75" x14ac:dyDescent="0.2"/>
  <cols>
    <col min="1" max="1" width="41" style="1" customWidth="1"/>
    <col min="2" max="4" width="9.28515625" style="1" bestFit="1" customWidth="1"/>
    <col min="5" max="5" width="9.140625" style="1"/>
    <col min="6" max="6" width="9.28515625" style="1" bestFit="1" customWidth="1"/>
    <col min="7" max="7" width="10.28515625" style="1" bestFit="1" customWidth="1"/>
    <col min="8" max="8" width="12.5703125" style="1" customWidth="1"/>
    <col min="9" max="256" width="9.140625" style="1"/>
    <col min="257" max="257" width="41" style="1" customWidth="1"/>
    <col min="258" max="260" width="9.28515625" style="1" bestFit="1" customWidth="1"/>
    <col min="261" max="261" width="9.140625" style="1"/>
    <col min="262" max="262" width="9.28515625" style="1" bestFit="1" customWidth="1"/>
    <col min="263" max="263" width="10.28515625" style="1" bestFit="1" customWidth="1"/>
    <col min="264" max="264" width="12.5703125" style="1" customWidth="1"/>
    <col min="265" max="512" width="9.140625" style="1"/>
    <col min="513" max="513" width="41" style="1" customWidth="1"/>
    <col min="514" max="516" width="9.28515625" style="1" bestFit="1" customWidth="1"/>
    <col min="517" max="517" width="9.140625" style="1"/>
    <col min="518" max="518" width="9.28515625" style="1" bestFit="1" customWidth="1"/>
    <col min="519" max="519" width="10.28515625" style="1" bestFit="1" customWidth="1"/>
    <col min="520" max="520" width="12.5703125" style="1" customWidth="1"/>
    <col min="521" max="768" width="9.140625" style="1"/>
    <col min="769" max="769" width="41" style="1" customWidth="1"/>
    <col min="770" max="772" width="9.28515625" style="1" bestFit="1" customWidth="1"/>
    <col min="773" max="773" width="9.140625" style="1"/>
    <col min="774" max="774" width="9.28515625" style="1" bestFit="1" customWidth="1"/>
    <col min="775" max="775" width="10.28515625" style="1" bestFit="1" customWidth="1"/>
    <col min="776" max="776" width="12.5703125" style="1" customWidth="1"/>
    <col min="777" max="1024" width="9.140625" style="1"/>
    <col min="1025" max="1025" width="41" style="1" customWidth="1"/>
    <col min="1026" max="1028" width="9.28515625" style="1" bestFit="1" customWidth="1"/>
    <col min="1029" max="1029" width="9.140625" style="1"/>
    <col min="1030" max="1030" width="9.28515625" style="1" bestFit="1" customWidth="1"/>
    <col min="1031" max="1031" width="10.28515625" style="1" bestFit="1" customWidth="1"/>
    <col min="1032" max="1032" width="12.5703125" style="1" customWidth="1"/>
    <col min="1033" max="1280" width="9.140625" style="1"/>
    <col min="1281" max="1281" width="41" style="1" customWidth="1"/>
    <col min="1282" max="1284" width="9.28515625" style="1" bestFit="1" customWidth="1"/>
    <col min="1285" max="1285" width="9.140625" style="1"/>
    <col min="1286" max="1286" width="9.28515625" style="1" bestFit="1" customWidth="1"/>
    <col min="1287" max="1287" width="10.28515625" style="1" bestFit="1" customWidth="1"/>
    <col min="1288" max="1288" width="12.5703125" style="1" customWidth="1"/>
    <col min="1289" max="1536" width="9.140625" style="1"/>
    <col min="1537" max="1537" width="41" style="1" customWidth="1"/>
    <col min="1538" max="1540" width="9.28515625" style="1" bestFit="1" customWidth="1"/>
    <col min="1541" max="1541" width="9.140625" style="1"/>
    <col min="1542" max="1542" width="9.28515625" style="1" bestFit="1" customWidth="1"/>
    <col min="1543" max="1543" width="10.28515625" style="1" bestFit="1" customWidth="1"/>
    <col min="1544" max="1544" width="12.5703125" style="1" customWidth="1"/>
    <col min="1545" max="1792" width="9.140625" style="1"/>
    <col min="1793" max="1793" width="41" style="1" customWidth="1"/>
    <col min="1794" max="1796" width="9.28515625" style="1" bestFit="1" customWidth="1"/>
    <col min="1797" max="1797" width="9.140625" style="1"/>
    <col min="1798" max="1798" width="9.28515625" style="1" bestFit="1" customWidth="1"/>
    <col min="1799" max="1799" width="10.28515625" style="1" bestFit="1" customWidth="1"/>
    <col min="1800" max="1800" width="12.5703125" style="1" customWidth="1"/>
    <col min="1801" max="2048" width="9.140625" style="1"/>
    <col min="2049" max="2049" width="41" style="1" customWidth="1"/>
    <col min="2050" max="2052" width="9.28515625" style="1" bestFit="1" customWidth="1"/>
    <col min="2053" max="2053" width="9.140625" style="1"/>
    <col min="2054" max="2054" width="9.28515625" style="1" bestFit="1" customWidth="1"/>
    <col min="2055" max="2055" width="10.28515625" style="1" bestFit="1" customWidth="1"/>
    <col min="2056" max="2056" width="12.5703125" style="1" customWidth="1"/>
    <col min="2057" max="2304" width="9.140625" style="1"/>
    <col min="2305" max="2305" width="41" style="1" customWidth="1"/>
    <col min="2306" max="2308" width="9.28515625" style="1" bestFit="1" customWidth="1"/>
    <col min="2309" max="2309" width="9.140625" style="1"/>
    <col min="2310" max="2310" width="9.28515625" style="1" bestFit="1" customWidth="1"/>
    <col min="2311" max="2311" width="10.28515625" style="1" bestFit="1" customWidth="1"/>
    <col min="2312" max="2312" width="12.5703125" style="1" customWidth="1"/>
    <col min="2313" max="2560" width="9.140625" style="1"/>
    <col min="2561" max="2561" width="41" style="1" customWidth="1"/>
    <col min="2562" max="2564" width="9.28515625" style="1" bestFit="1" customWidth="1"/>
    <col min="2565" max="2565" width="9.140625" style="1"/>
    <col min="2566" max="2566" width="9.28515625" style="1" bestFit="1" customWidth="1"/>
    <col min="2567" max="2567" width="10.28515625" style="1" bestFit="1" customWidth="1"/>
    <col min="2568" max="2568" width="12.5703125" style="1" customWidth="1"/>
    <col min="2569" max="2816" width="9.140625" style="1"/>
    <col min="2817" max="2817" width="41" style="1" customWidth="1"/>
    <col min="2818" max="2820" width="9.28515625" style="1" bestFit="1" customWidth="1"/>
    <col min="2821" max="2821" width="9.140625" style="1"/>
    <col min="2822" max="2822" width="9.28515625" style="1" bestFit="1" customWidth="1"/>
    <col min="2823" max="2823" width="10.28515625" style="1" bestFit="1" customWidth="1"/>
    <col min="2824" max="2824" width="12.5703125" style="1" customWidth="1"/>
    <col min="2825" max="3072" width="9.140625" style="1"/>
    <col min="3073" max="3073" width="41" style="1" customWidth="1"/>
    <col min="3074" max="3076" width="9.28515625" style="1" bestFit="1" customWidth="1"/>
    <col min="3077" max="3077" width="9.140625" style="1"/>
    <col min="3078" max="3078" width="9.28515625" style="1" bestFit="1" customWidth="1"/>
    <col min="3079" max="3079" width="10.28515625" style="1" bestFit="1" customWidth="1"/>
    <col min="3080" max="3080" width="12.5703125" style="1" customWidth="1"/>
    <col min="3081" max="3328" width="9.140625" style="1"/>
    <col min="3329" max="3329" width="41" style="1" customWidth="1"/>
    <col min="3330" max="3332" width="9.28515625" style="1" bestFit="1" customWidth="1"/>
    <col min="3333" max="3333" width="9.140625" style="1"/>
    <col min="3334" max="3334" width="9.28515625" style="1" bestFit="1" customWidth="1"/>
    <col min="3335" max="3335" width="10.28515625" style="1" bestFit="1" customWidth="1"/>
    <col min="3336" max="3336" width="12.5703125" style="1" customWidth="1"/>
    <col min="3337" max="3584" width="9.140625" style="1"/>
    <col min="3585" max="3585" width="41" style="1" customWidth="1"/>
    <col min="3586" max="3588" width="9.28515625" style="1" bestFit="1" customWidth="1"/>
    <col min="3589" max="3589" width="9.140625" style="1"/>
    <col min="3590" max="3590" width="9.28515625" style="1" bestFit="1" customWidth="1"/>
    <col min="3591" max="3591" width="10.28515625" style="1" bestFit="1" customWidth="1"/>
    <col min="3592" max="3592" width="12.5703125" style="1" customWidth="1"/>
    <col min="3593" max="3840" width="9.140625" style="1"/>
    <col min="3841" max="3841" width="41" style="1" customWidth="1"/>
    <col min="3842" max="3844" width="9.28515625" style="1" bestFit="1" customWidth="1"/>
    <col min="3845" max="3845" width="9.140625" style="1"/>
    <col min="3846" max="3846" width="9.28515625" style="1" bestFit="1" customWidth="1"/>
    <col min="3847" max="3847" width="10.28515625" style="1" bestFit="1" customWidth="1"/>
    <col min="3848" max="3848" width="12.5703125" style="1" customWidth="1"/>
    <col min="3849" max="4096" width="9.140625" style="1"/>
    <col min="4097" max="4097" width="41" style="1" customWidth="1"/>
    <col min="4098" max="4100" width="9.28515625" style="1" bestFit="1" customWidth="1"/>
    <col min="4101" max="4101" width="9.140625" style="1"/>
    <col min="4102" max="4102" width="9.28515625" style="1" bestFit="1" customWidth="1"/>
    <col min="4103" max="4103" width="10.28515625" style="1" bestFit="1" customWidth="1"/>
    <col min="4104" max="4104" width="12.5703125" style="1" customWidth="1"/>
    <col min="4105" max="4352" width="9.140625" style="1"/>
    <col min="4353" max="4353" width="41" style="1" customWidth="1"/>
    <col min="4354" max="4356" width="9.28515625" style="1" bestFit="1" customWidth="1"/>
    <col min="4357" max="4357" width="9.140625" style="1"/>
    <col min="4358" max="4358" width="9.28515625" style="1" bestFit="1" customWidth="1"/>
    <col min="4359" max="4359" width="10.28515625" style="1" bestFit="1" customWidth="1"/>
    <col min="4360" max="4360" width="12.5703125" style="1" customWidth="1"/>
    <col min="4361" max="4608" width="9.140625" style="1"/>
    <col min="4609" max="4609" width="41" style="1" customWidth="1"/>
    <col min="4610" max="4612" width="9.28515625" style="1" bestFit="1" customWidth="1"/>
    <col min="4613" max="4613" width="9.140625" style="1"/>
    <col min="4614" max="4614" width="9.28515625" style="1" bestFit="1" customWidth="1"/>
    <col min="4615" max="4615" width="10.28515625" style="1" bestFit="1" customWidth="1"/>
    <col min="4616" max="4616" width="12.5703125" style="1" customWidth="1"/>
    <col min="4617" max="4864" width="9.140625" style="1"/>
    <col min="4865" max="4865" width="41" style="1" customWidth="1"/>
    <col min="4866" max="4868" width="9.28515625" style="1" bestFit="1" customWidth="1"/>
    <col min="4869" max="4869" width="9.140625" style="1"/>
    <col min="4870" max="4870" width="9.28515625" style="1" bestFit="1" customWidth="1"/>
    <col min="4871" max="4871" width="10.28515625" style="1" bestFit="1" customWidth="1"/>
    <col min="4872" max="4872" width="12.5703125" style="1" customWidth="1"/>
    <col min="4873" max="5120" width="9.140625" style="1"/>
    <col min="5121" max="5121" width="41" style="1" customWidth="1"/>
    <col min="5122" max="5124" width="9.28515625" style="1" bestFit="1" customWidth="1"/>
    <col min="5125" max="5125" width="9.140625" style="1"/>
    <col min="5126" max="5126" width="9.28515625" style="1" bestFit="1" customWidth="1"/>
    <col min="5127" max="5127" width="10.28515625" style="1" bestFit="1" customWidth="1"/>
    <col min="5128" max="5128" width="12.5703125" style="1" customWidth="1"/>
    <col min="5129" max="5376" width="9.140625" style="1"/>
    <col min="5377" max="5377" width="41" style="1" customWidth="1"/>
    <col min="5378" max="5380" width="9.28515625" style="1" bestFit="1" customWidth="1"/>
    <col min="5381" max="5381" width="9.140625" style="1"/>
    <col min="5382" max="5382" width="9.28515625" style="1" bestFit="1" customWidth="1"/>
    <col min="5383" max="5383" width="10.28515625" style="1" bestFit="1" customWidth="1"/>
    <col min="5384" max="5384" width="12.5703125" style="1" customWidth="1"/>
    <col min="5385" max="5632" width="9.140625" style="1"/>
    <col min="5633" max="5633" width="41" style="1" customWidth="1"/>
    <col min="5634" max="5636" width="9.28515625" style="1" bestFit="1" customWidth="1"/>
    <col min="5637" max="5637" width="9.140625" style="1"/>
    <col min="5638" max="5638" width="9.28515625" style="1" bestFit="1" customWidth="1"/>
    <col min="5639" max="5639" width="10.28515625" style="1" bestFit="1" customWidth="1"/>
    <col min="5640" max="5640" width="12.5703125" style="1" customWidth="1"/>
    <col min="5641" max="5888" width="9.140625" style="1"/>
    <col min="5889" max="5889" width="41" style="1" customWidth="1"/>
    <col min="5890" max="5892" width="9.28515625" style="1" bestFit="1" customWidth="1"/>
    <col min="5893" max="5893" width="9.140625" style="1"/>
    <col min="5894" max="5894" width="9.28515625" style="1" bestFit="1" customWidth="1"/>
    <col min="5895" max="5895" width="10.28515625" style="1" bestFit="1" customWidth="1"/>
    <col min="5896" max="5896" width="12.5703125" style="1" customWidth="1"/>
    <col min="5897" max="6144" width="9.140625" style="1"/>
    <col min="6145" max="6145" width="41" style="1" customWidth="1"/>
    <col min="6146" max="6148" width="9.28515625" style="1" bestFit="1" customWidth="1"/>
    <col min="6149" max="6149" width="9.140625" style="1"/>
    <col min="6150" max="6150" width="9.28515625" style="1" bestFit="1" customWidth="1"/>
    <col min="6151" max="6151" width="10.28515625" style="1" bestFit="1" customWidth="1"/>
    <col min="6152" max="6152" width="12.5703125" style="1" customWidth="1"/>
    <col min="6153" max="6400" width="9.140625" style="1"/>
    <col min="6401" max="6401" width="41" style="1" customWidth="1"/>
    <col min="6402" max="6404" width="9.28515625" style="1" bestFit="1" customWidth="1"/>
    <col min="6405" max="6405" width="9.140625" style="1"/>
    <col min="6406" max="6406" width="9.28515625" style="1" bestFit="1" customWidth="1"/>
    <col min="6407" max="6407" width="10.28515625" style="1" bestFit="1" customWidth="1"/>
    <col min="6408" max="6408" width="12.5703125" style="1" customWidth="1"/>
    <col min="6409" max="6656" width="9.140625" style="1"/>
    <col min="6657" max="6657" width="41" style="1" customWidth="1"/>
    <col min="6658" max="6660" width="9.28515625" style="1" bestFit="1" customWidth="1"/>
    <col min="6661" max="6661" width="9.140625" style="1"/>
    <col min="6662" max="6662" width="9.28515625" style="1" bestFit="1" customWidth="1"/>
    <col min="6663" max="6663" width="10.28515625" style="1" bestFit="1" customWidth="1"/>
    <col min="6664" max="6664" width="12.5703125" style="1" customWidth="1"/>
    <col min="6665" max="6912" width="9.140625" style="1"/>
    <col min="6913" max="6913" width="41" style="1" customWidth="1"/>
    <col min="6914" max="6916" width="9.28515625" style="1" bestFit="1" customWidth="1"/>
    <col min="6917" max="6917" width="9.140625" style="1"/>
    <col min="6918" max="6918" width="9.28515625" style="1" bestFit="1" customWidth="1"/>
    <col min="6919" max="6919" width="10.28515625" style="1" bestFit="1" customWidth="1"/>
    <col min="6920" max="6920" width="12.5703125" style="1" customWidth="1"/>
    <col min="6921" max="7168" width="9.140625" style="1"/>
    <col min="7169" max="7169" width="41" style="1" customWidth="1"/>
    <col min="7170" max="7172" width="9.28515625" style="1" bestFit="1" customWidth="1"/>
    <col min="7173" max="7173" width="9.140625" style="1"/>
    <col min="7174" max="7174" width="9.28515625" style="1" bestFit="1" customWidth="1"/>
    <col min="7175" max="7175" width="10.28515625" style="1" bestFit="1" customWidth="1"/>
    <col min="7176" max="7176" width="12.5703125" style="1" customWidth="1"/>
    <col min="7177" max="7424" width="9.140625" style="1"/>
    <col min="7425" max="7425" width="41" style="1" customWidth="1"/>
    <col min="7426" max="7428" width="9.28515625" style="1" bestFit="1" customWidth="1"/>
    <col min="7429" max="7429" width="9.140625" style="1"/>
    <col min="7430" max="7430" width="9.28515625" style="1" bestFit="1" customWidth="1"/>
    <col min="7431" max="7431" width="10.28515625" style="1" bestFit="1" customWidth="1"/>
    <col min="7432" max="7432" width="12.5703125" style="1" customWidth="1"/>
    <col min="7433" max="7680" width="9.140625" style="1"/>
    <col min="7681" max="7681" width="41" style="1" customWidth="1"/>
    <col min="7682" max="7684" width="9.28515625" style="1" bestFit="1" customWidth="1"/>
    <col min="7685" max="7685" width="9.140625" style="1"/>
    <col min="7686" max="7686" width="9.28515625" style="1" bestFit="1" customWidth="1"/>
    <col min="7687" max="7687" width="10.28515625" style="1" bestFit="1" customWidth="1"/>
    <col min="7688" max="7688" width="12.5703125" style="1" customWidth="1"/>
    <col min="7689" max="7936" width="9.140625" style="1"/>
    <col min="7937" max="7937" width="41" style="1" customWidth="1"/>
    <col min="7938" max="7940" width="9.28515625" style="1" bestFit="1" customWidth="1"/>
    <col min="7941" max="7941" width="9.140625" style="1"/>
    <col min="7942" max="7942" width="9.28515625" style="1" bestFit="1" customWidth="1"/>
    <col min="7943" max="7943" width="10.28515625" style="1" bestFit="1" customWidth="1"/>
    <col min="7944" max="7944" width="12.5703125" style="1" customWidth="1"/>
    <col min="7945" max="8192" width="9.140625" style="1"/>
    <col min="8193" max="8193" width="41" style="1" customWidth="1"/>
    <col min="8194" max="8196" width="9.28515625" style="1" bestFit="1" customWidth="1"/>
    <col min="8197" max="8197" width="9.140625" style="1"/>
    <col min="8198" max="8198" width="9.28515625" style="1" bestFit="1" customWidth="1"/>
    <col min="8199" max="8199" width="10.28515625" style="1" bestFit="1" customWidth="1"/>
    <col min="8200" max="8200" width="12.5703125" style="1" customWidth="1"/>
    <col min="8201" max="8448" width="9.140625" style="1"/>
    <col min="8449" max="8449" width="41" style="1" customWidth="1"/>
    <col min="8450" max="8452" width="9.28515625" style="1" bestFit="1" customWidth="1"/>
    <col min="8453" max="8453" width="9.140625" style="1"/>
    <col min="8454" max="8454" width="9.28515625" style="1" bestFit="1" customWidth="1"/>
    <col min="8455" max="8455" width="10.28515625" style="1" bestFit="1" customWidth="1"/>
    <col min="8456" max="8456" width="12.5703125" style="1" customWidth="1"/>
    <col min="8457" max="8704" width="9.140625" style="1"/>
    <col min="8705" max="8705" width="41" style="1" customWidth="1"/>
    <col min="8706" max="8708" width="9.28515625" style="1" bestFit="1" customWidth="1"/>
    <col min="8709" max="8709" width="9.140625" style="1"/>
    <col min="8710" max="8710" width="9.28515625" style="1" bestFit="1" customWidth="1"/>
    <col min="8711" max="8711" width="10.28515625" style="1" bestFit="1" customWidth="1"/>
    <col min="8712" max="8712" width="12.5703125" style="1" customWidth="1"/>
    <col min="8713" max="8960" width="9.140625" style="1"/>
    <col min="8961" max="8961" width="41" style="1" customWidth="1"/>
    <col min="8962" max="8964" width="9.28515625" style="1" bestFit="1" customWidth="1"/>
    <col min="8965" max="8965" width="9.140625" style="1"/>
    <col min="8966" max="8966" width="9.28515625" style="1" bestFit="1" customWidth="1"/>
    <col min="8967" max="8967" width="10.28515625" style="1" bestFit="1" customWidth="1"/>
    <col min="8968" max="8968" width="12.5703125" style="1" customWidth="1"/>
    <col min="8969" max="9216" width="9.140625" style="1"/>
    <col min="9217" max="9217" width="41" style="1" customWidth="1"/>
    <col min="9218" max="9220" width="9.28515625" style="1" bestFit="1" customWidth="1"/>
    <col min="9221" max="9221" width="9.140625" style="1"/>
    <col min="9222" max="9222" width="9.28515625" style="1" bestFit="1" customWidth="1"/>
    <col min="9223" max="9223" width="10.28515625" style="1" bestFit="1" customWidth="1"/>
    <col min="9224" max="9224" width="12.5703125" style="1" customWidth="1"/>
    <col min="9225" max="9472" width="9.140625" style="1"/>
    <col min="9473" max="9473" width="41" style="1" customWidth="1"/>
    <col min="9474" max="9476" width="9.28515625" style="1" bestFit="1" customWidth="1"/>
    <col min="9477" max="9477" width="9.140625" style="1"/>
    <col min="9478" max="9478" width="9.28515625" style="1" bestFit="1" customWidth="1"/>
    <col min="9479" max="9479" width="10.28515625" style="1" bestFit="1" customWidth="1"/>
    <col min="9480" max="9480" width="12.5703125" style="1" customWidth="1"/>
    <col min="9481" max="9728" width="9.140625" style="1"/>
    <col min="9729" max="9729" width="41" style="1" customWidth="1"/>
    <col min="9730" max="9732" width="9.28515625" style="1" bestFit="1" customWidth="1"/>
    <col min="9733" max="9733" width="9.140625" style="1"/>
    <col min="9734" max="9734" width="9.28515625" style="1" bestFit="1" customWidth="1"/>
    <col min="9735" max="9735" width="10.28515625" style="1" bestFit="1" customWidth="1"/>
    <col min="9736" max="9736" width="12.5703125" style="1" customWidth="1"/>
    <col min="9737" max="9984" width="9.140625" style="1"/>
    <col min="9985" max="9985" width="41" style="1" customWidth="1"/>
    <col min="9986" max="9988" width="9.28515625" style="1" bestFit="1" customWidth="1"/>
    <col min="9989" max="9989" width="9.140625" style="1"/>
    <col min="9990" max="9990" width="9.28515625" style="1" bestFit="1" customWidth="1"/>
    <col min="9991" max="9991" width="10.28515625" style="1" bestFit="1" customWidth="1"/>
    <col min="9992" max="9992" width="12.5703125" style="1" customWidth="1"/>
    <col min="9993" max="10240" width="9.140625" style="1"/>
    <col min="10241" max="10241" width="41" style="1" customWidth="1"/>
    <col min="10242" max="10244" width="9.28515625" style="1" bestFit="1" customWidth="1"/>
    <col min="10245" max="10245" width="9.140625" style="1"/>
    <col min="10246" max="10246" width="9.28515625" style="1" bestFit="1" customWidth="1"/>
    <col min="10247" max="10247" width="10.28515625" style="1" bestFit="1" customWidth="1"/>
    <col min="10248" max="10248" width="12.5703125" style="1" customWidth="1"/>
    <col min="10249" max="10496" width="9.140625" style="1"/>
    <col min="10497" max="10497" width="41" style="1" customWidth="1"/>
    <col min="10498" max="10500" width="9.28515625" style="1" bestFit="1" customWidth="1"/>
    <col min="10501" max="10501" width="9.140625" style="1"/>
    <col min="10502" max="10502" width="9.28515625" style="1" bestFit="1" customWidth="1"/>
    <col min="10503" max="10503" width="10.28515625" style="1" bestFit="1" customWidth="1"/>
    <col min="10504" max="10504" width="12.5703125" style="1" customWidth="1"/>
    <col min="10505" max="10752" width="9.140625" style="1"/>
    <col min="10753" max="10753" width="41" style="1" customWidth="1"/>
    <col min="10754" max="10756" width="9.28515625" style="1" bestFit="1" customWidth="1"/>
    <col min="10757" max="10757" width="9.140625" style="1"/>
    <col min="10758" max="10758" width="9.28515625" style="1" bestFit="1" customWidth="1"/>
    <col min="10759" max="10759" width="10.28515625" style="1" bestFit="1" customWidth="1"/>
    <col min="10760" max="10760" width="12.5703125" style="1" customWidth="1"/>
    <col min="10761" max="11008" width="9.140625" style="1"/>
    <col min="11009" max="11009" width="41" style="1" customWidth="1"/>
    <col min="11010" max="11012" width="9.28515625" style="1" bestFit="1" customWidth="1"/>
    <col min="11013" max="11013" width="9.140625" style="1"/>
    <col min="11014" max="11014" width="9.28515625" style="1" bestFit="1" customWidth="1"/>
    <col min="11015" max="11015" width="10.28515625" style="1" bestFit="1" customWidth="1"/>
    <col min="11016" max="11016" width="12.5703125" style="1" customWidth="1"/>
    <col min="11017" max="11264" width="9.140625" style="1"/>
    <col min="11265" max="11265" width="41" style="1" customWidth="1"/>
    <col min="11266" max="11268" width="9.28515625" style="1" bestFit="1" customWidth="1"/>
    <col min="11269" max="11269" width="9.140625" style="1"/>
    <col min="11270" max="11270" width="9.28515625" style="1" bestFit="1" customWidth="1"/>
    <col min="11271" max="11271" width="10.28515625" style="1" bestFit="1" customWidth="1"/>
    <col min="11272" max="11272" width="12.5703125" style="1" customWidth="1"/>
    <col min="11273" max="11520" width="9.140625" style="1"/>
    <col min="11521" max="11521" width="41" style="1" customWidth="1"/>
    <col min="11522" max="11524" width="9.28515625" style="1" bestFit="1" customWidth="1"/>
    <col min="11525" max="11525" width="9.140625" style="1"/>
    <col min="11526" max="11526" width="9.28515625" style="1" bestFit="1" customWidth="1"/>
    <col min="11527" max="11527" width="10.28515625" style="1" bestFit="1" customWidth="1"/>
    <col min="11528" max="11528" width="12.5703125" style="1" customWidth="1"/>
    <col min="11529" max="11776" width="9.140625" style="1"/>
    <col min="11777" max="11777" width="41" style="1" customWidth="1"/>
    <col min="11778" max="11780" width="9.28515625" style="1" bestFit="1" customWidth="1"/>
    <col min="11781" max="11781" width="9.140625" style="1"/>
    <col min="11782" max="11782" width="9.28515625" style="1" bestFit="1" customWidth="1"/>
    <col min="11783" max="11783" width="10.28515625" style="1" bestFit="1" customWidth="1"/>
    <col min="11784" max="11784" width="12.5703125" style="1" customWidth="1"/>
    <col min="11785" max="12032" width="9.140625" style="1"/>
    <col min="12033" max="12033" width="41" style="1" customWidth="1"/>
    <col min="12034" max="12036" width="9.28515625" style="1" bestFit="1" customWidth="1"/>
    <col min="12037" max="12037" width="9.140625" style="1"/>
    <col min="12038" max="12038" width="9.28515625" style="1" bestFit="1" customWidth="1"/>
    <col min="12039" max="12039" width="10.28515625" style="1" bestFit="1" customWidth="1"/>
    <col min="12040" max="12040" width="12.5703125" style="1" customWidth="1"/>
    <col min="12041" max="12288" width="9.140625" style="1"/>
    <col min="12289" max="12289" width="41" style="1" customWidth="1"/>
    <col min="12290" max="12292" width="9.28515625" style="1" bestFit="1" customWidth="1"/>
    <col min="12293" max="12293" width="9.140625" style="1"/>
    <col min="12294" max="12294" width="9.28515625" style="1" bestFit="1" customWidth="1"/>
    <col min="12295" max="12295" width="10.28515625" style="1" bestFit="1" customWidth="1"/>
    <col min="12296" max="12296" width="12.5703125" style="1" customWidth="1"/>
    <col min="12297" max="12544" width="9.140625" style="1"/>
    <col min="12545" max="12545" width="41" style="1" customWidth="1"/>
    <col min="12546" max="12548" width="9.28515625" style="1" bestFit="1" customWidth="1"/>
    <col min="12549" max="12549" width="9.140625" style="1"/>
    <col min="12550" max="12550" width="9.28515625" style="1" bestFit="1" customWidth="1"/>
    <col min="12551" max="12551" width="10.28515625" style="1" bestFit="1" customWidth="1"/>
    <col min="12552" max="12552" width="12.5703125" style="1" customWidth="1"/>
    <col min="12553" max="12800" width="9.140625" style="1"/>
    <col min="12801" max="12801" width="41" style="1" customWidth="1"/>
    <col min="12802" max="12804" width="9.28515625" style="1" bestFit="1" customWidth="1"/>
    <col min="12805" max="12805" width="9.140625" style="1"/>
    <col min="12806" max="12806" width="9.28515625" style="1" bestFit="1" customWidth="1"/>
    <col min="12807" max="12807" width="10.28515625" style="1" bestFit="1" customWidth="1"/>
    <col min="12808" max="12808" width="12.5703125" style="1" customWidth="1"/>
    <col min="12809" max="13056" width="9.140625" style="1"/>
    <col min="13057" max="13057" width="41" style="1" customWidth="1"/>
    <col min="13058" max="13060" width="9.28515625" style="1" bestFit="1" customWidth="1"/>
    <col min="13061" max="13061" width="9.140625" style="1"/>
    <col min="13062" max="13062" width="9.28515625" style="1" bestFit="1" customWidth="1"/>
    <col min="13063" max="13063" width="10.28515625" style="1" bestFit="1" customWidth="1"/>
    <col min="13064" max="13064" width="12.5703125" style="1" customWidth="1"/>
    <col min="13065" max="13312" width="9.140625" style="1"/>
    <col min="13313" max="13313" width="41" style="1" customWidth="1"/>
    <col min="13314" max="13316" width="9.28515625" style="1" bestFit="1" customWidth="1"/>
    <col min="13317" max="13317" width="9.140625" style="1"/>
    <col min="13318" max="13318" width="9.28515625" style="1" bestFit="1" customWidth="1"/>
    <col min="13319" max="13319" width="10.28515625" style="1" bestFit="1" customWidth="1"/>
    <col min="13320" max="13320" width="12.5703125" style="1" customWidth="1"/>
    <col min="13321" max="13568" width="9.140625" style="1"/>
    <col min="13569" max="13569" width="41" style="1" customWidth="1"/>
    <col min="13570" max="13572" width="9.28515625" style="1" bestFit="1" customWidth="1"/>
    <col min="13573" max="13573" width="9.140625" style="1"/>
    <col min="13574" max="13574" width="9.28515625" style="1" bestFit="1" customWidth="1"/>
    <col min="13575" max="13575" width="10.28515625" style="1" bestFit="1" customWidth="1"/>
    <col min="13576" max="13576" width="12.5703125" style="1" customWidth="1"/>
    <col min="13577" max="13824" width="9.140625" style="1"/>
    <col min="13825" max="13825" width="41" style="1" customWidth="1"/>
    <col min="13826" max="13828" width="9.28515625" style="1" bestFit="1" customWidth="1"/>
    <col min="13829" max="13829" width="9.140625" style="1"/>
    <col min="13830" max="13830" width="9.28515625" style="1" bestFit="1" customWidth="1"/>
    <col min="13831" max="13831" width="10.28515625" style="1" bestFit="1" customWidth="1"/>
    <col min="13832" max="13832" width="12.5703125" style="1" customWidth="1"/>
    <col min="13833" max="14080" width="9.140625" style="1"/>
    <col min="14081" max="14081" width="41" style="1" customWidth="1"/>
    <col min="14082" max="14084" width="9.28515625" style="1" bestFit="1" customWidth="1"/>
    <col min="14085" max="14085" width="9.140625" style="1"/>
    <col min="14086" max="14086" width="9.28515625" style="1" bestFit="1" customWidth="1"/>
    <col min="14087" max="14087" width="10.28515625" style="1" bestFit="1" customWidth="1"/>
    <col min="14088" max="14088" width="12.5703125" style="1" customWidth="1"/>
    <col min="14089" max="14336" width="9.140625" style="1"/>
    <col min="14337" max="14337" width="41" style="1" customWidth="1"/>
    <col min="14338" max="14340" width="9.28515625" style="1" bestFit="1" customWidth="1"/>
    <col min="14341" max="14341" width="9.140625" style="1"/>
    <col min="14342" max="14342" width="9.28515625" style="1" bestFit="1" customWidth="1"/>
    <col min="14343" max="14343" width="10.28515625" style="1" bestFit="1" customWidth="1"/>
    <col min="14344" max="14344" width="12.5703125" style="1" customWidth="1"/>
    <col min="14345" max="14592" width="9.140625" style="1"/>
    <col min="14593" max="14593" width="41" style="1" customWidth="1"/>
    <col min="14594" max="14596" width="9.28515625" style="1" bestFit="1" customWidth="1"/>
    <col min="14597" max="14597" width="9.140625" style="1"/>
    <col min="14598" max="14598" width="9.28515625" style="1" bestFit="1" customWidth="1"/>
    <col min="14599" max="14599" width="10.28515625" style="1" bestFit="1" customWidth="1"/>
    <col min="14600" max="14600" width="12.5703125" style="1" customWidth="1"/>
    <col min="14601" max="14848" width="9.140625" style="1"/>
    <col min="14849" max="14849" width="41" style="1" customWidth="1"/>
    <col min="14850" max="14852" width="9.28515625" style="1" bestFit="1" customWidth="1"/>
    <col min="14853" max="14853" width="9.140625" style="1"/>
    <col min="14854" max="14854" width="9.28515625" style="1" bestFit="1" customWidth="1"/>
    <col min="14855" max="14855" width="10.28515625" style="1" bestFit="1" customWidth="1"/>
    <col min="14856" max="14856" width="12.5703125" style="1" customWidth="1"/>
    <col min="14857" max="15104" width="9.140625" style="1"/>
    <col min="15105" max="15105" width="41" style="1" customWidth="1"/>
    <col min="15106" max="15108" width="9.28515625" style="1" bestFit="1" customWidth="1"/>
    <col min="15109" max="15109" width="9.140625" style="1"/>
    <col min="15110" max="15110" width="9.28515625" style="1" bestFit="1" customWidth="1"/>
    <col min="15111" max="15111" width="10.28515625" style="1" bestFit="1" customWidth="1"/>
    <col min="15112" max="15112" width="12.5703125" style="1" customWidth="1"/>
    <col min="15113" max="15360" width="9.140625" style="1"/>
    <col min="15361" max="15361" width="41" style="1" customWidth="1"/>
    <col min="15362" max="15364" width="9.28515625" style="1" bestFit="1" customWidth="1"/>
    <col min="15365" max="15365" width="9.140625" style="1"/>
    <col min="15366" max="15366" width="9.28515625" style="1" bestFit="1" customWidth="1"/>
    <col min="15367" max="15367" width="10.28515625" style="1" bestFit="1" customWidth="1"/>
    <col min="15368" max="15368" width="12.5703125" style="1" customWidth="1"/>
    <col min="15369" max="15616" width="9.140625" style="1"/>
    <col min="15617" max="15617" width="41" style="1" customWidth="1"/>
    <col min="15618" max="15620" width="9.28515625" style="1" bestFit="1" customWidth="1"/>
    <col min="15621" max="15621" width="9.140625" style="1"/>
    <col min="15622" max="15622" width="9.28515625" style="1" bestFit="1" customWidth="1"/>
    <col min="15623" max="15623" width="10.28515625" style="1" bestFit="1" customWidth="1"/>
    <col min="15624" max="15624" width="12.5703125" style="1" customWidth="1"/>
    <col min="15625" max="15872" width="9.140625" style="1"/>
    <col min="15873" max="15873" width="41" style="1" customWidth="1"/>
    <col min="15874" max="15876" width="9.28515625" style="1" bestFit="1" customWidth="1"/>
    <col min="15877" max="15877" width="9.140625" style="1"/>
    <col min="15878" max="15878" width="9.28515625" style="1" bestFit="1" customWidth="1"/>
    <col min="15879" max="15879" width="10.28515625" style="1" bestFit="1" customWidth="1"/>
    <col min="15880" max="15880" width="12.5703125" style="1" customWidth="1"/>
    <col min="15881" max="16128" width="9.140625" style="1"/>
    <col min="16129" max="16129" width="41" style="1" customWidth="1"/>
    <col min="16130" max="16132" width="9.28515625" style="1" bestFit="1" customWidth="1"/>
    <col min="16133" max="16133" width="9.140625" style="1"/>
    <col min="16134" max="16134" width="9.28515625" style="1" bestFit="1" customWidth="1"/>
    <col min="16135" max="16135" width="10.28515625" style="1" bestFit="1" customWidth="1"/>
    <col min="16136" max="16136" width="12.5703125" style="1" customWidth="1"/>
    <col min="16137" max="16384" width="9.140625" style="1"/>
  </cols>
  <sheetData>
    <row r="1" spans="1:12" x14ac:dyDescent="0.2">
      <c r="A1" s="1" t="s">
        <v>104</v>
      </c>
    </row>
    <row r="2" spans="1:12" x14ac:dyDescent="0.2">
      <c r="A2" s="44" t="s">
        <v>103</v>
      </c>
    </row>
    <row r="4" spans="1:12" s="8" customFormat="1" x14ac:dyDescent="0.2">
      <c r="A4" s="23" t="s">
        <v>121</v>
      </c>
      <c r="B4" s="14"/>
      <c r="C4" s="14"/>
      <c r="D4" s="14"/>
      <c r="E4" s="14"/>
      <c r="F4" s="14"/>
      <c r="G4" s="14"/>
      <c r="H4" s="14"/>
    </row>
    <row r="5" spans="1:12" s="8" customFormat="1" x14ac:dyDescent="0.2">
      <c r="B5" s="14"/>
      <c r="C5" s="14"/>
      <c r="D5" s="14"/>
      <c r="E5" s="14"/>
      <c r="F5" s="14"/>
      <c r="G5" s="14"/>
      <c r="H5" s="14"/>
    </row>
    <row r="6" spans="1:12" s="8" customFormat="1" x14ac:dyDescent="0.2">
      <c r="B6" s="43" t="s">
        <v>101</v>
      </c>
      <c r="C6" s="43"/>
      <c r="D6" s="43"/>
      <c r="E6" s="14"/>
      <c r="F6" s="14"/>
      <c r="G6" s="14"/>
      <c r="H6" s="14"/>
    </row>
    <row r="7" spans="1:12" x14ac:dyDescent="0.2">
      <c r="A7" s="12" t="s">
        <v>100</v>
      </c>
      <c r="B7" s="23">
        <v>1998</v>
      </c>
      <c r="C7" s="23">
        <v>2002</v>
      </c>
      <c r="D7" s="23">
        <v>2006</v>
      </c>
      <c r="E7" s="13"/>
      <c r="F7" s="13"/>
      <c r="G7" s="13"/>
      <c r="H7" s="13"/>
    </row>
    <row r="8" spans="1:12" x14ac:dyDescent="0.2">
      <c r="A8" s="6" t="s">
        <v>122</v>
      </c>
      <c r="F8" s="53"/>
      <c r="G8" s="53"/>
      <c r="H8" s="53"/>
    </row>
    <row r="9" spans="1:12" ht="15" x14ac:dyDescent="0.25">
      <c r="A9" s="54" t="s">
        <v>123</v>
      </c>
      <c r="B9" s="40">
        <v>6215.95</v>
      </c>
      <c r="C9" s="40">
        <v>6304.6450000000004</v>
      </c>
      <c r="D9" s="40">
        <v>6560.875</v>
      </c>
      <c r="F9" s="40"/>
      <c r="G9" s="40"/>
      <c r="H9" s="40"/>
      <c r="J9" s="3"/>
      <c r="K9" s="3"/>
      <c r="L9" s="3"/>
    </row>
    <row r="10" spans="1:12" x14ac:dyDescent="0.2">
      <c r="A10" s="54"/>
      <c r="B10" s="4"/>
      <c r="C10" s="4"/>
      <c r="D10" s="4"/>
    </row>
    <row r="11" spans="1:12" x14ac:dyDescent="0.2">
      <c r="A11" s="6" t="s">
        <v>94</v>
      </c>
      <c r="B11" s="4"/>
      <c r="C11" s="4"/>
      <c r="D11" s="4"/>
      <c r="H11" s="6"/>
    </row>
    <row r="12" spans="1:12" x14ac:dyDescent="0.2">
      <c r="A12" s="1" t="s">
        <v>93</v>
      </c>
      <c r="B12" s="4">
        <v>137.95699999999999</v>
      </c>
      <c r="C12" s="4">
        <v>215.19028900000001</v>
      </c>
      <c r="D12" s="4">
        <v>546.81120599999997</v>
      </c>
      <c r="H12" s="32"/>
    </row>
    <row r="13" spans="1:12" ht="15" x14ac:dyDescent="0.25">
      <c r="A13" s="1" t="s">
        <v>124</v>
      </c>
      <c r="B13" s="4">
        <v>134.654</v>
      </c>
      <c r="C13" s="4">
        <v>212.47200000000001</v>
      </c>
      <c r="D13" s="4">
        <v>530.24599999999998</v>
      </c>
      <c r="E13" s="55"/>
      <c r="F13" s="3"/>
      <c r="G13" s="3"/>
    </row>
    <row r="14" spans="1:12" ht="15" x14ac:dyDescent="0.25">
      <c r="A14" s="1" t="s">
        <v>92</v>
      </c>
      <c r="B14" s="40">
        <v>31.649246000000002</v>
      </c>
      <c r="C14" s="4">
        <v>36.871712000000002</v>
      </c>
      <c r="D14" s="4">
        <v>125.792029</v>
      </c>
      <c r="E14" s="55"/>
      <c r="F14" s="3"/>
      <c r="G14" s="3"/>
    </row>
    <row r="15" spans="1:12" ht="15" x14ac:dyDescent="0.25">
      <c r="B15" s="5"/>
      <c r="C15" s="5"/>
      <c r="D15" s="40"/>
      <c r="E15" s="55"/>
      <c r="F15" s="3"/>
      <c r="G15" s="3"/>
    </row>
    <row r="16" spans="1:12" ht="15" x14ac:dyDescent="0.25">
      <c r="A16" s="6" t="s">
        <v>91</v>
      </c>
      <c r="B16" s="5"/>
      <c r="C16" s="5"/>
      <c r="D16" s="40"/>
    </row>
    <row r="17" spans="1:8" ht="15" x14ac:dyDescent="0.25">
      <c r="A17" s="1" t="s">
        <v>90</v>
      </c>
      <c r="B17" s="40">
        <v>227.4532930463358</v>
      </c>
      <c r="C17" s="4">
        <v>241.04618476895493</v>
      </c>
      <c r="D17" s="4">
        <v>264.33428029488289</v>
      </c>
    </row>
    <row r="18" spans="1:8" ht="15" x14ac:dyDescent="0.25">
      <c r="A18" s="1" t="s">
        <v>125</v>
      </c>
      <c r="B18" s="40">
        <v>223.62194443223302</v>
      </c>
      <c r="C18" s="4">
        <v>239.63173315738416</v>
      </c>
      <c r="D18" s="4">
        <v>253.97082493043627</v>
      </c>
    </row>
    <row r="19" spans="1:8" s="13" customFormat="1" ht="15" x14ac:dyDescent="0.25">
      <c r="A19" s="47" t="s">
        <v>126</v>
      </c>
      <c r="B19" s="40">
        <v>37.669153405777259</v>
      </c>
      <c r="C19" s="4">
        <v>45.650256283273499</v>
      </c>
      <c r="D19" s="4">
        <v>53.436203410278416</v>
      </c>
      <c r="E19" s="56"/>
      <c r="F19" s="47"/>
      <c r="G19" s="47"/>
      <c r="H19" s="47"/>
    </row>
    <row r="20" spans="1:8" ht="13.5" x14ac:dyDescent="0.2">
      <c r="A20" s="57" t="s">
        <v>88</v>
      </c>
      <c r="B20" s="57"/>
      <c r="C20" s="57"/>
      <c r="D20" s="57"/>
      <c r="E20" s="57"/>
      <c r="F20" s="57"/>
      <c r="G20" s="57"/>
      <c r="H20" s="57"/>
    </row>
    <row r="21" spans="1:8" ht="13.5" x14ac:dyDescent="0.2">
      <c r="A21" s="58" t="s">
        <v>127</v>
      </c>
      <c r="B21" s="59"/>
      <c r="C21" s="59"/>
      <c r="D21" s="59"/>
      <c r="E21" s="59"/>
      <c r="F21" s="59"/>
      <c r="G21" s="59"/>
      <c r="H21" s="59"/>
    </row>
    <row r="22" spans="1:8" ht="13.5" x14ac:dyDescent="0.2">
      <c r="A22" s="58" t="s">
        <v>128</v>
      </c>
      <c r="B22" s="59"/>
      <c r="C22" s="59"/>
      <c r="D22" s="59"/>
      <c r="E22" s="59"/>
      <c r="F22" s="59"/>
      <c r="G22" s="59"/>
      <c r="H22" s="59"/>
    </row>
    <row r="23" spans="1:8" ht="63.75" customHeight="1" x14ac:dyDescent="0.2">
      <c r="A23" s="34" t="s">
        <v>129</v>
      </c>
      <c r="B23" s="34"/>
      <c r="C23" s="34"/>
      <c r="D23" s="34"/>
      <c r="E23" s="34"/>
      <c r="F23" s="34"/>
      <c r="G23" s="59"/>
      <c r="H23" s="59"/>
    </row>
  </sheetData>
  <mergeCells count="6">
    <mergeCell ref="B6:D6"/>
    <mergeCell ref="F8:H8"/>
    <mergeCell ref="A20:H20"/>
    <mergeCell ref="A21:H21"/>
    <mergeCell ref="A22:H22"/>
    <mergeCell ref="A23:H23"/>
  </mergeCells>
  <pageMargins left="0.75" right="0.75" top="1" bottom="1" header="0.5" footer="0.5"/>
  <pageSetup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30"/>
  <sheetViews>
    <sheetView zoomScaleNormal="100" zoomScaleSheetLayoutView="100" workbookViewId="0">
      <selection activeCell="B14" sqref="B14"/>
    </sheetView>
  </sheetViews>
  <sheetFormatPr defaultRowHeight="12.75" x14ac:dyDescent="0.2"/>
  <cols>
    <col min="1" max="1" width="5.5703125" style="1" customWidth="1"/>
    <col min="2" max="2" width="35.28515625" style="1" customWidth="1"/>
    <col min="3" max="7" width="9.140625" style="1"/>
    <col min="8" max="8" width="11.7109375" style="1" customWidth="1"/>
    <col min="9" max="256" width="9.140625" style="1"/>
    <col min="257" max="257" width="5.5703125" style="1" customWidth="1"/>
    <col min="258" max="258" width="35.28515625" style="1" customWidth="1"/>
    <col min="259" max="263" width="9.140625" style="1"/>
    <col min="264" max="264" width="11.7109375" style="1" customWidth="1"/>
    <col min="265" max="512" width="9.140625" style="1"/>
    <col min="513" max="513" width="5.5703125" style="1" customWidth="1"/>
    <col min="514" max="514" width="35.28515625" style="1" customWidth="1"/>
    <col min="515" max="519" width="9.140625" style="1"/>
    <col min="520" max="520" width="11.7109375" style="1" customWidth="1"/>
    <col min="521" max="768" width="9.140625" style="1"/>
    <col min="769" max="769" width="5.5703125" style="1" customWidth="1"/>
    <col min="770" max="770" width="35.28515625" style="1" customWidth="1"/>
    <col min="771" max="775" width="9.140625" style="1"/>
    <col min="776" max="776" width="11.7109375" style="1" customWidth="1"/>
    <col min="777" max="1024" width="9.140625" style="1"/>
    <col min="1025" max="1025" width="5.5703125" style="1" customWidth="1"/>
    <col min="1026" max="1026" width="35.28515625" style="1" customWidth="1"/>
    <col min="1027" max="1031" width="9.140625" style="1"/>
    <col min="1032" max="1032" width="11.7109375" style="1" customWidth="1"/>
    <col min="1033" max="1280" width="9.140625" style="1"/>
    <col min="1281" max="1281" width="5.5703125" style="1" customWidth="1"/>
    <col min="1282" max="1282" width="35.28515625" style="1" customWidth="1"/>
    <col min="1283" max="1287" width="9.140625" style="1"/>
    <col min="1288" max="1288" width="11.7109375" style="1" customWidth="1"/>
    <col min="1289" max="1536" width="9.140625" style="1"/>
    <col min="1537" max="1537" width="5.5703125" style="1" customWidth="1"/>
    <col min="1538" max="1538" width="35.28515625" style="1" customWidth="1"/>
    <col min="1539" max="1543" width="9.140625" style="1"/>
    <col min="1544" max="1544" width="11.7109375" style="1" customWidth="1"/>
    <col min="1545" max="1792" width="9.140625" style="1"/>
    <col min="1793" max="1793" width="5.5703125" style="1" customWidth="1"/>
    <col min="1794" max="1794" width="35.28515625" style="1" customWidth="1"/>
    <col min="1795" max="1799" width="9.140625" style="1"/>
    <col min="1800" max="1800" width="11.7109375" style="1" customWidth="1"/>
    <col min="1801" max="2048" width="9.140625" style="1"/>
    <col min="2049" max="2049" width="5.5703125" style="1" customWidth="1"/>
    <col min="2050" max="2050" width="35.28515625" style="1" customWidth="1"/>
    <col min="2051" max="2055" width="9.140625" style="1"/>
    <col min="2056" max="2056" width="11.7109375" style="1" customWidth="1"/>
    <col min="2057" max="2304" width="9.140625" style="1"/>
    <col min="2305" max="2305" width="5.5703125" style="1" customWidth="1"/>
    <col min="2306" max="2306" width="35.28515625" style="1" customWidth="1"/>
    <col min="2307" max="2311" width="9.140625" style="1"/>
    <col min="2312" max="2312" width="11.7109375" style="1" customWidth="1"/>
    <col min="2313" max="2560" width="9.140625" style="1"/>
    <col min="2561" max="2561" width="5.5703125" style="1" customWidth="1"/>
    <col min="2562" max="2562" width="35.28515625" style="1" customWidth="1"/>
    <col min="2563" max="2567" width="9.140625" style="1"/>
    <col min="2568" max="2568" width="11.7109375" style="1" customWidth="1"/>
    <col min="2569" max="2816" width="9.140625" style="1"/>
    <col min="2817" max="2817" width="5.5703125" style="1" customWidth="1"/>
    <col min="2818" max="2818" width="35.28515625" style="1" customWidth="1"/>
    <col min="2819" max="2823" width="9.140625" style="1"/>
    <col min="2824" max="2824" width="11.7109375" style="1" customWidth="1"/>
    <col min="2825" max="3072" width="9.140625" style="1"/>
    <col min="3073" max="3073" width="5.5703125" style="1" customWidth="1"/>
    <col min="3074" max="3074" width="35.28515625" style="1" customWidth="1"/>
    <col min="3075" max="3079" width="9.140625" style="1"/>
    <col min="3080" max="3080" width="11.7109375" style="1" customWidth="1"/>
    <col min="3081" max="3328" width="9.140625" style="1"/>
    <col min="3329" max="3329" width="5.5703125" style="1" customWidth="1"/>
    <col min="3330" max="3330" width="35.28515625" style="1" customWidth="1"/>
    <col min="3331" max="3335" width="9.140625" style="1"/>
    <col min="3336" max="3336" width="11.7109375" style="1" customWidth="1"/>
    <col min="3337" max="3584" width="9.140625" style="1"/>
    <col min="3585" max="3585" width="5.5703125" style="1" customWidth="1"/>
    <col min="3586" max="3586" width="35.28515625" style="1" customWidth="1"/>
    <col min="3587" max="3591" width="9.140625" style="1"/>
    <col min="3592" max="3592" width="11.7109375" style="1" customWidth="1"/>
    <col min="3593" max="3840" width="9.140625" style="1"/>
    <col min="3841" max="3841" width="5.5703125" style="1" customWidth="1"/>
    <col min="3842" max="3842" width="35.28515625" style="1" customWidth="1"/>
    <col min="3843" max="3847" width="9.140625" style="1"/>
    <col min="3848" max="3848" width="11.7109375" style="1" customWidth="1"/>
    <col min="3849" max="4096" width="9.140625" style="1"/>
    <col min="4097" max="4097" width="5.5703125" style="1" customWidth="1"/>
    <col min="4098" max="4098" width="35.28515625" style="1" customWidth="1"/>
    <col min="4099" max="4103" width="9.140625" style="1"/>
    <col min="4104" max="4104" width="11.7109375" style="1" customWidth="1"/>
    <col min="4105" max="4352" width="9.140625" style="1"/>
    <col min="4353" max="4353" width="5.5703125" style="1" customWidth="1"/>
    <col min="4354" max="4354" width="35.28515625" style="1" customWidth="1"/>
    <col min="4355" max="4359" width="9.140625" style="1"/>
    <col min="4360" max="4360" width="11.7109375" style="1" customWidth="1"/>
    <col min="4361" max="4608" width="9.140625" style="1"/>
    <col min="4609" max="4609" width="5.5703125" style="1" customWidth="1"/>
    <col min="4610" max="4610" width="35.28515625" style="1" customWidth="1"/>
    <col min="4611" max="4615" width="9.140625" style="1"/>
    <col min="4616" max="4616" width="11.7109375" style="1" customWidth="1"/>
    <col min="4617" max="4864" width="9.140625" style="1"/>
    <col min="4865" max="4865" width="5.5703125" style="1" customWidth="1"/>
    <col min="4866" max="4866" width="35.28515625" style="1" customWidth="1"/>
    <col min="4867" max="4871" width="9.140625" style="1"/>
    <col min="4872" max="4872" width="11.7109375" style="1" customWidth="1"/>
    <col min="4873" max="5120" width="9.140625" style="1"/>
    <col min="5121" max="5121" width="5.5703125" style="1" customWidth="1"/>
    <col min="5122" max="5122" width="35.28515625" style="1" customWidth="1"/>
    <col min="5123" max="5127" width="9.140625" style="1"/>
    <col min="5128" max="5128" width="11.7109375" style="1" customWidth="1"/>
    <col min="5129" max="5376" width="9.140625" style="1"/>
    <col min="5377" max="5377" width="5.5703125" style="1" customWidth="1"/>
    <col min="5378" max="5378" width="35.28515625" style="1" customWidth="1"/>
    <col min="5379" max="5383" width="9.140625" style="1"/>
    <col min="5384" max="5384" width="11.7109375" style="1" customWidth="1"/>
    <col min="5385" max="5632" width="9.140625" style="1"/>
    <col min="5633" max="5633" width="5.5703125" style="1" customWidth="1"/>
    <col min="5634" max="5634" width="35.28515625" style="1" customWidth="1"/>
    <col min="5635" max="5639" width="9.140625" style="1"/>
    <col min="5640" max="5640" width="11.7109375" style="1" customWidth="1"/>
    <col min="5641" max="5888" width="9.140625" style="1"/>
    <col min="5889" max="5889" width="5.5703125" style="1" customWidth="1"/>
    <col min="5890" max="5890" width="35.28515625" style="1" customWidth="1"/>
    <col min="5891" max="5895" width="9.140625" style="1"/>
    <col min="5896" max="5896" width="11.7109375" style="1" customWidth="1"/>
    <col min="5897" max="6144" width="9.140625" style="1"/>
    <col min="6145" max="6145" width="5.5703125" style="1" customWidth="1"/>
    <col min="6146" max="6146" width="35.28515625" style="1" customWidth="1"/>
    <col min="6147" max="6151" width="9.140625" style="1"/>
    <col min="6152" max="6152" width="11.7109375" style="1" customWidth="1"/>
    <col min="6153" max="6400" width="9.140625" style="1"/>
    <col min="6401" max="6401" width="5.5703125" style="1" customWidth="1"/>
    <col min="6402" max="6402" width="35.28515625" style="1" customWidth="1"/>
    <col min="6403" max="6407" width="9.140625" style="1"/>
    <col min="6408" max="6408" width="11.7109375" style="1" customWidth="1"/>
    <col min="6409" max="6656" width="9.140625" style="1"/>
    <col min="6657" max="6657" width="5.5703125" style="1" customWidth="1"/>
    <col min="6658" max="6658" width="35.28515625" style="1" customWidth="1"/>
    <col min="6659" max="6663" width="9.140625" style="1"/>
    <col min="6664" max="6664" width="11.7109375" style="1" customWidth="1"/>
    <col min="6665" max="6912" width="9.140625" style="1"/>
    <col min="6913" max="6913" width="5.5703125" style="1" customWidth="1"/>
    <col min="6914" max="6914" width="35.28515625" style="1" customWidth="1"/>
    <col min="6915" max="6919" width="9.140625" style="1"/>
    <col min="6920" max="6920" width="11.7109375" style="1" customWidth="1"/>
    <col min="6921" max="7168" width="9.140625" style="1"/>
    <col min="7169" max="7169" width="5.5703125" style="1" customWidth="1"/>
    <col min="7170" max="7170" width="35.28515625" style="1" customWidth="1"/>
    <col min="7171" max="7175" width="9.140625" style="1"/>
    <col min="7176" max="7176" width="11.7109375" style="1" customWidth="1"/>
    <col min="7177" max="7424" width="9.140625" style="1"/>
    <col min="7425" max="7425" width="5.5703125" style="1" customWidth="1"/>
    <col min="7426" max="7426" width="35.28515625" style="1" customWidth="1"/>
    <col min="7427" max="7431" width="9.140625" style="1"/>
    <col min="7432" max="7432" width="11.7109375" style="1" customWidth="1"/>
    <col min="7433" max="7680" width="9.140625" style="1"/>
    <col min="7681" max="7681" width="5.5703125" style="1" customWidth="1"/>
    <col min="7682" max="7682" width="35.28515625" style="1" customWidth="1"/>
    <col min="7683" max="7687" width="9.140625" style="1"/>
    <col min="7688" max="7688" width="11.7109375" style="1" customWidth="1"/>
    <col min="7689" max="7936" width="9.140625" style="1"/>
    <col min="7937" max="7937" width="5.5703125" style="1" customWidth="1"/>
    <col min="7938" max="7938" width="35.28515625" style="1" customWidth="1"/>
    <col min="7939" max="7943" width="9.140625" style="1"/>
    <col min="7944" max="7944" width="11.7109375" style="1" customWidth="1"/>
    <col min="7945" max="8192" width="9.140625" style="1"/>
    <col min="8193" max="8193" width="5.5703125" style="1" customWidth="1"/>
    <col min="8194" max="8194" width="35.28515625" style="1" customWidth="1"/>
    <col min="8195" max="8199" width="9.140625" style="1"/>
    <col min="8200" max="8200" width="11.7109375" style="1" customWidth="1"/>
    <col min="8201" max="8448" width="9.140625" style="1"/>
    <col min="8449" max="8449" width="5.5703125" style="1" customWidth="1"/>
    <col min="8450" max="8450" width="35.28515625" style="1" customWidth="1"/>
    <col min="8451" max="8455" width="9.140625" style="1"/>
    <col min="8456" max="8456" width="11.7109375" style="1" customWidth="1"/>
    <col min="8457" max="8704" width="9.140625" style="1"/>
    <col min="8705" max="8705" width="5.5703125" style="1" customWidth="1"/>
    <col min="8706" max="8706" width="35.28515625" style="1" customWidth="1"/>
    <col min="8707" max="8711" width="9.140625" style="1"/>
    <col min="8712" max="8712" width="11.7109375" style="1" customWidth="1"/>
    <col min="8713" max="8960" width="9.140625" style="1"/>
    <col min="8961" max="8961" width="5.5703125" style="1" customWidth="1"/>
    <col min="8962" max="8962" width="35.28515625" style="1" customWidth="1"/>
    <col min="8963" max="8967" width="9.140625" style="1"/>
    <col min="8968" max="8968" width="11.7109375" style="1" customWidth="1"/>
    <col min="8969" max="9216" width="9.140625" style="1"/>
    <col min="9217" max="9217" width="5.5703125" style="1" customWidth="1"/>
    <col min="9218" max="9218" width="35.28515625" style="1" customWidth="1"/>
    <col min="9219" max="9223" width="9.140625" style="1"/>
    <col min="9224" max="9224" width="11.7109375" style="1" customWidth="1"/>
    <col min="9225" max="9472" width="9.140625" style="1"/>
    <col min="9473" max="9473" width="5.5703125" style="1" customWidth="1"/>
    <col min="9474" max="9474" width="35.28515625" style="1" customWidth="1"/>
    <col min="9475" max="9479" width="9.140625" style="1"/>
    <col min="9480" max="9480" width="11.7109375" style="1" customWidth="1"/>
    <col min="9481" max="9728" width="9.140625" style="1"/>
    <col min="9729" max="9729" width="5.5703125" style="1" customWidth="1"/>
    <col min="9730" max="9730" width="35.28515625" style="1" customWidth="1"/>
    <col min="9731" max="9735" width="9.140625" style="1"/>
    <col min="9736" max="9736" width="11.7109375" style="1" customWidth="1"/>
    <col min="9737" max="9984" width="9.140625" style="1"/>
    <col min="9985" max="9985" width="5.5703125" style="1" customWidth="1"/>
    <col min="9986" max="9986" width="35.28515625" style="1" customWidth="1"/>
    <col min="9987" max="9991" width="9.140625" style="1"/>
    <col min="9992" max="9992" width="11.7109375" style="1" customWidth="1"/>
    <col min="9993" max="10240" width="9.140625" style="1"/>
    <col min="10241" max="10241" width="5.5703125" style="1" customWidth="1"/>
    <col min="10242" max="10242" width="35.28515625" style="1" customWidth="1"/>
    <col min="10243" max="10247" width="9.140625" style="1"/>
    <col min="10248" max="10248" width="11.7109375" style="1" customWidth="1"/>
    <col min="10249" max="10496" width="9.140625" style="1"/>
    <col min="10497" max="10497" width="5.5703125" style="1" customWidth="1"/>
    <col min="10498" max="10498" width="35.28515625" style="1" customWidth="1"/>
    <col min="10499" max="10503" width="9.140625" style="1"/>
    <col min="10504" max="10504" width="11.7109375" style="1" customWidth="1"/>
    <col min="10505" max="10752" width="9.140625" style="1"/>
    <col min="10753" max="10753" width="5.5703125" style="1" customWidth="1"/>
    <col min="10754" max="10754" width="35.28515625" style="1" customWidth="1"/>
    <col min="10755" max="10759" width="9.140625" style="1"/>
    <col min="10760" max="10760" width="11.7109375" style="1" customWidth="1"/>
    <col min="10761" max="11008" width="9.140625" style="1"/>
    <col min="11009" max="11009" width="5.5703125" style="1" customWidth="1"/>
    <col min="11010" max="11010" width="35.28515625" style="1" customWidth="1"/>
    <col min="11011" max="11015" width="9.140625" style="1"/>
    <col min="11016" max="11016" width="11.7109375" style="1" customWidth="1"/>
    <col min="11017" max="11264" width="9.140625" style="1"/>
    <col min="11265" max="11265" width="5.5703125" style="1" customWidth="1"/>
    <col min="11266" max="11266" width="35.28515625" style="1" customWidth="1"/>
    <col min="11267" max="11271" width="9.140625" style="1"/>
    <col min="11272" max="11272" width="11.7109375" style="1" customWidth="1"/>
    <col min="11273" max="11520" width="9.140625" style="1"/>
    <col min="11521" max="11521" width="5.5703125" style="1" customWidth="1"/>
    <col min="11522" max="11522" width="35.28515625" style="1" customWidth="1"/>
    <col min="11523" max="11527" width="9.140625" style="1"/>
    <col min="11528" max="11528" width="11.7109375" style="1" customWidth="1"/>
    <col min="11529" max="11776" width="9.140625" style="1"/>
    <col min="11777" max="11777" width="5.5703125" style="1" customWidth="1"/>
    <col min="11778" max="11778" width="35.28515625" style="1" customWidth="1"/>
    <col min="11779" max="11783" width="9.140625" style="1"/>
    <col min="11784" max="11784" width="11.7109375" style="1" customWidth="1"/>
    <col min="11785" max="12032" width="9.140625" style="1"/>
    <col min="12033" max="12033" width="5.5703125" style="1" customWidth="1"/>
    <col min="12034" max="12034" width="35.28515625" style="1" customWidth="1"/>
    <col min="12035" max="12039" width="9.140625" style="1"/>
    <col min="12040" max="12040" width="11.7109375" style="1" customWidth="1"/>
    <col min="12041" max="12288" width="9.140625" style="1"/>
    <col min="12289" max="12289" width="5.5703125" style="1" customWidth="1"/>
    <col min="12290" max="12290" width="35.28515625" style="1" customWidth="1"/>
    <col min="12291" max="12295" width="9.140625" style="1"/>
    <col min="12296" max="12296" width="11.7109375" style="1" customWidth="1"/>
    <col min="12297" max="12544" width="9.140625" style="1"/>
    <col min="12545" max="12545" width="5.5703125" style="1" customWidth="1"/>
    <col min="12546" max="12546" width="35.28515625" style="1" customWidth="1"/>
    <col min="12547" max="12551" width="9.140625" style="1"/>
    <col min="12552" max="12552" width="11.7109375" style="1" customWidth="1"/>
    <col min="12553" max="12800" width="9.140625" style="1"/>
    <col min="12801" max="12801" width="5.5703125" style="1" customWidth="1"/>
    <col min="12802" max="12802" width="35.28515625" style="1" customWidth="1"/>
    <col min="12803" max="12807" width="9.140625" style="1"/>
    <col min="12808" max="12808" width="11.7109375" style="1" customWidth="1"/>
    <col min="12809" max="13056" width="9.140625" style="1"/>
    <col min="13057" max="13057" width="5.5703125" style="1" customWidth="1"/>
    <col min="13058" max="13058" width="35.28515625" style="1" customWidth="1"/>
    <col min="13059" max="13063" width="9.140625" style="1"/>
    <col min="13064" max="13064" width="11.7109375" style="1" customWidth="1"/>
    <col min="13065" max="13312" width="9.140625" style="1"/>
    <col min="13313" max="13313" width="5.5703125" style="1" customWidth="1"/>
    <col min="13314" max="13314" width="35.28515625" style="1" customWidth="1"/>
    <col min="13315" max="13319" width="9.140625" style="1"/>
    <col min="13320" max="13320" width="11.7109375" style="1" customWidth="1"/>
    <col min="13321" max="13568" width="9.140625" style="1"/>
    <col min="13569" max="13569" width="5.5703125" style="1" customWidth="1"/>
    <col min="13570" max="13570" width="35.28515625" style="1" customWidth="1"/>
    <col min="13571" max="13575" width="9.140625" style="1"/>
    <col min="13576" max="13576" width="11.7109375" style="1" customWidth="1"/>
    <col min="13577" max="13824" width="9.140625" style="1"/>
    <col min="13825" max="13825" width="5.5703125" style="1" customWidth="1"/>
    <col min="13826" max="13826" width="35.28515625" style="1" customWidth="1"/>
    <col min="13827" max="13831" width="9.140625" style="1"/>
    <col min="13832" max="13832" width="11.7109375" style="1" customWidth="1"/>
    <col min="13833" max="14080" width="9.140625" style="1"/>
    <col min="14081" max="14081" width="5.5703125" style="1" customWidth="1"/>
    <col min="14082" max="14082" width="35.28515625" style="1" customWidth="1"/>
    <col min="14083" max="14087" width="9.140625" style="1"/>
    <col min="14088" max="14088" width="11.7109375" style="1" customWidth="1"/>
    <col min="14089" max="14336" width="9.140625" style="1"/>
    <col min="14337" max="14337" width="5.5703125" style="1" customWidth="1"/>
    <col min="14338" max="14338" width="35.28515625" style="1" customWidth="1"/>
    <col min="14339" max="14343" width="9.140625" style="1"/>
    <col min="14344" max="14344" width="11.7109375" style="1" customWidth="1"/>
    <col min="14345" max="14592" width="9.140625" style="1"/>
    <col min="14593" max="14593" width="5.5703125" style="1" customWidth="1"/>
    <col min="14594" max="14594" width="35.28515625" style="1" customWidth="1"/>
    <col min="14595" max="14599" width="9.140625" style="1"/>
    <col min="14600" max="14600" width="11.7109375" style="1" customWidth="1"/>
    <col min="14601" max="14848" width="9.140625" style="1"/>
    <col min="14849" max="14849" width="5.5703125" style="1" customWidth="1"/>
    <col min="14850" max="14850" width="35.28515625" style="1" customWidth="1"/>
    <col min="14851" max="14855" width="9.140625" style="1"/>
    <col min="14856" max="14856" width="11.7109375" style="1" customWidth="1"/>
    <col min="14857" max="15104" width="9.140625" style="1"/>
    <col min="15105" max="15105" width="5.5703125" style="1" customWidth="1"/>
    <col min="15106" max="15106" width="35.28515625" style="1" customWidth="1"/>
    <col min="15107" max="15111" width="9.140625" style="1"/>
    <col min="15112" max="15112" width="11.7109375" style="1" customWidth="1"/>
    <col min="15113" max="15360" width="9.140625" style="1"/>
    <col min="15361" max="15361" width="5.5703125" style="1" customWidth="1"/>
    <col min="15362" max="15362" width="35.28515625" style="1" customWidth="1"/>
    <col min="15363" max="15367" width="9.140625" style="1"/>
    <col min="15368" max="15368" width="11.7109375" style="1" customWidth="1"/>
    <col min="15369" max="15616" width="9.140625" style="1"/>
    <col min="15617" max="15617" width="5.5703125" style="1" customWidth="1"/>
    <col min="15618" max="15618" width="35.28515625" style="1" customWidth="1"/>
    <col min="15619" max="15623" width="9.140625" style="1"/>
    <col min="15624" max="15624" width="11.7109375" style="1" customWidth="1"/>
    <col min="15625" max="15872" width="9.140625" style="1"/>
    <col min="15873" max="15873" width="5.5703125" style="1" customWidth="1"/>
    <col min="15874" max="15874" width="35.28515625" style="1" customWidth="1"/>
    <col min="15875" max="15879" width="9.140625" style="1"/>
    <col min="15880" max="15880" width="11.7109375" style="1" customWidth="1"/>
    <col min="15881" max="16128" width="9.140625" style="1"/>
    <col min="16129" max="16129" width="5.5703125" style="1" customWidth="1"/>
    <col min="16130" max="16130" width="35.28515625" style="1" customWidth="1"/>
    <col min="16131" max="16135" width="9.140625" style="1"/>
    <col min="16136" max="16136" width="11.7109375" style="1" customWidth="1"/>
    <col min="16137" max="16384" width="9.140625" style="1"/>
  </cols>
  <sheetData>
    <row r="1" spans="1:8" x14ac:dyDescent="0.2">
      <c r="A1" s="6" t="s">
        <v>210</v>
      </c>
    </row>
    <row r="2" spans="1:8" x14ac:dyDescent="0.2">
      <c r="A2" s="6" t="s">
        <v>211</v>
      </c>
    </row>
    <row r="3" spans="1:8" x14ac:dyDescent="0.2">
      <c r="B3" s="1" t="s">
        <v>212</v>
      </c>
    </row>
    <row r="4" spans="1:8" x14ac:dyDescent="0.2">
      <c r="A4" s="6" t="s">
        <v>213</v>
      </c>
      <c r="B4" s="6" t="s">
        <v>214</v>
      </c>
      <c r="C4" s="6">
        <v>1985</v>
      </c>
      <c r="D4" s="6">
        <v>1988</v>
      </c>
      <c r="E4" s="6">
        <v>1991</v>
      </c>
      <c r="F4" s="6">
        <v>1994</v>
      </c>
      <c r="G4" s="6">
        <v>1998</v>
      </c>
      <c r="H4" s="153"/>
    </row>
    <row r="5" spans="1:8" ht="15" x14ac:dyDescent="0.25">
      <c r="A5" s="54">
        <v>20</v>
      </c>
      <c r="B5" s="1" t="s">
        <v>215</v>
      </c>
      <c r="C5" s="154">
        <v>1306.0054231302813</v>
      </c>
      <c r="D5" s="154">
        <v>1380.5774215552524</v>
      </c>
      <c r="E5" s="154">
        <v>1316.514944404774</v>
      </c>
      <c r="F5" s="154">
        <v>1596.1509433962265</v>
      </c>
      <c r="G5" s="154">
        <v>1573.2358127193356</v>
      </c>
      <c r="H5" s="155"/>
    </row>
    <row r="6" spans="1:8" ht="15" x14ac:dyDescent="0.25">
      <c r="A6" s="54">
        <v>21</v>
      </c>
      <c r="B6" s="1" t="s">
        <v>216</v>
      </c>
      <c r="C6" s="154">
        <v>28.394879556060033</v>
      </c>
      <c r="D6" s="154">
        <v>31.78206002728513</v>
      </c>
      <c r="E6" s="154">
        <v>30.399673569315517</v>
      </c>
      <c r="F6" s="154" t="s">
        <v>217</v>
      </c>
      <c r="G6" s="154">
        <v>35.896430711289909</v>
      </c>
      <c r="H6" s="155"/>
    </row>
    <row r="7" spans="1:8" ht="15" x14ac:dyDescent="0.25">
      <c r="A7" s="54">
        <v>22</v>
      </c>
      <c r="B7" s="1" t="s">
        <v>218</v>
      </c>
      <c r="C7" s="154">
        <v>452.33863034430573</v>
      </c>
      <c r="D7" s="154">
        <v>503.32935425193273</v>
      </c>
      <c r="E7" s="154">
        <v>489.45567683362236</v>
      </c>
      <c r="F7" s="154">
        <v>536.00886220697544</v>
      </c>
      <c r="G7" s="154">
        <v>554.4729093554738</v>
      </c>
      <c r="H7" s="155"/>
    </row>
    <row r="8" spans="1:8" ht="15" x14ac:dyDescent="0.25">
      <c r="A8" s="54">
        <v>23</v>
      </c>
      <c r="B8" s="1" t="s">
        <v>219</v>
      </c>
      <c r="C8" s="154">
        <v>63.882078446210116</v>
      </c>
      <c r="D8" s="154">
        <v>105.99579354251932</v>
      </c>
      <c r="E8" s="154">
        <v>84.531265938998274</v>
      </c>
      <c r="F8" s="154" t="s">
        <v>217</v>
      </c>
      <c r="G8" s="154">
        <v>80.62715056064367</v>
      </c>
      <c r="H8" s="155"/>
    </row>
    <row r="9" spans="1:8" ht="15" x14ac:dyDescent="0.25">
      <c r="A9" s="54">
        <v>24</v>
      </c>
      <c r="B9" s="1" t="s">
        <v>220</v>
      </c>
      <c r="C9" s="154">
        <v>435.3898347837054</v>
      </c>
      <c r="D9" s="154">
        <v>533.59845384265577</v>
      </c>
      <c r="E9" s="154">
        <v>581.1266959094155</v>
      </c>
      <c r="F9" s="154">
        <v>629.45587955021915</v>
      </c>
      <c r="G9" s="154">
        <v>763.17718051870236</v>
      </c>
      <c r="H9" s="155"/>
    </row>
    <row r="10" spans="1:8" ht="15" x14ac:dyDescent="0.25">
      <c r="A10" s="54">
        <v>25</v>
      </c>
      <c r="B10" s="1" t="s">
        <v>221</v>
      </c>
      <c r="C10" s="154">
        <v>80.882078446210116</v>
      </c>
      <c r="D10" s="154">
        <v>105.95304683947248</v>
      </c>
      <c r="E10" s="154">
        <v>104.26481689278792</v>
      </c>
      <c r="F10" s="154">
        <v>113.79454926624739</v>
      </c>
      <c r="G10" s="154">
        <v>130.46143969870752</v>
      </c>
      <c r="H10" s="155"/>
    </row>
    <row r="11" spans="1:8" ht="15" x14ac:dyDescent="0.25">
      <c r="A11" s="54">
        <v>26</v>
      </c>
      <c r="B11" s="1" t="s">
        <v>222</v>
      </c>
      <c r="C11" s="154">
        <v>2626.7234203556563</v>
      </c>
      <c r="D11" s="154">
        <v>2793.2697817189633</v>
      </c>
      <c r="E11" s="154">
        <v>2934.7781291441397</v>
      </c>
      <c r="F11" s="154">
        <v>3119.0538402896891</v>
      </c>
      <c r="G11" s="154">
        <v>3257.8008217067536</v>
      </c>
      <c r="H11" s="155"/>
    </row>
    <row r="12" spans="1:8" ht="15" x14ac:dyDescent="0.25">
      <c r="A12" s="54">
        <v>27</v>
      </c>
      <c r="B12" s="1" t="s">
        <v>223</v>
      </c>
      <c r="C12" s="154">
        <v>165.25135578257033</v>
      </c>
      <c r="D12" s="154">
        <v>247.11982719417918</v>
      </c>
      <c r="E12" s="154">
        <v>221.06089972457411</v>
      </c>
      <c r="F12" s="154">
        <v>232.13083666857253</v>
      </c>
      <c r="G12" s="154">
        <v>358.9700419412822</v>
      </c>
      <c r="H12" s="155"/>
    </row>
    <row r="13" spans="1:8" ht="15" x14ac:dyDescent="0.25">
      <c r="A13" s="54">
        <v>28</v>
      </c>
      <c r="B13" s="1" t="s">
        <v>224</v>
      </c>
      <c r="C13" s="154">
        <v>4525.2777147181232</v>
      </c>
      <c r="D13" s="154">
        <v>5300.4456571168712</v>
      </c>
      <c r="E13" s="154">
        <v>5989.6187901662761</v>
      </c>
      <c r="F13" s="154">
        <v>6386.7802553840293</v>
      </c>
      <c r="G13" s="154">
        <v>7207.2345288025335</v>
      </c>
      <c r="H13" s="155"/>
    </row>
    <row r="14" spans="1:8" ht="15" x14ac:dyDescent="0.25">
      <c r="A14" s="54">
        <v>29</v>
      </c>
      <c r="B14" s="1" t="s">
        <v>225</v>
      </c>
      <c r="C14" s="154">
        <v>5388.4053474586963</v>
      </c>
      <c r="D14" s="154">
        <v>6234.6327876307414</v>
      </c>
      <c r="E14" s="154">
        <v>6190.9885749260429</v>
      </c>
      <c r="F14" s="154">
        <v>6585.3700209643603</v>
      </c>
      <c r="G14" s="154">
        <v>7569.390053924506</v>
      </c>
      <c r="H14" s="155"/>
    </row>
    <row r="15" spans="1:8" ht="15" x14ac:dyDescent="0.25">
      <c r="A15" s="54">
        <v>30</v>
      </c>
      <c r="B15" s="1" t="s">
        <v>226</v>
      </c>
      <c r="C15" s="154">
        <v>419.68735023332073</v>
      </c>
      <c r="D15" s="154">
        <v>494.89347430650298</v>
      </c>
      <c r="E15" s="154">
        <v>485.45404468019996</v>
      </c>
      <c r="F15" s="154">
        <v>590.38126548503908</v>
      </c>
      <c r="G15" s="154">
        <v>672.29221946417874</v>
      </c>
      <c r="H15" s="155"/>
    </row>
    <row r="16" spans="1:8" ht="15" x14ac:dyDescent="0.25">
      <c r="A16" s="54">
        <v>31</v>
      </c>
      <c r="B16" s="1" t="s">
        <v>227</v>
      </c>
      <c r="C16" s="154">
        <v>22.394879556060033</v>
      </c>
      <c r="D16" s="154">
        <v>27.303433378808549</v>
      </c>
      <c r="E16" s="154">
        <v>18.399673569315517</v>
      </c>
      <c r="F16" s="154" t="s">
        <v>217</v>
      </c>
      <c r="G16" s="154">
        <v>14.937858426773944</v>
      </c>
      <c r="H16" s="155"/>
    </row>
    <row r="17" spans="1:8" ht="15" x14ac:dyDescent="0.25">
      <c r="A17" s="54">
        <v>32</v>
      </c>
      <c r="B17" s="1" t="s">
        <v>228</v>
      </c>
      <c r="C17" s="154">
        <v>1141.6155883465758</v>
      </c>
      <c r="D17" s="154">
        <v>1225.9789677125966</v>
      </c>
      <c r="E17" s="154">
        <v>1103.9885749260429</v>
      </c>
      <c r="F17" s="154">
        <v>1194.4422527158376</v>
      </c>
      <c r="G17" s="154">
        <v>1244.2243430625695</v>
      </c>
      <c r="H17" s="155"/>
    </row>
    <row r="18" spans="1:8" ht="15" x14ac:dyDescent="0.25">
      <c r="A18" s="54">
        <v>33</v>
      </c>
      <c r="B18" s="1" t="s">
        <v>229</v>
      </c>
      <c r="C18" s="154">
        <v>3751.036826838189</v>
      </c>
      <c r="D18" s="154">
        <v>4025.6895179627104</v>
      </c>
      <c r="E18" s="154">
        <v>3531.4790370294804</v>
      </c>
      <c r="F18" s="154">
        <v>3465.8051267390892</v>
      </c>
      <c r="G18" s="154">
        <v>3657.4002396644696</v>
      </c>
      <c r="H18" s="155"/>
    </row>
    <row r="19" spans="1:8" ht="15" x14ac:dyDescent="0.25">
      <c r="A19" s="54">
        <v>34</v>
      </c>
      <c r="B19" s="1" t="s">
        <v>230</v>
      </c>
      <c r="C19" s="154">
        <v>515.73350990036579</v>
      </c>
      <c r="D19" s="154">
        <v>585.63278763074118</v>
      </c>
      <c r="E19" s="154">
        <v>524.58890135672755</v>
      </c>
      <c r="F19" s="154">
        <v>601.1533257099295</v>
      </c>
      <c r="G19" s="154">
        <v>737.58221347256699</v>
      </c>
      <c r="H19" s="155"/>
    </row>
    <row r="20" spans="1:8" ht="15" x14ac:dyDescent="0.25">
      <c r="A20" s="54">
        <v>35</v>
      </c>
      <c r="B20" s="1" t="s">
        <v>231</v>
      </c>
      <c r="C20" s="154">
        <v>470.1745491234708</v>
      </c>
      <c r="D20" s="154">
        <v>537.71828103683492</v>
      </c>
      <c r="E20" s="154">
        <v>452.45567683362236</v>
      </c>
      <c r="F20" s="154">
        <v>467.9366304554984</v>
      </c>
      <c r="G20" s="154">
        <v>544.26577077805359</v>
      </c>
      <c r="H20" s="155"/>
    </row>
    <row r="21" spans="1:8" ht="15" x14ac:dyDescent="0.25">
      <c r="A21" s="54">
        <v>36</v>
      </c>
      <c r="B21" s="1" t="s">
        <v>232</v>
      </c>
      <c r="C21" s="154">
        <v>457.61558834657586</v>
      </c>
      <c r="D21" s="154">
        <v>470.41484765802636</v>
      </c>
      <c r="E21" s="154">
        <v>429.58890135672755</v>
      </c>
      <c r="F21" s="154">
        <v>473.08109395845247</v>
      </c>
      <c r="G21" s="154">
        <v>576.93434905418121</v>
      </c>
      <c r="H21" s="155"/>
    </row>
    <row r="22" spans="1:8" ht="15" x14ac:dyDescent="0.25">
      <c r="A22" s="54">
        <v>37</v>
      </c>
      <c r="B22" s="1" t="s">
        <v>233</v>
      </c>
      <c r="C22" s="154">
        <v>584.05662756968093</v>
      </c>
      <c r="D22" s="154">
        <v>637.10720782173712</v>
      </c>
      <c r="E22" s="154">
        <v>574.72049372641027</v>
      </c>
      <c r="F22" s="154">
        <v>631.76729559748424</v>
      </c>
      <c r="G22" s="154">
        <v>754.54078575708286</v>
      </c>
      <c r="H22" s="155"/>
    </row>
    <row r="23" spans="1:8" ht="15" x14ac:dyDescent="0.25">
      <c r="A23" s="54">
        <v>38</v>
      </c>
      <c r="B23" s="1" t="s">
        <v>234</v>
      </c>
      <c r="C23" s="154">
        <v>134.0667171143902</v>
      </c>
      <c r="D23" s="154">
        <v>223.77364711232377</v>
      </c>
      <c r="E23" s="154">
        <v>187.59542997041723</v>
      </c>
      <c r="F23" s="154">
        <v>200.66133028397181</v>
      </c>
      <c r="G23" s="154">
        <v>221.881451681931</v>
      </c>
      <c r="H23" s="155"/>
    </row>
    <row r="24" spans="1:8" ht="15" x14ac:dyDescent="0.25">
      <c r="A24" s="54">
        <v>39</v>
      </c>
      <c r="B24" s="1" t="s">
        <v>235</v>
      </c>
      <c r="C24" s="154">
        <v>56.835918779165091</v>
      </c>
      <c r="D24" s="154">
        <v>72.649613460663943</v>
      </c>
      <c r="E24" s="154">
        <v>57.598694277262062</v>
      </c>
      <c r="F24" s="154" t="s">
        <v>217</v>
      </c>
      <c r="G24" s="154">
        <v>87.606436702901647</v>
      </c>
      <c r="H24" s="155"/>
    </row>
    <row r="25" spans="1:8" ht="15" x14ac:dyDescent="0.25">
      <c r="A25" s="54"/>
      <c r="B25" s="1" t="s">
        <v>236</v>
      </c>
      <c r="C25" s="154">
        <v>22625.768318829614</v>
      </c>
      <c r="D25" s="154">
        <v>25540.12664847658</v>
      </c>
      <c r="E25" s="154">
        <v>25312.742119759256</v>
      </c>
      <c r="F25" s="154">
        <v>27064.815418334285</v>
      </c>
      <c r="G25" s="154">
        <v>30036.994179577163</v>
      </c>
      <c r="H25" s="155"/>
    </row>
    <row r="27" spans="1:8" x14ac:dyDescent="0.2">
      <c r="A27" s="1" t="s">
        <v>237</v>
      </c>
    </row>
    <row r="28" spans="1:8" x14ac:dyDescent="0.2">
      <c r="A28" s="1" t="s">
        <v>238</v>
      </c>
    </row>
    <row r="29" spans="1:8" x14ac:dyDescent="0.2">
      <c r="A29" s="1" t="s">
        <v>239</v>
      </c>
    </row>
    <row r="30" spans="1:8" x14ac:dyDescent="0.2">
      <c r="A30" s="1" t="s">
        <v>240</v>
      </c>
    </row>
  </sheetData>
  <sheetProtection sheet="1" objects="1" scenarios="1"/>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3"/>
  <sheetViews>
    <sheetView workbookViewId="0">
      <selection activeCell="F17" sqref="F17"/>
    </sheetView>
  </sheetViews>
  <sheetFormatPr defaultRowHeight="15" x14ac:dyDescent="0.25"/>
  <sheetData>
    <row r="1" spans="1:10" x14ac:dyDescent="0.25">
      <c r="A1" t="s">
        <v>135</v>
      </c>
      <c r="C1">
        <v>1998</v>
      </c>
      <c r="D1">
        <v>2002</v>
      </c>
      <c r="E1">
        <v>2006</v>
      </c>
      <c r="G1" t="s">
        <v>136</v>
      </c>
      <c r="H1">
        <v>1998</v>
      </c>
      <c r="I1">
        <v>2002</v>
      </c>
      <c r="J1">
        <v>2006</v>
      </c>
    </row>
    <row r="4" spans="1:10" x14ac:dyDescent="0.25">
      <c r="A4" t="s">
        <v>130</v>
      </c>
      <c r="C4">
        <v>146.80000000000001</v>
      </c>
      <c r="D4">
        <v>131.80000000000001</v>
      </c>
      <c r="E4">
        <v>136</v>
      </c>
      <c r="H4">
        <v>1768273856</v>
      </c>
      <c r="I4">
        <v>1455977280</v>
      </c>
      <c r="J4">
        <v>1179552608</v>
      </c>
    </row>
    <row r="5" spans="1:10" x14ac:dyDescent="0.25">
      <c r="A5" t="s">
        <v>131</v>
      </c>
      <c r="B5" t="s">
        <v>132</v>
      </c>
      <c r="C5">
        <v>3713</v>
      </c>
      <c r="D5">
        <v>2707</v>
      </c>
      <c r="E5">
        <v>2284</v>
      </c>
      <c r="H5">
        <v>516977440</v>
      </c>
      <c r="I5">
        <v>499041488</v>
      </c>
      <c r="J5">
        <v>323902192</v>
      </c>
    </row>
    <row r="6" spans="1:10" x14ac:dyDescent="0.25">
      <c r="B6" t="s">
        <v>133</v>
      </c>
      <c r="C6">
        <v>1500</v>
      </c>
      <c r="D6">
        <v>1170</v>
      </c>
      <c r="E6">
        <v>1260</v>
      </c>
      <c r="H6">
        <v>516977440</v>
      </c>
      <c r="I6">
        <v>499041488</v>
      </c>
      <c r="J6">
        <v>323902192</v>
      </c>
    </row>
    <row r="7" spans="1:10" x14ac:dyDescent="0.25">
      <c r="B7" t="s">
        <v>134</v>
      </c>
      <c r="C7">
        <v>5213</v>
      </c>
      <c r="D7">
        <v>3877</v>
      </c>
      <c r="E7">
        <v>3544</v>
      </c>
      <c r="H7">
        <v>516977440</v>
      </c>
      <c r="I7">
        <v>499041488</v>
      </c>
      <c r="J7">
        <v>323902192</v>
      </c>
    </row>
    <row r="12" spans="1:10" x14ac:dyDescent="0.25">
      <c r="A12" t="s">
        <v>137</v>
      </c>
    </row>
    <row r="13" spans="1:10" x14ac:dyDescent="0.25">
      <c r="A13" t="s">
        <v>138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Q85"/>
  <sheetViews>
    <sheetView showGridLines="0" topLeftCell="A41" workbookViewId="0">
      <selection activeCell="Q67" sqref="Q67"/>
    </sheetView>
  </sheetViews>
  <sheetFormatPr defaultRowHeight="15" x14ac:dyDescent="0.25"/>
  <cols>
    <col min="1" max="1" width="8.85546875" style="61" customWidth="1"/>
    <col min="2" max="2" width="18.7109375" style="61" customWidth="1"/>
    <col min="3" max="3" width="20.28515625" style="61" customWidth="1"/>
    <col min="4" max="4" width="13.42578125" style="61" customWidth="1"/>
    <col min="5" max="5" width="10" style="61" customWidth="1"/>
    <col min="6" max="6" width="27.28515625" style="61" customWidth="1"/>
    <col min="7" max="7" width="9.42578125" style="61" customWidth="1"/>
    <col min="8" max="8" width="13" style="61" customWidth="1"/>
    <col min="9" max="9" width="7.7109375" style="61" customWidth="1"/>
    <col min="10" max="10" width="9.140625" style="61"/>
    <col min="11" max="13" width="11" style="61" bestFit="1" customWidth="1"/>
    <col min="14" max="16384" width="9.140625" style="61"/>
  </cols>
  <sheetData>
    <row r="1" spans="1:9" ht="15.75" customHeight="1" x14ac:dyDescent="0.25">
      <c r="A1" s="117" t="s">
        <v>174</v>
      </c>
      <c r="B1" s="116"/>
      <c r="C1" s="116"/>
      <c r="D1" s="116"/>
      <c r="E1" s="116"/>
      <c r="F1" s="116"/>
      <c r="G1" s="116"/>
      <c r="H1" s="116"/>
      <c r="I1" s="115"/>
    </row>
    <row r="2" spans="1:9" x14ac:dyDescent="0.25">
      <c r="A2" s="114" t="s">
        <v>0</v>
      </c>
      <c r="B2" s="113"/>
      <c r="C2" s="109" t="s">
        <v>173</v>
      </c>
      <c r="D2" s="112"/>
      <c r="E2" s="108"/>
      <c r="F2" s="111"/>
      <c r="G2" s="110"/>
      <c r="H2" s="109" t="s">
        <v>172</v>
      </c>
      <c r="I2" s="108"/>
    </row>
    <row r="3" spans="1:9" x14ac:dyDescent="0.25">
      <c r="A3" s="103"/>
      <c r="B3" s="107" t="s">
        <v>171</v>
      </c>
      <c r="C3" s="99"/>
      <c r="D3" s="106"/>
      <c r="E3" s="98"/>
      <c r="F3" s="105" t="s">
        <v>170</v>
      </c>
      <c r="G3" s="104"/>
      <c r="H3" s="105"/>
      <c r="I3" s="104"/>
    </row>
    <row r="4" spans="1:9" x14ac:dyDescent="0.25">
      <c r="A4" s="103"/>
      <c r="B4" s="102" t="s">
        <v>169</v>
      </c>
      <c r="C4" s="102" t="s">
        <v>168</v>
      </c>
      <c r="D4" s="101" t="s">
        <v>167</v>
      </c>
      <c r="E4" s="100"/>
      <c r="F4" s="99" t="s">
        <v>166</v>
      </c>
      <c r="G4" s="98"/>
      <c r="H4" s="99"/>
      <c r="I4" s="98"/>
    </row>
    <row r="5" spans="1:9" x14ac:dyDescent="0.25">
      <c r="A5" s="97"/>
      <c r="B5" s="96" t="s">
        <v>165</v>
      </c>
      <c r="C5" s="94" t="s">
        <v>164</v>
      </c>
      <c r="D5" s="95"/>
      <c r="E5" s="93"/>
      <c r="F5" s="94" t="s">
        <v>163</v>
      </c>
      <c r="G5" s="93"/>
      <c r="H5" s="94" t="s">
        <v>162</v>
      </c>
      <c r="I5" s="93"/>
    </row>
    <row r="6" spans="1:9" x14ac:dyDescent="0.25">
      <c r="A6" s="87">
        <v>1949</v>
      </c>
      <c r="B6" s="85">
        <v>336</v>
      </c>
      <c r="C6" s="86">
        <v>6231</v>
      </c>
      <c r="D6" s="85" t="s">
        <v>112</v>
      </c>
      <c r="E6" s="84"/>
      <c r="F6" s="86">
        <v>2027928</v>
      </c>
      <c r="G6" s="84"/>
      <c r="H6" s="85">
        <v>89.2</v>
      </c>
      <c r="I6" s="84"/>
    </row>
    <row r="7" spans="1:9" x14ac:dyDescent="0.25">
      <c r="A7" s="87">
        <v>1950</v>
      </c>
      <c r="B7" s="85">
        <v>320</v>
      </c>
      <c r="C7" s="86">
        <v>6223</v>
      </c>
      <c r="D7" s="85" t="s">
        <v>112</v>
      </c>
      <c r="E7" s="84"/>
      <c r="F7" s="86">
        <v>2182828</v>
      </c>
      <c r="G7" s="84"/>
      <c r="H7" s="85">
        <v>92.5</v>
      </c>
      <c r="I7" s="84"/>
    </row>
    <row r="8" spans="1:9" x14ac:dyDescent="0.25">
      <c r="A8" s="92">
        <v>1951</v>
      </c>
      <c r="B8" s="90">
        <v>325</v>
      </c>
      <c r="C8" s="91">
        <v>6702</v>
      </c>
      <c r="D8" s="90" t="s">
        <v>112</v>
      </c>
      <c r="E8" s="89"/>
      <c r="F8" s="91">
        <v>2467445</v>
      </c>
      <c r="G8" s="89"/>
      <c r="H8" s="90">
        <v>97.5</v>
      </c>
      <c r="I8" s="89"/>
    </row>
    <row r="9" spans="1:9" x14ac:dyDescent="0.25">
      <c r="A9" s="87">
        <v>1952</v>
      </c>
      <c r="B9" s="85">
        <v>327</v>
      </c>
      <c r="C9" s="86">
        <v>7161</v>
      </c>
      <c r="D9" s="85" t="s">
        <v>112</v>
      </c>
      <c r="E9" s="84"/>
      <c r="F9" s="86">
        <v>2536142</v>
      </c>
      <c r="G9" s="84"/>
      <c r="H9" s="85">
        <v>93.8</v>
      </c>
      <c r="I9" s="84"/>
    </row>
    <row r="10" spans="1:9" x14ac:dyDescent="0.25">
      <c r="A10" s="87">
        <v>1953</v>
      </c>
      <c r="B10" s="85">
        <v>315</v>
      </c>
      <c r="C10" s="86">
        <v>7620</v>
      </c>
      <c r="D10" s="85" t="s">
        <v>112</v>
      </c>
      <c r="E10" s="84"/>
      <c r="F10" s="86">
        <v>2651068</v>
      </c>
      <c r="G10" s="84"/>
      <c r="H10" s="85">
        <v>93.1</v>
      </c>
      <c r="I10" s="84"/>
    </row>
    <row r="11" spans="1:9" x14ac:dyDescent="0.25">
      <c r="A11" s="92">
        <v>1954</v>
      </c>
      <c r="B11" s="90">
        <v>308</v>
      </c>
      <c r="C11" s="91">
        <v>7984</v>
      </c>
      <c r="D11" s="90" t="s">
        <v>112</v>
      </c>
      <c r="E11" s="89"/>
      <c r="F11" s="91">
        <v>2651992</v>
      </c>
      <c r="G11" s="89"/>
      <c r="H11" s="90">
        <v>88.8</v>
      </c>
      <c r="I11" s="89"/>
    </row>
    <row r="12" spans="1:9" x14ac:dyDescent="0.25">
      <c r="A12" s="87">
        <v>1955</v>
      </c>
      <c r="B12" s="85">
        <v>296</v>
      </c>
      <c r="C12" s="86">
        <v>8386</v>
      </c>
      <c r="D12" s="85" t="s">
        <v>112</v>
      </c>
      <c r="E12" s="84"/>
      <c r="F12" s="86">
        <v>2854137</v>
      </c>
      <c r="G12" s="84"/>
      <c r="H12" s="85">
        <v>92.2</v>
      </c>
      <c r="I12" s="84"/>
    </row>
    <row r="13" spans="1:9" x14ac:dyDescent="0.25">
      <c r="A13" s="87">
        <v>1956</v>
      </c>
      <c r="B13" s="85">
        <v>317</v>
      </c>
      <c r="C13" s="86">
        <v>8583</v>
      </c>
      <c r="D13" s="85" t="s">
        <v>112</v>
      </c>
      <c r="E13" s="84"/>
      <c r="F13" s="86">
        <v>3019601</v>
      </c>
      <c r="G13" s="84"/>
      <c r="H13" s="85">
        <v>93.5</v>
      </c>
      <c r="I13" s="84"/>
    </row>
    <row r="14" spans="1:9" x14ac:dyDescent="0.25">
      <c r="A14" s="92">
        <v>1957</v>
      </c>
      <c r="B14" s="90">
        <v>317</v>
      </c>
      <c r="C14" s="91">
        <v>9072</v>
      </c>
      <c r="D14" s="90" t="s">
        <v>112</v>
      </c>
      <c r="E14" s="89"/>
      <c r="F14" s="91">
        <v>3001111</v>
      </c>
      <c r="G14" s="89"/>
      <c r="H14" s="90">
        <v>89.2</v>
      </c>
      <c r="I14" s="89"/>
    </row>
    <row r="15" spans="1:9" x14ac:dyDescent="0.25">
      <c r="A15" s="87">
        <v>1958</v>
      </c>
      <c r="B15" s="85">
        <v>315</v>
      </c>
      <c r="C15" s="86">
        <v>9358</v>
      </c>
      <c r="D15" s="85" t="s">
        <v>112</v>
      </c>
      <c r="E15" s="84"/>
      <c r="F15" s="86">
        <v>2928647</v>
      </c>
      <c r="G15" s="84"/>
      <c r="H15" s="85">
        <v>83.9</v>
      </c>
      <c r="I15" s="84"/>
    </row>
    <row r="16" spans="1:9" x14ac:dyDescent="0.25">
      <c r="A16" s="87">
        <v>1959</v>
      </c>
      <c r="B16" s="85">
        <v>313</v>
      </c>
      <c r="C16" s="86">
        <v>9761</v>
      </c>
      <c r="D16" s="85" t="s">
        <v>112</v>
      </c>
      <c r="E16" s="84"/>
      <c r="F16" s="86">
        <v>3049918</v>
      </c>
      <c r="G16" s="84"/>
      <c r="H16" s="85">
        <v>85.2</v>
      </c>
      <c r="I16" s="84"/>
    </row>
    <row r="17" spans="1:9" x14ac:dyDescent="0.25">
      <c r="A17" s="92">
        <v>1960</v>
      </c>
      <c r="B17" s="90">
        <v>309</v>
      </c>
      <c r="C17" s="91">
        <v>9843</v>
      </c>
      <c r="D17" s="90" t="s">
        <v>112</v>
      </c>
      <c r="E17" s="89"/>
      <c r="F17" s="91">
        <v>3088642</v>
      </c>
      <c r="G17" s="89"/>
      <c r="H17" s="90">
        <v>85.1</v>
      </c>
      <c r="I17" s="89"/>
    </row>
    <row r="18" spans="1:9" x14ac:dyDescent="0.25">
      <c r="A18" s="87">
        <v>1961</v>
      </c>
      <c r="B18" s="85">
        <v>309</v>
      </c>
      <c r="C18" s="86">
        <v>9999</v>
      </c>
      <c r="D18" s="85" t="s">
        <v>112</v>
      </c>
      <c r="E18" s="84"/>
      <c r="F18" s="86">
        <v>3128370</v>
      </c>
      <c r="G18" s="84"/>
      <c r="H18" s="85">
        <v>85.7</v>
      </c>
      <c r="I18" s="84"/>
    </row>
    <row r="19" spans="1:9" x14ac:dyDescent="0.25">
      <c r="A19" s="87">
        <v>1962</v>
      </c>
      <c r="B19" s="85">
        <v>309</v>
      </c>
      <c r="C19" s="86">
        <v>10015</v>
      </c>
      <c r="D19" s="85" t="s">
        <v>112</v>
      </c>
      <c r="E19" s="84"/>
      <c r="F19" s="86">
        <v>3222926</v>
      </c>
      <c r="G19" s="84"/>
      <c r="H19" s="85">
        <v>88.2</v>
      </c>
      <c r="I19" s="84"/>
    </row>
    <row r="20" spans="1:9" x14ac:dyDescent="0.25">
      <c r="A20" s="92">
        <v>1963</v>
      </c>
      <c r="B20" s="90">
        <v>304</v>
      </c>
      <c r="C20" s="91">
        <v>10011</v>
      </c>
      <c r="D20" s="90" t="s">
        <v>112</v>
      </c>
      <c r="E20" s="89"/>
      <c r="F20" s="91">
        <v>3337645</v>
      </c>
      <c r="G20" s="89"/>
      <c r="H20" s="90">
        <v>90</v>
      </c>
      <c r="I20" s="89"/>
    </row>
    <row r="21" spans="1:9" x14ac:dyDescent="0.25">
      <c r="A21" s="87">
        <v>1964</v>
      </c>
      <c r="B21" s="85">
        <v>298</v>
      </c>
      <c r="C21" s="86">
        <v>10306</v>
      </c>
      <c r="D21" s="85" t="s">
        <v>112</v>
      </c>
      <c r="E21" s="84"/>
      <c r="F21" s="86">
        <v>3397697</v>
      </c>
      <c r="G21" s="84"/>
      <c r="H21" s="85">
        <v>89.6</v>
      </c>
      <c r="I21" s="84"/>
    </row>
    <row r="22" spans="1:9" x14ac:dyDescent="0.25">
      <c r="A22" s="87">
        <v>1965</v>
      </c>
      <c r="B22" s="85">
        <v>293</v>
      </c>
      <c r="C22" s="86">
        <v>10420</v>
      </c>
      <c r="D22" s="85" t="s">
        <v>112</v>
      </c>
      <c r="E22" s="84"/>
      <c r="F22" s="86">
        <v>3488219</v>
      </c>
      <c r="G22" s="84"/>
      <c r="H22" s="85">
        <v>91.8</v>
      </c>
      <c r="I22" s="84"/>
    </row>
    <row r="23" spans="1:9" x14ac:dyDescent="0.25">
      <c r="A23" s="92">
        <v>1966</v>
      </c>
      <c r="B23" s="90">
        <v>280</v>
      </c>
      <c r="C23" s="91">
        <v>10394</v>
      </c>
      <c r="D23" s="90" t="s">
        <v>112</v>
      </c>
      <c r="E23" s="89"/>
      <c r="F23" s="91">
        <v>3646377</v>
      </c>
      <c r="G23" s="89"/>
      <c r="H23" s="90">
        <v>94.9</v>
      </c>
      <c r="I23" s="89"/>
    </row>
    <row r="24" spans="1:9" x14ac:dyDescent="0.25">
      <c r="A24" s="87">
        <v>1967</v>
      </c>
      <c r="B24" s="85">
        <v>276</v>
      </c>
      <c r="C24" s="86">
        <v>10658</v>
      </c>
      <c r="D24" s="85" t="s">
        <v>112</v>
      </c>
      <c r="E24" s="84"/>
      <c r="F24" s="86">
        <v>3792876</v>
      </c>
      <c r="G24" s="84"/>
      <c r="H24" s="85">
        <v>94.4</v>
      </c>
      <c r="I24" s="84"/>
    </row>
    <row r="25" spans="1:9" x14ac:dyDescent="0.25">
      <c r="A25" s="87">
        <v>1968</v>
      </c>
      <c r="B25" s="85">
        <v>282</v>
      </c>
      <c r="C25" s="86">
        <v>11353</v>
      </c>
      <c r="D25" s="85" t="s">
        <v>112</v>
      </c>
      <c r="E25" s="84"/>
      <c r="F25" s="86">
        <v>3987196</v>
      </c>
      <c r="G25" s="84"/>
      <c r="H25" s="85">
        <v>94.5</v>
      </c>
      <c r="I25" s="84"/>
    </row>
    <row r="26" spans="1:9" x14ac:dyDescent="0.25">
      <c r="A26" s="92">
        <v>1969</v>
      </c>
      <c r="B26" s="90">
        <v>279</v>
      </c>
      <c r="C26" s="91">
        <v>11702</v>
      </c>
      <c r="D26" s="90" t="s">
        <v>112</v>
      </c>
      <c r="E26" s="89"/>
      <c r="F26" s="91">
        <v>4105775</v>
      </c>
      <c r="G26" s="89"/>
      <c r="H26" s="90">
        <v>94.8</v>
      </c>
      <c r="I26" s="89"/>
    </row>
    <row r="27" spans="1:9" x14ac:dyDescent="0.25">
      <c r="A27" s="87">
        <v>1970</v>
      </c>
      <c r="B27" s="85">
        <v>276</v>
      </c>
      <c r="C27" s="86">
        <v>12021</v>
      </c>
      <c r="D27" s="85" t="s">
        <v>112</v>
      </c>
      <c r="E27" s="84"/>
      <c r="F27" s="86">
        <v>4203621</v>
      </c>
      <c r="G27" s="84"/>
      <c r="H27" s="85">
        <v>92.6</v>
      </c>
      <c r="I27" s="84"/>
    </row>
    <row r="28" spans="1:9" x14ac:dyDescent="0.25">
      <c r="A28" s="87">
        <v>1971</v>
      </c>
      <c r="B28" s="85">
        <v>272</v>
      </c>
      <c r="C28" s="86">
        <v>12860</v>
      </c>
      <c r="D28" s="85" t="s">
        <v>112</v>
      </c>
      <c r="E28" s="84"/>
      <c r="F28" s="86">
        <v>4336659</v>
      </c>
      <c r="G28" s="84"/>
      <c r="H28" s="85">
        <v>90.9</v>
      </c>
      <c r="I28" s="84"/>
    </row>
    <row r="29" spans="1:9" x14ac:dyDescent="0.25">
      <c r="A29" s="92">
        <v>1972</v>
      </c>
      <c r="B29" s="90">
        <v>274</v>
      </c>
      <c r="C29" s="91">
        <v>13292</v>
      </c>
      <c r="D29" s="90" t="s">
        <v>112</v>
      </c>
      <c r="E29" s="89"/>
      <c r="F29" s="91">
        <v>4549633</v>
      </c>
      <c r="G29" s="89"/>
      <c r="H29" s="90">
        <v>92.3</v>
      </c>
      <c r="I29" s="89"/>
    </row>
    <row r="30" spans="1:9" x14ac:dyDescent="0.25">
      <c r="A30" s="87">
        <v>1973</v>
      </c>
      <c r="B30" s="85">
        <v>268</v>
      </c>
      <c r="C30" s="86">
        <v>13642</v>
      </c>
      <c r="D30" s="85" t="s">
        <v>112</v>
      </c>
      <c r="E30" s="84"/>
      <c r="F30" s="86">
        <v>4800283</v>
      </c>
      <c r="G30" s="84"/>
      <c r="H30" s="85">
        <v>93.9</v>
      </c>
      <c r="I30" s="84"/>
    </row>
    <row r="31" spans="1:9" x14ac:dyDescent="0.25">
      <c r="A31" s="87">
        <v>1974</v>
      </c>
      <c r="B31" s="85">
        <v>273</v>
      </c>
      <c r="C31" s="86">
        <v>14362</v>
      </c>
      <c r="D31" s="85" t="s">
        <v>112</v>
      </c>
      <c r="E31" s="84"/>
      <c r="F31" s="86">
        <v>4631602</v>
      </c>
      <c r="G31" s="84"/>
      <c r="H31" s="85">
        <v>86.6</v>
      </c>
      <c r="I31" s="84"/>
    </row>
    <row r="32" spans="1:9" x14ac:dyDescent="0.25">
      <c r="A32" s="92">
        <v>1975</v>
      </c>
      <c r="B32" s="90">
        <v>279</v>
      </c>
      <c r="C32" s="91">
        <v>14961</v>
      </c>
      <c r="D32" s="90" t="s">
        <v>112</v>
      </c>
      <c r="E32" s="89"/>
      <c r="F32" s="91">
        <v>4709283</v>
      </c>
      <c r="G32" s="89"/>
      <c r="H32" s="90">
        <v>85.5</v>
      </c>
      <c r="I32" s="89"/>
    </row>
    <row r="33" spans="1:17" x14ac:dyDescent="0.25">
      <c r="A33" s="87">
        <v>1976</v>
      </c>
      <c r="B33" s="85">
        <v>276</v>
      </c>
      <c r="C33" s="86">
        <v>15237</v>
      </c>
      <c r="D33" s="85" t="s">
        <v>112</v>
      </c>
      <c r="E33" s="84"/>
      <c r="F33" s="86">
        <v>5081361</v>
      </c>
      <c r="G33" s="84"/>
      <c r="H33" s="85">
        <v>87.8</v>
      </c>
      <c r="I33" s="84"/>
    </row>
    <row r="34" spans="1:17" x14ac:dyDescent="0.25">
      <c r="A34" s="87">
        <v>1977</v>
      </c>
      <c r="B34" s="85">
        <v>282</v>
      </c>
      <c r="C34" s="86">
        <v>16398</v>
      </c>
      <c r="D34" s="85" t="s">
        <v>112</v>
      </c>
      <c r="E34" s="84"/>
      <c r="F34" s="86">
        <v>5468348</v>
      </c>
      <c r="G34" s="84"/>
      <c r="H34" s="85">
        <v>89.6</v>
      </c>
      <c r="I34" s="84"/>
    </row>
    <row r="35" spans="1:17" x14ac:dyDescent="0.25">
      <c r="A35" s="92">
        <v>1978</v>
      </c>
      <c r="B35" s="90">
        <v>296</v>
      </c>
      <c r="C35" s="91">
        <v>17048</v>
      </c>
      <c r="D35" s="90" t="s">
        <v>112</v>
      </c>
      <c r="E35" s="89"/>
      <c r="F35" s="91">
        <v>5500780</v>
      </c>
      <c r="G35" s="89"/>
      <c r="H35" s="90">
        <v>87.4</v>
      </c>
      <c r="I35" s="89"/>
    </row>
    <row r="36" spans="1:17" x14ac:dyDescent="0.25">
      <c r="A36" s="87">
        <v>1979</v>
      </c>
      <c r="B36" s="85">
        <v>308</v>
      </c>
      <c r="C36" s="86">
        <v>17441</v>
      </c>
      <c r="D36" s="85" t="s">
        <v>112</v>
      </c>
      <c r="E36" s="84"/>
      <c r="F36" s="86">
        <v>5458728</v>
      </c>
      <c r="G36" s="84"/>
      <c r="H36" s="85">
        <v>84.4</v>
      </c>
      <c r="I36" s="84"/>
    </row>
    <row r="37" spans="1:17" x14ac:dyDescent="0.25">
      <c r="A37" s="87">
        <v>1980</v>
      </c>
      <c r="B37" s="85">
        <v>319</v>
      </c>
      <c r="C37" s="86">
        <v>17988</v>
      </c>
      <c r="D37" s="85" t="s">
        <v>112</v>
      </c>
      <c r="E37" s="84"/>
      <c r="F37" s="86">
        <v>5049289</v>
      </c>
      <c r="G37" s="84"/>
      <c r="H37" s="85">
        <v>75.400000000000006</v>
      </c>
      <c r="I37" s="84"/>
    </row>
    <row r="38" spans="1:17" x14ac:dyDescent="0.25">
      <c r="A38" s="92">
        <v>1981</v>
      </c>
      <c r="B38" s="90">
        <v>324</v>
      </c>
      <c r="C38" s="91">
        <v>18621</v>
      </c>
      <c r="D38" s="91">
        <v>18603</v>
      </c>
      <c r="E38" s="89"/>
      <c r="F38" s="91">
        <v>4654309</v>
      </c>
      <c r="G38" s="89"/>
      <c r="H38" s="90">
        <v>68.599999999999994</v>
      </c>
      <c r="I38" s="89"/>
    </row>
    <row r="39" spans="1:17" x14ac:dyDescent="0.25">
      <c r="A39" s="87">
        <v>1982</v>
      </c>
      <c r="B39" s="85">
        <v>301</v>
      </c>
      <c r="C39" s="86">
        <v>17890</v>
      </c>
      <c r="D39" s="86">
        <v>17432</v>
      </c>
      <c r="E39" s="84"/>
      <c r="F39" s="86">
        <v>4442630</v>
      </c>
      <c r="G39" s="84"/>
      <c r="H39" s="85">
        <v>69.900000000000006</v>
      </c>
      <c r="I39" s="84"/>
    </row>
    <row r="40" spans="1:17" x14ac:dyDescent="0.25">
      <c r="A40" s="87">
        <v>1983</v>
      </c>
      <c r="B40" s="85">
        <v>258</v>
      </c>
      <c r="C40" s="86">
        <v>16859</v>
      </c>
      <c r="D40" s="86">
        <v>16668</v>
      </c>
      <c r="E40" s="84"/>
      <c r="F40" s="86">
        <v>4360615</v>
      </c>
      <c r="G40" s="84"/>
      <c r="H40" s="85">
        <v>71.7</v>
      </c>
      <c r="I40" s="84"/>
      <c r="K40" s="61" t="s">
        <v>177</v>
      </c>
    </row>
    <row r="41" spans="1:17" x14ac:dyDescent="0.25">
      <c r="A41" s="92">
        <v>1984</v>
      </c>
      <c r="B41" s="90">
        <v>247</v>
      </c>
      <c r="C41" s="91">
        <v>16137</v>
      </c>
      <c r="D41" s="91">
        <v>16035</v>
      </c>
      <c r="E41" s="89"/>
      <c r="F41" s="91">
        <v>4471054</v>
      </c>
      <c r="G41" s="89"/>
      <c r="H41" s="90">
        <v>76.2</v>
      </c>
      <c r="I41" s="89"/>
      <c r="K41" s="61" t="s">
        <v>175</v>
      </c>
      <c r="M41" s="61" t="s">
        <v>178</v>
      </c>
      <c r="O41" s="61" t="s">
        <v>176</v>
      </c>
      <c r="Q41" s="61" t="s">
        <v>179</v>
      </c>
    </row>
    <row r="42" spans="1:17" x14ac:dyDescent="0.25">
      <c r="A42" s="87">
        <v>1985</v>
      </c>
      <c r="B42" s="85">
        <v>223</v>
      </c>
      <c r="C42" s="86">
        <v>15659</v>
      </c>
      <c r="D42" s="86">
        <v>15671</v>
      </c>
      <c r="E42" s="84"/>
      <c r="F42" s="86">
        <v>4440275</v>
      </c>
      <c r="G42" s="84"/>
      <c r="H42" s="85">
        <v>77.599999999999994</v>
      </c>
      <c r="I42" s="84"/>
      <c r="J42" s="119"/>
      <c r="K42" s="61">
        <f>C42*365</f>
        <v>5715535</v>
      </c>
      <c r="M42" s="61">
        <f>K42*(H42/100)</f>
        <v>4435255.1599999992</v>
      </c>
      <c r="O42" s="61">
        <f>M42/1000</f>
        <v>4435.2551599999988</v>
      </c>
      <c r="Q42" s="61">
        <f>O42/1000</f>
        <v>4.4352551599999988</v>
      </c>
    </row>
    <row r="43" spans="1:17" x14ac:dyDescent="0.25">
      <c r="A43" s="87">
        <v>1986</v>
      </c>
      <c r="B43" s="85">
        <v>216</v>
      </c>
      <c r="C43" s="86">
        <v>15459</v>
      </c>
      <c r="D43" s="86">
        <v>15459</v>
      </c>
      <c r="E43" s="84"/>
      <c r="F43" s="86">
        <v>4681421</v>
      </c>
      <c r="G43" s="84"/>
      <c r="H43" s="85">
        <v>82.9</v>
      </c>
      <c r="I43" s="84"/>
      <c r="K43" s="61">
        <f t="shared" ref="K43:K67" si="0">C43*365</f>
        <v>5642535</v>
      </c>
      <c r="M43" s="61">
        <f t="shared" ref="M43:M67" si="1">K43*(H43/100)</f>
        <v>4677661.5150000006</v>
      </c>
      <c r="O43" s="61">
        <f t="shared" ref="O43:O67" si="2">M43/1000</f>
        <v>4677.6615150000007</v>
      </c>
      <c r="Q43" s="61">
        <f t="shared" ref="Q43:Q67" si="3">O43/1000</f>
        <v>4.6776615150000005</v>
      </c>
    </row>
    <row r="44" spans="1:17" x14ac:dyDescent="0.25">
      <c r="A44" s="92">
        <v>1987</v>
      </c>
      <c r="B44" s="90">
        <v>219</v>
      </c>
      <c r="C44" s="91">
        <v>15566</v>
      </c>
      <c r="D44" s="91">
        <v>15642</v>
      </c>
      <c r="E44" s="89"/>
      <c r="F44" s="91">
        <v>4746145</v>
      </c>
      <c r="G44" s="89"/>
      <c r="H44" s="90">
        <v>83.1</v>
      </c>
      <c r="I44" s="89"/>
      <c r="K44" s="61">
        <f t="shared" si="0"/>
        <v>5681590</v>
      </c>
      <c r="M44" s="61">
        <f t="shared" si="1"/>
        <v>4721401.29</v>
      </c>
      <c r="O44" s="61">
        <f t="shared" si="2"/>
        <v>4721.4012899999998</v>
      </c>
      <c r="Q44" s="61">
        <f t="shared" si="3"/>
        <v>4.7214012900000002</v>
      </c>
    </row>
    <row r="45" spans="1:17" x14ac:dyDescent="0.25">
      <c r="A45" s="87">
        <v>1988</v>
      </c>
      <c r="B45" s="85">
        <v>213</v>
      </c>
      <c r="C45" s="86">
        <v>15915</v>
      </c>
      <c r="D45" s="86">
        <v>15927</v>
      </c>
      <c r="E45" s="84"/>
      <c r="F45" s="86">
        <v>4921470</v>
      </c>
      <c r="G45" s="84"/>
      <c r="H45" s="85">
        <v>84.7</v>
      </c>
      <c r="I45" s="84"/>
      <c r="K45" s="61">
        <f t="shared" si="0"/>
        <v>5808975</v>
      </c>
      <c r="M45" s="61">
        <f t="shared" si="1"/>
        <v>4920201.8250000002</v>
      </c>
      <c r="O45" s="61">
        <f t="shared" si="2"/>
        <v>4920.2018250000001</v>
      </c>
      <c r="Q45" s="61">
        <f t="shared" si="3"/>
        <v>4.9202018250000004</v>
      </c>
    </row>
    <row r="46" spans="1:17" x14ac:dyDescent="0.25">
      <c r="A46" s="87">
        <v>1989</v>
      </c>
      <c r="B46" s="85">
        <v>204</v>
      </c>
      <c r="C46" s="86">
        <v>15655</v>
      </c>
      <c r="D46" s="86">
        <v>15701</v>
      </c>
      <c r="E46" s="84"/>
      <c r="F46" s="86">
        <v>4946074</v>
      </c>
      <c r="G46" s="84"/>
      <c r="H46" s="85">
        <v>86.6</v>
      </c>
      <c r="I46" s="84"/>
      <c r="K46" s="61">
        <f t="shared" si="0"/>
        <v>5714075</v>
      </c>
      <c r="M46" s="61">
        <f t="shared" si="1"/>
        <v>4948388.95</v>
      </c>
      <c r="O46" s="61">
        <f t="shared" si="2"/>
        <v>4948.3889500000005</v>
      </c>
      <c r="Q46" s="61">
        <f t="shared" si="3"/>
        <v>4.9483889500000009</v>
      </c>
    </row>
    <row r="47" spans="1:17" x14ac:dyDescent="0.25">
      <c r="A47" s="92">
        <v>1990</v>
      </c>
      <c r="B47" s="90">
        <v>205</v>
      </c>
      <c r="C47" s="91">
        <v>15572</v>
      </c>
      <c r="D47" s="91">
        <v>15623</v>
      </c>
      <c r="E47" s="89"/>
      <c r="F47" s="91">
        <v>4967557</v>
      </c>
      <c r="G47" s="89"/>
      <c r="H47" s="90">
        <v>87.1</v>
      </c>
      <c r="I47" s="89"/>
      <c r="K47" s="61">
        <f t="shared" si="0"/>
        <v>5683780</v>
      </c>
      <c r="M47" s="61">
        <f t="shared" si="1"/>
        <v>4950572.38</v>
      </c>
      <c r="O47" s="61">
        <f t="shared" si="2"/>
        <v>4950.5723799999996</v>
      </c>
      <c r="Q47" s="61">
        <f t="shared" si="3"/>
        <v>4.9505723799999997</v>
      </c>
    </row>
    <row r="48" spans="1:17" x14ac:dyDescent="0.25">
      <c r="A48" s="87">
        <v>1991</v>
      </c>
      <c r="B48" s="85">
        <v>202</v>
      </c>
      <c r="C48" s="86">
        <v>15676</v>
      </c>
      <c r="D48" s="86">
        <v>15707</v>
      </c>
      <c r="E48" s="84"/>
      <c r="F48" s="86">
        <v>4930423</v>
      </c>
      <c r="G48" s="84"/>
      <c r="H48" s="85">
        <v>86</v>
      </c>
      <c r="I48" s="84"/>
      <c r="K48" s="61">
        <f t="shared" si="0"/>
        <v>5721740</v>
      </c>
      <c r="M48" s="61">
        <f t="shared" si="1"/>
        <v>4920696.4000000004</v>
      </c>
      <c r="O48" s="61">
        <f t="shared" si="2"/>
        <v>4920.6964000000007</v>
      </c>
      <c r="Q48" s="61">
        <f t="shared" si="3"/>
        <v>4.9206964000000006</v>
      </c>
    </row>
    <row r="49" spans="1:17" x14ac:dyDescent="0.25">
      <c r="A49" s="87">
        <v>1992</v>
      </c>
      <c r="B49" s="85">
        <v>199</v>
      </c>
      <c r="C49" s="86">
        <v>15696</v>
      </c>
      <c r="D49" s="86">
        <v>15460</v>
      </c>
      <c r="E49" s="84"/>
      <c r="F49" s="86">
        <v>4977749</v>
      </c>
      <c r="G49" s="84"/>
      <c r="H49" s="85">
        <v>87.9</v>
      </c>
      <c r="I49" s="84"/>
      <c r="K49" s="61">
        <f t="shared" si="0"/>
        <v>5729040</v>
      </c>
      <c r="M49" s="61">
        <f t="shared" si="1"/>
        <v>5035826.16</v>
      </c>
      <c r="O49" s="61">
        <f t="shared" si="2"/>
        <v>5035.8261600000005</v>
      </c>
      <c r="Q49" s="61">
        <f t="shared" si="3"/>
        <v>5.0358261600000009</v>
      </c>
    </row>
    <row r="50" spans="1:17" x14ac:dyDescent="0.25">
      <c r="A50" s="92">
        <v>1993</v>
      </c>
      <c r="B50" s="90">
        <v>187</v>
      </c>
      <c r="C50" s="91">
        <v>15121</v>
      </c>
      <c r="D50" s="91">
        <v>15143</v>
      </c>
      <c r="E50" s="89"/>
      <c r="F50" s="91">
        <v>5055698</v>
      </c>
      <c r="G50" s="89"/>
      <c r="H50" s="90">
        <v>91.5</v>
      </c>
      <c r="I50" s="89"/>
      <c r="K50" s="61">
        <f t="shared" si="0"/>
        <v>5519165</v>
      </c>
      <c r="M50" s="61">
        <f t="shared" si="1"/>
        <v>5050035.9750000006</v>
      </c>
      <c r="O50" s="61">
        <f t="shared" si="2"/>
        <v>5050.0359750000007</v>
      </c>
      <c r="Q50" s="61">
        <f t="shared" si="3"/>
        <v>5.050035975000001</v>
      </c>
    </row>
    <row r="51" spans="1:17" x14ac:dyDescent="0.25">
      <c r="A51" s="87">
        <v>1994</v>
      </c>
      <c r="B51" s="85">
        <v>179</v>
      </c>
      <c r="C51" s="86">
        <v>15034</v>
      </c>
      <c r="D51" s="86">
        <v>15150</v>
      </c>
      <c r="E51" s="84"/>
      <c r="F51" s="86">
        <v>5121577</v>
      </c>
      <c r="G51" s="84"/>
      <c r="H51" s="85">
        <v>92.6</v>
      </c>
      <c r="I51" s="84"/>
      <c r="K51" s="61">
        <f t="shared" si="0"/>
        <v>5487410</v>
      </c>
      <c r="M51" s="61">
        <f t="shared" si="1"/>
        <v>5081341.6599999992</v>
      </c>
      <c r="O51" s="61">
        <f t="shared" si="2"/>
        <v>5081.3416599999991</v>
      </c>
      <c r="Q51" s="61">
        <f t="shared" si="3"/>
        <v>5.0813416599999988</v>
      </c>
    </row>
    <row r="52" spans="1:17" x14ac:dyDescent="0.25">
      <c r="A52" s="87">
        <v>1995</v>
      </c>
      <c r="B52" s="85">
        <v>175</v>
      </c>
      <c r="C52" s="86">
        <v>15434</v>
      </c>
      <c r="D52" s="86">
        <v>15346</v>
      </c>
      <c r="E52" s="84"/>
      <c r="F52" s="86">
        <v>5153362</v>
      </c>
      <c r="G52" s="84"/>
      <c r="H52" s="85">
        <v>92</v>
      </c>
      <c r="I52" s="84"/>
      <c r="K52" s="61">
        <f t="shared" si="0"/>
        <v>5633410</v>
      </c>
      <c r="M52" s="61">
        <f t="shared" si="1"/>
        <v>5182737.2</v>
      </c>
      <c r="O52" s="61">
        <f t="shared" si="2"/>
        <v>5182.7372000000005</v>
      </c>
      <c r="Q52" s="61">
        <f t="shared" si="3"/>
        <v>5.1827372</v>
      </c>
    </row>
    <row r="53" spans="1:17" x14ac:dyDescent="0.25">
      <c r="A53" s="92">
        <v>1996</v>
      </c>
      <c r="B53" s="90">
        <v>170</v>
      </c>
      <c r="C53" s="91">
        <v>15333</v>
      </c>
      <c r="D53" s="91">
        <v>15239</v>
      </c>
      <c r="E53" s="89"/>
      <c r="F53" s="91">
        <v>5247422</v>
      </c>
      <c r="G53" s="89"/>
      <c r="H53" s="90">
        <v>94.1</v>
      </c>
      <c r="I53" s="89"/>
      <c r="K53" s="61">
        <f t="shared" si="0"/>
        <v>5596545</v>
      </c>
      <c r="M53" s="61">
        <f t="shared" si="1"/>
        <v>5266348.8449999997</v>
      </c>
      <c r="O53" s="61">
        <f t="shared" si="2"/>
        <v>5266.3488449999995</v>
      </c>
      <c r="Q53" s="61">
        <f t="shared" si="3"/>
        <v>5.2663488449999996</v>
      </c>
    </row>
    <row r="54" spans="1:17" x14ac:dyDescent="0.25">
      <c r="A54" s="87">
        <v>1997</v>
      </c>
      <c r="B54" s="85">
        <v>164</v>
      </c>
      <c r="C54" s="86">
        <v>15452</v>
      </c>
      <c r="D54" s="86">
        <v>15594</v>
      </c>
      <c r="E54" s="84"/>
      <c r="F54" s="86">
        <v>5415870</v>
      </c>
      <c r="G54" s="84"/>
      <c r="H54" s="85">
        <v>95.2</v>
      </c>
      <c r="I54" s="84"/>
      <c r="K54" s="61">
        <f t="shared" si="0"/>
        <v>5639980</v>
      </c>
      <c r="M54" s="61">
        <f t="shared" si="1"/>
        <v>5369260.96</v>
      </c>
      <c r="O54" s="61">
        <f t="shared" si="2"/>
        <v>5369.2609599999996</v>
      </c>
      <c r="Q54" s="61">
        <f t="shared" si="3"/>
        <v>5.3692609599999992</v>
      </c>
    </row>
    <row r="55" spans="1:17" x14ac:dyDescent="0.25">
      <c r="A55" s="87">
        <v>1998</v>
      </c>
      <c r="B55" s="85">
        <v>163</v>
      </c>
      <c r="C55" s="86">
        <v>15711</v>
      </c>
      <c r="D55" s="86">
        <v>15802</v>
      </c>
      <c r="E55" s="84"/>
      <c r="F55" s="86">
        <v>5516245</v>
      </c>
      <c r="G55" s="84"/>
      <c r="H55" s="85">
        <v>95.6</v>
      </c>
      <c r="I55" s="84"/>
      <c r="K55" s="61">
        <f t="shared" si="0"/>
        <v>5734515</v>
      </c>
      <c r="M55" s="61">
        <f t="shared" si="1"/>
        <v>5482196.3399999999</v>
      </c>
      <c r="O55" s="61">
        <f t="shared" si="2"/>
        <v>5482.1963399999995</v>
      </c>
      <c r="Q55" s="61">
        <f t="shared" si="3"/>
        <v>5.4821963399999998</v>
      </c>
    </row>
    <row r="56" spans="1:17" x14ac:dyDescent="0.25">
      <c r="A56" s="92">
        <v>1999</v>
      </c>
      <c r="B56" s="90">
        <v>159</v>
      </c>
      <c r="C56" s="91">
        <v>16261</v>
      </c>
      <c r="D56" s="91">
        <v>16282</v>
      </c>
      <c r="E56" s="89"/>
      <c r="F56" s="91">
        <v>5504172</v>
      </c>
      <c r="G56" s="89"/>
      <c r="H56" s="90">
        <v>92.6</v>
      </c>
      <c r="I56" s="89"/>
      <c r="K56" s="61">
        <f t="shared" si="0"/>
        <v>5935265</v>
      </c>
      <c r="M56" s="61">
        <f t="shared" si="1"/>
        <v>5496055.3899999997</v>
      </c>
      <c r="O56" s="61">
        <f t="shared" si="2"/>
        <v>5496.0553899999995</v>
      </c>
      <c r="Q56" s="61">
        <f t="shared" si="3"/>
        <v>5.4960553899999995</v>
      </c>
    </row>
    <row r="57" spans="1:17" x14ac:dyDescent="0.25">
      <c r="A57" s="87">
        <v>2000</v>
      </c>
      <c r="B57" s="85">
        <v>158</v>
      </c>
      <c r="C57" s="86">
        <v>16512</v>
      </c>
      <c r="D57" s="86">
        <v>16525</v>
      </c>
      <c r="E57" s="84"/>
      <c r="F57" s="86">
        <v>5599356</v>
      </c>
      <c r="G57" s="84"/>
      <c r="H57" s="85">
        <v>92.6</v>
      </c>
      <c r="I57" s="84"/>
      <c r="K57" s="61">
        <f t="shared" si="0"/>
        <v>6026880</v>
      </c>
      <c r="M57" s="61">
        <f t="shared" si="1"/>
        <v>5580890.8799999999</v>
      </c>
      <c r="O57" s="61">
        <f t="shared" si="2"/>
        <v>5580.8908799999999</v>
      </c>
      <c r="Q57" s="61">
        <f t="shared" si="3"/>
        <v>5.5808908800000001</v>
      </c>
    </row>
    <row r="58" spans="1:17" x14ac:dyDescent="0.25">
      <c r="A58" s="87">
        <v>2001</v>
      </c>
      <c r="B58" s="85">
        <v>155</v>
      </c>
      <c r="C58" s="86">
        <v>16595</v>
      </c>
      <c r="D58" s="86">
        <v>16582</v>
      </c>
      <c r="E58" s="84"/>
      <c r="F58" s="86">
        <v>5603617</v>
      </c>
      <c r="G58" s="84"/>
      <c r="H58" s="85">
        <v>92.6</v>
      </c>
      <c r="I58" s="84"/>
      <c r="K58" s="61">
        <f t="shared" si="0"/>
        <v>6057175</v>
      </c>
      <c r="M58" s="61">
        <f t="shared" si="1"/>
        <v>5608944.0499999998</v>
      </c>
      <c r="O58" s="61">
        <f t="shared" si="2"/>
        <v>5608.9440500000001</v>
      </c>
      <c r="Q58" s="61">
        <f t="shared" si="3"/>
        <v>5.6089440499999998</v>
      </c>
    </row>
    <row r="59" spans="1:17" x14ac:dyDescent="0.25">
      <c r="A59" s="92">
        <v>2002</v>
      </c>
      <c r="B59" s="90">
        <v>153</v>
      </c>
      <c r="C59" s="91">
        <v>16785</v>
      </c>
      <c r="D59" s="91">
        <v>16744</v>
      </c>
      <c r="E59" s="89"/>
      <c r="F59" s="91">
        <v>5540817</v>
      </c>
      <c r="G59" s="89"/>
      <c r="H59" s="90">
        <v>90.7</v>
      </c>
      <c r="I59" s="89"/>
      <c r="K59" s="61">
        <f t="shared" si="0"/>
        <v>6126525</v>
      </c>
      <c r="M59" s="61">
        <f t="shared" si="1"/>
        <v>5556758.1749999998</v>
      </c>
      <c r="O59" s="61">
        <f t="shared" si="2"/>
        <v>5556.7581749999999</v>
      </c>
      <c r="Q59" s="61">
        <f t="shared" si="3"/>
        <v>5.5567581749999997</v>
      </c>
    </row>
    <row r="60" spans="1:17" x14ac:dyDescent="0.25">
      <c r="A60" s="87">
        <v>2003</v>
      </c>
      <c r="B60" s="85">
        <v>149</v>
      </c>
      <c r="C60" s="86">
        <v>16757</v>
      </c>
      <c r="D60" s="86">
        <v>16748</v>
      </c>
      <c r="E60" s="84"/>
      <c r="F60" s="86">
        <v>5660270</v>
      </c>
      <c r="G60" s="84"/>
      <c r="H60" s="85">
        <v>92.6</v>
      </c>
      <c r="I60" s="84"/>
      <c r="K60" s="61">
        <f t="shared" si="0"/>
        <v>6116305</v>
      </c>
      <c r="M60" s="61">
        <f t="shared" si="1"/>
        <v>5663698.4299999997</v>
      </c>
      <c r="O60" s="61">
        <f t="shared" si="2"/>
        <v>5663.6984299999995</v>
      </c>
      <c r="Q60" s="61">
        <f t="shared" si="3"/>
        <v>5.6636984299999993</v>
      </c>
    </row>
    <row r="61" spans="1:17" x14ac:dyDescent="0.25">
      <c r="A61" s="87">
        <v>2004</v>
      </c>
      <c r="B61" s="85">
        <v>149</v>
      </c>
      <c r="C61" s="86">
        <v>16894</v>
      </c>
      <c r="D61" s="86">
        <v>16974</v>
      </c>
      <c r="E61" s="84"/>
      <c r="F61" s="86">
        <v>5776737</v>
      </c>
      <c r="G61" s="84"/>
      <c r="H61" s="85">
        <v>93</v>
      </c>
      <c r="I61" s="84"/>
      <c r="K61" s="61">
        <f t="shared" si="0"/>
        <v>6166310</v>
      </c>
      <c r="M61" s="61">
        <f t="shared" si="1"/>
        <v>5734668.3000000007</v>
      </c>
      <c r="O61" s="61">
        <f t="shared" si="2"/>
        <v>5734.6683000000012</v>
      </c>
      <c r="Q61" s="61">
        <f t="shared" si="3"/>
        <v>5.7346683000000009</v>
      </c>
    </row>
    <row r="62" spans="1:17" x14ac:dyDescent="0.25">
      <c r="A62" s="92">
        <v>2005</v>
      </c>
      <c r="B62" s="90">
        <v>148</v>
      </c>
      <c r="C62" s="91">
        <v>17125</v>
      </c>
      <c r="D62" s="91">
        <v>17196</v>
      </c>
      <c r="E62" s="89"/>
      <c r="F62" s="91">
        <v>5686131</v>
      </c>
      <c r="G62" s="89"/>
      <c r="H62" s="90">
        <v>90.6</v>
      </c>
      <c r="I62" s="89"/>
      <c r="K62" s="61">
        <f t="shared" si="0"/>
        <v>6250625</v>
      </c>
      <c r="M62" s="61">
        <f t="shared" si="1"/>
        <v>5663066.2499999991</v>
      </c>
      <c r="O62" s="61">
        <f t="shared" si="2"/>
        <v>5663.0662499999989</v>
      </c>
      <c r="Q62" s="61">
        <f t="shared" si="3"/>
        <v>5.6630662499999991</v>
      </c>
    </row>
    <row r="63" spans="1:17" x14ac:dyDescent="0.25">
      <c r="A63" s="87">
        <v>2006</v>
      </c>
      <c r="B63" s="85">
        <v>149</v>
      </c>
      <c r="C63" s="86">
        <v>17339</v>
      </c>
      <c r="D63" s="86">
        <v>17385</v>
      </c>
      <c r="E63" s="84"/>
      <c r="F63" s="86">
        <v>5694574</v>
      </c>
      <c r="G63" s="84"/>
      <c r="H63" s="85">
        <v>89.7</v>
      </c>
      <c r="I63" s="84"/>
      <c r="K63" s="61">
        <f t="shared" si="0"/>
        <v>6328735</v>
      </c>
      <c r="M63" s="61">
        <f t="shared" si="1"/>
        <v>5676875.2949999999</v>
      </c>
      <c r="O63" s="61">
        <f t="shared" si="2"/>
        <v>5676.8752949999998</v>
      </c>
      <c r="Q63" s="61">
        <f t="shared" si="3"/>
        <v>5.6768752949999994</v>
      </c>
    </row>
    <row r="64" spans="1:17" x14ac:dyDescent="0.25">
      <c r="A64" s="87">
        <v>2007</v>
      </c>
      <c r="B64" s="85">
        <v>149</v>
      </c>
      <c r="C64" s="86">
        <v>17443</v>
      </c>
      <c r="D64" s="86">
        <v>17450</v>
      </c>
      <c r="E64" s="84"/>
      <c r="F64" s="86">
        <v>5639167</v>
      </c>
      <c r="G64" s="84"/>
      <c r="H64" s="85">
        <v>88.5</v>
      </c>
      <c r="I64" s="84"/>
      <c r="K64" s="61">
        <f t="shared" si="0"/>
        <v>6366695</v>
      </c>
      <c r="M64" s="61">
        <f t="shared" si="1"/>
        <v>5634525.0750000002</v>
      </c>
      <c r="O64" s="61">
        <f t="shared" si="2"/>
        <v>5634.5250750000005</v>
      </c>
      <c r="Q64" s="61">
        <f t="shared" si="3"/>
        <v>5.6345250750000009</v>
      </c>
    </row>
    <row r="65" spans="1:17" x14ac:dyDescent="0.25">
      <c r="A65" s="92">
        <v>2008</v>
      </c>
      <c r="B65" s="90">
        <v>150</v>
      </c>
      <c r="C65" s="91">
        <v>17594</v>
      </c>
      <c r="D65" s="91">
        <v>17607</v>
      </c>
      <c r="E65" s="89"/>
      <c r="F65" s="91">
        <v>5499770</v>
      </c>
      <c r="G65" s="89"/>
      <c r="H65" s="90">
        <v>85.3</v>
      </c>
      <c r="I65" s="89"/>
      <c r="K65" s="61">
        <f t="shared" si="0"/>
        <v>6421810</v>
      </c>
      <c r="M65" s="61">
        <f t="shared" si="1"/>
        <v>5477803.9299999997</v>
      </c>
      <c r="O65" s="61">
        <f t="shared" si="2"/>
        <v>5477.80393</v>
      </c>
      <c r="Q65" s="61">
        <f t="shared" si="3"/>
        <v>5.4778039300000003</v>
      </c>
    </row>
    <row r="66" spans="1:17" x14ac:dyDescent="0.25">
      <c r="A66" s="87">
        <v>2009</v>
      </c>
      <c r="B66" s="85">
        <v>150</v>
      </c>
      <c r="C66" s="86">
        <v>17672</v>
      </c>
      <c r="D66" s="86">
        <v>17678</v>
      </c>
      <c r="E66" s="88" t="s">
        <v>161</v>
      </c>
      <c r="F66" s="86">
        <v>5350383</v>
      </c>
      <c r="G66" s="88" t="s">
        <v>161</v>
      </c>
      <c r="H66" s="85">
        <v>82.9</v>
      </c>
      <c r="I66" s="88" t="s">
        <v>161</v>
      </c>
      <c r="K66" s="61">
        <f t="shared" si="0"/>
        <v>6450280</v>
      </c>
      <c r="M66" s="61">
        <f t="shared" si="1"/>
        <v>5347282.12</v>
      </c>
      <c r="O66" s="61">
        <f t="shared" si="2"/>
        <v>5347.2821199999998</v>
      </c>
      <c r="Q66" s="61">
        <f t="shared" si="3"/>
        <v>5.34728212</v>
      </c>
    </row>
    <row r="67" spans="1:17" x14ac:dyDescent="0.25">
      <c r="A67" s="87" t="s">
        <v>160</v>
      </c>
      <c r="B67" s="85">
        <v>148</v>
      </c>
      <c r="C67" s="86">
        <v>17584</v>
      </c>
      <c r="D67" s="86">
        <v>17590</v>
      </c>
      <c r="E67" s="84"/>
      <c r="F67" s="86">
        <v>5534072</v>
      </c>
      <c r="G67" s="84"/>
      <c r="H67" s="85">
        <v>86.2</v>
      </c>
      <c r="I67" s="84"/>
      <c r="K67" s="61">
        <f t="shared" si="0"/>
        <v>6418160</v>
      </c>
      <c r="M67" s="61">
        <f t="shared" si="1"/>
        <v>5532453.9199999999</v>
      </c>
      <c r="O67" s="61">
        <f t="shared" si="2"/>
        <v>5532.4539199999999</v>
      </c>
      <c r="Q67" s="61">
        <f t="shared" si="3"/>
        <v>5.53245392</v>
      </c>
    </row>
    <row r="68" spans="1:17" x14ac:dyDescent="0.25">
      <c r="A68" s="83" t="s">
        <v>159</v>
      </c>
      <c r="B68" s="82"/>
      <c r="C68" s="82"/>
      <c r="D68" s="82"/>
      <c r="E68" s="81" t="s">
        <v>158</v>
      </c>
      <c r="F68" s="81"/>
      <c r="G68" s="81"/>
      <c r="H68" s="81"/>
      <c r="I68" s="80"/>
    </row>
    <row r="69" spans="1:17" x14ac:dyDescent="0.25">
      <c r="A69" s="69" t="s">
        <v>157</v>
      </c>
      <c r="B69" s="68"/>
      <c r="C69" s="68"/>
      <c r="D69" s="68"/>
      <c r="E69" s="68"/>
      <c r="F69" s="68"/>
      <c r="G69" s="68"/>
      <c r="H69" s="68"/>
      <c r="I69" s="72"/>
    </row>
    <row r="70" spans="1:17" ht="15" customHeight="1" x14ac:dyDescent="0.25">
      <c r="A70" s="71" t="s">
        <v>156</v>
      </c>
      <c r="B70" s="70"/>
      <c r="C70" s="70"/>
      <c r="D70" s="70"/>
      <c r="E70" s="79" t="s">
        <v>155</v>
      </c>
      <c r="F70" s="79"/>
      <c r="G70" s="79"/>
      <c r="H70" s="79"/>
      <c r="I70" s="78"/>
    </row>
    <row r="71" spans="1:17" x14ac:dyDescent="0.25">
      <c r="A71" s="71" t="s">
        <v>154</v>
      </c>
      <c r="B71" s="70"/>
      <c r="C71" s="70"/>
      <c r="D71" s="70"/>
      <c r="E71" s="73" t="s">
        <v>153</v>
      </c>
      <c r="F71" s="73"/>
      <c r="G71" s="73"/>
      <c r="H71" s="73"/>
      <c r="I71" s="72"/>
    </row>
    <row r="72" spans="1:17" x14ac:dyDescent="0.25">
      <c r="A72" s="71"/>
      <c r="B72" s="70"/>
      <c r="C72" s="70"/>
      <c r="D72" s="70"/>
      <c r="E72" s="73" t="s">
        <v>152</v>
      </c>
      <c r="F72" s="73"/>
      <c r="G72" s="73"/>
      <c r="H72" s="73"/>
      <c r="I72" s="72"/>
    </row>
    <row r="73" spans="1:17" x14ac:dyDescent="0.25">
      <c r="A73" s="71"/>
      <c r="B73" s="70"/>
      <c r="C73" s="70"/>
      <c r="D73" s="70"/>
      <c r="E73" s="77" t="s">
        <v>151</v>
      </c>
      <c r="F73" s="77"/>
      <c r="G73" s="77"/>
      <c r="H73" s="77"/>
      <c r="I73" s="76"/>
    </row>
    <row r="74" spans="1:17" x14ac:dyDescent="0.25">
      <c r="A74" s="71"/>
      <c r="B74" s="70"/>
      <c r="C74" s="70"/>
      <c r="D74" s="70"/>
      <c r="E74" s="77" t="s">
        <v>150</v>
      </c>
      <c r="F74" s="77"/>
      <c r="G74" s="77"/>
      <c r="H74" s="77"/>
      <c r="I74" s="76"/>
    </row>
    <row r="75" spans="1:17" x14ac:dyDescent="0.25">
      <c r="A75" s="71"/>
      <c r="B75" s="70"/>
      <c r="C75" s="70"/>
      <c r="D75" s="70"/>
      <c r="E75" s="75" t="s">
        <v>149</v>
      </c>
      <c r="F75" s="75"/>
      <c r="G75" s="75"/>
      <c r="H75" s="75"/>
      <c r="I75" s="74"/>
    </row>
    <row r="76" spans="1:17" x14ac:dyDescent="0.25">
      <c r="A76" s="71"/>
      <c r="B76" s="70"/>
      <c r="C76" s="70"/>
      <c r="D76" s="70"/>
      <c r="E76" s="75" t="s">
        <v>148</v>
      </c>
      <c r="F76" s="75"/>
      <c r="G76" s="75"/>
      <c r="H76" s="75"/>
      <c r="I76" s="74"/>
    </row>
    <row r="77" spans="1:17" x14ac:dyDescent="0.25">
      <c r="A77" s="71"/>
      <c r="B77" s="70"/>
      <c r="C77" s="70"/>
      <c r="D77" s="70"/>
      <c r="E77" s="73" t="s">
        <v>147</v>
      </c>
      <c r="F77" s="73"/>
      <c r="G77" s="73"/>
      <c r="H77" s="73"/>
      <c r="I77" s="72"/>
    </row>
    <row r="78" spans="1:17" x14ac:dyDescent="0.25">
      <c r="A78" s="71"/>
      <c r="B78" s="70"/>
      <c r="C78" s="70"/>
      <c r="D78" s="70"/>
      <c r="E78" s="73" t="s">
        <v>146</v>
      </c>
      <c r="F78" s="73"/>
      <c r="G78" s="73"/>
      <c r="H78" s="73"/>
      <c r="I78" s="72"/>
    </row>
    <row r="79" spans="1:17" x14ac:dyDescent="0.25">
      <c r="A79" s="71"/>
      <c r="B79" s="70"/>
      <c r="C79" s="70"/>
      <c r="D79" s="70"/>
      <c r="E79" s="73" t="s">
        <v>145</v>
      </c>
      <c r="F79" s="73"/>
      <c r="G79" s="73"/>
      <c r="H79" s="73"/>
      <c r="I79" s="72"/>
    </row>
    <row r="80" spans="1:17" x14ac:dyDescent="0.25">
      <c r="A80" s="71"/>
      <c r="B80" s="70"/>
      <c r="C80" s="70"/>
      <c r="D80" s="70"/>
      <c r="E80" s="75" t="s">
        <v>144</v>
      </c>
      <c r="F80" s="75"/>
      <c r="G80" s="75"/>
      <c r="H80" s="75"/>
      <c r="I80" s="74"/>
    </row>
    <row r="81" spans="1:9" x14ac:dyDescent="0.25">
      <c r="A81" s="71"/>
      <c r="B81" s="70"/>
      <c r="C81" s="70"/>
      <c r="D81" s="70"/>
      <c r="E81" s="73" t="s">
        <v>143</v>
      </c>
      <c r="F81" s="73"/>
      <c r="G81" s="73"/>
      <c r="H81" s="73"/>
      <c r="I81" s="72"/>
    </row>
    <row r="82" spans="1:9" x14ac:dyDescent="0.25">
      <c r="A82" s="71"/>
      <c r="B82" s="70"/>
      <c r="C82" s="70"/>
      <c r="D82" s="70"/>
      <c r="E82" s="73" t="s">
        <v>142</v>
      </c>
      <c r="F82" s="73"/>
      <c r="G82" s="73"/>
      <c r="H82" s="73"/>
      <c r="I82" s="72"/>
    </row>
    <row r="83" spans="1:9" x14ac:dyDescent="0.25">
      <c r="A83" s="71" t="s">
        <v>141</v>
      </c>
      <c r="B83" s="70"/>
      <c r="C83" s="70"/>
      <c r="D83" s="70"/>
      <c r="E83" s="67"/>
      <c r="F83" s="67"/>
      <c r="G83" s="67"/>
      <c r="H83" s="67"/>
      <c r="I83" s="66"/>
    </row>
    <row r="84" spans="1:9" x14ac:dyDescent="0.25">
      <c r="A84" s="69" t="s">
        <v>140</v>
      </c>
      <c r="B84" s="68"/>
      <c r="C84" s="68"/>
      <c r="D84" s="68"/>
      <c r="E84" s="67"/>
      <c r="F84" s="67"/>
      <c r="G84" s="67"/>
      <c r="H84" s="67"/>
      <c r="I84" s="66"/>
    </row>
    <row r="85" spans="1:9" x14ac:dyDescent="0.25">
      <c r="A85" s="65" t="s">
        <v>139</v>
      </c>
      <c r="B85" s="64"/>
      <c r="C85" s="64"/>
      <c r="D85" s="64"/>
      <c r="E85" s="63"/>
      <c r="F85" s="63"/>
      <c r="G85" s="63"/>
      <c r="H85" s="63"/>
      <c r="I85" s="62"/>
    </row>
  </sheetData>
  <mergeCells count="33">
    <mergeCell ref="A83:D83"/>
    <mergeCell ref="E83:I85"/>
    <mergeCell ref="A84:D84"/>
    <mergeCell ref="A85:D85"/>
    <mergeCell ref="A71:D82"/>
    <mergeCell ref="E71:I71"/>
    <mergeCell ref="E72:I72"/>
    <mergeCell ref="E76:I76"/>
    <mergeCell ref="E77:I77"/>
    <mergeCell ref="E78:I78"/>
    <mergeCell ref="E80:I80"/>
    <mergeCell ref="E81:I81"/>
    <mergeCell ref="E82:I82"/>
    <mergeCell ref="E79:I79"/>
    <mergeCell ref="H5:I5"/>
    <mergeCell ref="A68:D68"/>
    <mergeCell ref="E68:I69"/>
    <mergeCell ref="A69:D69"/>
    <mergeCell ref="A70:D70"/>
    <mergeCell ref="E70:I70"/>
    <mergeCell ref="E73:I73"/>
    <mergeCell ref="E74:I74"/>
    <mergeCell ref="E75:I75"/>
    <mergeCell ref="A1:I1"/>
    <mergeCell ref="A2:A5"/>
    <mergeCell ref="C2:E3"/>
    <mergeCell ref="F2:G2"/>
    <mergeCell ref="H2:I4"/>
    <mergeCell ref="F3:G3"/>
    <mergeCell ref="D4:E4"/>
    <mergeCell ref="F4:G4"/>
    <mergeCell ref="C5:E5"/>
    <mergeCell ref="F5:G5"/>
  </mergeCells>
  <hyperlinks>
    <hyperlink ref="E70" r:id="rId1" display="http://www.eia.gov/petroleum/"/>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D23"/>
  <sheetViews>
    <sheetView workbookViewId="0">
      <selection activeCell="A2" sqref="A2:A23"/>
    </sheetView>
  </sheetViews>
  <sheetFormatPr defaultRowHeight="15" x14ac:dyDescent="0.25"/>
  <sheetData>
    <row r="2" spans="1:4" x14ac:dyDescent="0.25">
      <c r="B2" t="s">
        <v>132</v>
      </c>
      <c r="C2" t="s">
        <v>180</v>
      </c>
      <c r="D2" t="s">
        <v>79</v>
      </c>
    </row>
    <row r="3" spans="1:4" x14ac:dyDescent="0.25">
      <c r="A3">
        <v>1991</v>
      </c>
      <c r="B3">
        <v>4121</v>
      </c>
      <c r="C3">
        <v>1320</v>
      </c>
      <c r="D3">
        <f>SUM(B3:C3)</f>
        <v>5441</v>
      </c>
    </row>
    <row r="4" spans="1:4" x14ac:dyDescent="0.25">
      <c r="A4">
        <v>1992</v>
      </c>
      <c r="B4">
        <v>4042</v>
      </c>
      <c r="C4">
        <v>1610</v>
      </c>
      <c r="D4">
        <f t="shared" ref="D4:D23" si="0">SUM(B4:C4)</f>
        <v>5652</v>
      </c>
    </row>
    <row r="5" spans="1:4" x14ac:dyDescent="0.25">
      <c r="A5">
        <v>1993</v>
      </c>
      <c r="B5">
        <v>3695</v>
      </c>
      <c r="C5">
        <v>1630</v>
      </c>
      <c r="D5">
        <f t="shared" si="0"/>
        <v>5325</v>
      </c>
    </row>
    <row r="6" spans="1:4" x14ac:dyDescent="0.25">
      <c r="A6">
        <v>1994</v>
      </c>
      <c r="B6">
        <v>3299</v>
      </c>
      <c r="C6">
        <v>1500</v>
      </c>
      <c r="D6">
        <f t="shared" si="0"/>
        <v>4799</v>
      </c>
    </row>
    <row r="7" spans="1:4" x14ac:dyDescent="0.25">
      <c r="A7">
        <v>1995</v>
      </c>
      <c r="B7">
        <v>3375</v>
      </c>
      <c r="C7">
        <v>1510</v>
      </c>
      <c r="D7">
        <f t="shared" si="0"/>
        <v>4885</v>
      </c>
    </row>
    <row r="8" spans="1:4" x14ac:dyDescent="0.25">
      <c r="A8">
        <v>1996</v>
      </c>
      <c r="B8">
        <v>3577</v>
      </c>
      <c r="C8">
        <v>1570</v>
      </c>
      <c r="D8">
        <f t="shared" si="0"/>
        <v>5147</v>
      </c>
    </row>
    <row r="9" spans="1:4" x14ac:dyDescent="0.25">
      <c r="A9">
        <v>1997</v>
      </c>
      <c r="B9">
        <v>3603</v>
      </c>
      <c r="C9">
        <v>1530</v>
      </c>
      <c r="D9">
        <f t="shared" si="0"/>
        <v>5133</v>
      </c>
    </row>
    <row r="10" spans="1:4" x14ac:dyDescent="0.25">
      <c r="A10">
        <v>1998</v>
      </c>
      <c r="B10">
        <v>3713</v>
      </c>
      <c r="C10">
        <v>1500</v>
      </c>
      <c r="D10">
        <f t="shared" si="0"/>
        <v>5213</v>
      </c>
    </row>
    <row r="11" spans="1:4" x14ac:dyDescent="0.25">
      <c r="A11">
        <v>1999</v>
      </c>
      <c r="B11">
        <v>3799</v>
      </c>
      <c r="C11">
        <v>1550</v>
      </c>
      <c r="D11">
        <f t="shared" si="0"/>
        <v>5349</v>
      </c>
    </row>
    <row r="12" spans="1:4" x14ac:dyDescent="0.25">
      <c r="A12">
        <v>2000</v>
      </c>
      <c r="B12">
        <v>3668</v>
      </c>
      <c r="C12">
        <v>1370</v>
      </c>
      <c r="D12">
        <f t="shared" si="0"/>
        <v>5038</v>
      </c>
    </row>
    <row r="13" spans="1:4" x14ac:dyDescent="0.25">
      <c r="A13">
        <v>2001</v>
      </c>
      <c r="B13">
        <v>2637</v>
      </c>
      <c r="C13">
        <v>1210</v>
      </c>
      <c r="D13">
        <f t="shared" si="0"/>
        <v>3847</v>
      </c>
    </row>
    <row r="14" spans="1:4" x14ac:dyDescent="0.25">
      <c r="A14">
        <v>2002</v>
      </c>
      <c r="B14">
        <v>2707</v>
      </c>
      <c r="C14">
        <v>1170</v>
      </c>
      <c r="D14">
        <f t="shared" si="0"/>
        <v>3877</v>
      </c>
    </row>
    <row r="15" spans="1:4" x14ac:dyDescent="0.25">
      <c r="A15">
        <v>2003</v>
      </c>
      <c r="B15">
        <v>2703</v>
      </c>
      <c r="C15">
        <v>1070</v>
      </c>
      <c r="D15">
        <f t="shared" si="0"/>
        <v>3773</v>
      </c>
    </row>
    <row r="16" spans="1:4" x14ac:dyDescent="0.25">
      <c r="A16">
        <v>2004</v>
      </c>
      <c r="B16">
        <v>2516</v>
      </c>
      <c r="C16">
        <v>1160</v>
      </c>
      <c r="D16">
        <f t="shared" si="0"/>
        <v>3676</v>
      </c>
    </row>
    <row r="17" spans="1:4" x14ac:dyDescent="0.25">
      <c r="A17">
        <v>2005</v>
      </c>
      <c r="B17">
        <v>2481</v>
      </c>
      <c r="C17">
        <v>1080</v>
      </c>
      <c r="D17">
        <f t="shared" si="0"/>
        <v>3561</v>
      </c>
    </row>
    <row r="18" spans="1:4" x14ac:dyDescent="0.25">
      <c r="A18">
        <v>2006</v>
      </c>
      <c r="B18">
        <v>2284</v>
      </c>
      <c r="C18">
        <v>1260</v>
      </c>
      <c r="D18">
        <f t="shared" si="0"/>
        <v>3544</v>
      </c>
    </row>
    <row r="19" spans="1:4" x14ac:dyDescent="0.25">
      <c r="A19">
        <v>2007</v>
      </c>
      <c r="B19">
        <v>2554</v>
      </c>
      <c r="C19">
        <v>1660</v>
      </c>
      <c r="D19">
        <f t="shared" si="0"/>
        <v>4214</v>
      </c>
    </row>
    <row r="20" spans="1:4" x14ac:dyDescent="0.25">
      <c r="A20">
        <v>2008</v>
      </c>
      <c r="B20">
        <v>2658</v>
      </c>
      <c r="C20">
        <v>1500</v>
      </c>
      <c r="D20">
        <f t="shared" si="0"/>
        <v>4158</v>
      </c>
    </row>
    <row r="21" spans="1:4" x14ac:dyDescent="0.25">
      <c r="A21">
        <v>2009</v>
      </c>
      <c r="B21">
        <v>1727</v>
      </c>
      <c r="C21">
        <v>1260</v>
      </c>
      <c r="D21">
        <f t="shared" si="0"/>
        <v>2987</v>
      </c>
    </row>
    <row r="22" spans="1:4" x14ac:dyDescent="0.25">
      <c r="A22">
        <v>2010</v>
      </c>
      <c r="B22">
        <v>1726</v>
      </c>
      <c r="C22">
        <v>1250</v>
      </c>
      <c r="D22">
        <f t="shared" si="0"/>
        <v>2976</v>
      </c>
    </row>
    <row r="23" spans="1:4" x14ac:dyDescent="0.25">
      <c r="A23">
        <v>2011</v>
      </c>
      <c r="B23">
        <v>1990</v>
      </c>
      <c r="C23">
        <v>1440</v>
      </c>
      <c r="D23">
        <f t="shared" si="0"/>
        <v>3430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D24"/>
  <sheetViews>
    <sheetView workbookViewId="0">
      <selection activeCell="D5" sqref="D5:D24"/>
    </sheetView>
  </sheetViews>
  <sheetFormatPr defaultRowHeight="15" x14ac:dyDescent="0.25"/>
  <sheetData>
    <row r="2" spans="1:4" x14ac:dyDescent="0.25">
      <c r="B2" t="s">
        <v>184</v>
      </c>
    </row>
    <row r="3" spans="1:4" x14ac:dyDescent="0.25">
      <c r="B3" t="s">
        <v>182</v>
      </c>
      <c r="C3" t="s">
        <v>183</v>
      </c>
      <c r="D3" t="s">
        <v>79</v>
      </c>
    </row>
    <row r="4" spans="1:4" x14ac:dyDescent="0.25">
      <c r="A4">
        <v>1991</v>
      </c>
      <c r="B4">
        <v>44.1</v>
      </c>
      <c r="C4">
        <v>79.7</v>
      </c>
      <c r="D4">
        <f>B4+C4:C4</f>
        <v>123.80000000000001</v>
      </c>
    </row>
    <row r="5" spans="1:4" x14ac:dyDescent="0.25">
      <c r="A5">
        <v>1992</v>
      </c>
      <c r="B5">
        <v>47.4</v>
      </c>
      <c r="C5">
        <v>84.3</v>
      </c>
      <c r="D5">
        <f t="shared" ref="D5:D24" si="0">B5+C5:C5</f>
        <v>131.69999999999999</v>
      </c>
    </row>
    <row r="6" spans="1:4" x14ac:dyDescent="0.25">
      <c r="A6">
        <v>1993</v>
      </c>
      <c r="B6">
        <v>48.2</v>
      </c>
      <c r="C6">
        <v>88.8</v>
      </c>
      <c r="D6">
        <f t="shared" si="0"/>
        <v>137</v>
      </c>
    </row>
    <row r="7" spans="1:4" x14ac:dyDescent="0.25">
      <c r="A7">
        <v>1994</v>
      </c>
      <c r="B7">
        <v>49.4</v>
      </c>
      <c r="C7">
        <v>91.2</v>
      </c>
      <c r="D7">
        <f t="shared" si="0"/>
        <v>140.6</v>
      </c>
    </row>
    <row r="8" spans="1:4" x14ac:dyDescent="0.25">
      <c r="A8">
        <v>1995</v>
      </c>
      <c r="B8">
        <v>50.9</v>
      </c>
      <c r="C8">
        <v>95.2</v>
      </c>
      <c r="D8">
        <f t="shared" si="0"/>
        <v>146.1</v>
      </c>
    </row>
    <row r="9" spans="1:4" x14ac:dyDescent="0.25">
      <c r="A9">
        <v>1996</v>
      </c>
      <c r="B9">
        <v>49.4</v>
      </c>
      <c r="C9">
        <v>95.5</v>
      </c>
      <c r="D9">
        <f t="shared" si="0"/>
        <v>144.9</v>
      </c>
    </row>
    <row r="10" spans="1:4" x14ac:dyDescent="0.25">
      <c r="A10">
        <v>1997</v>
      </c>
      <c r="B10">
        <v>49.6</v>
      </c>
      <c r="C10">
        <v>98.5</v>
      </c>
      <c r="D10">
        <f t="shared" si="0"/>
        <v>148.1</v>
      </c>
    </row>
    <row r="11" spans="1:4" x14ac:dyDescent="0.25">
      <c r="A11">
        <v>1998</v>
      </c>
      <c r="B11">
        <v>48.2</v>
      </c>
      <c r="C11">
        <v>98.6</v>
      </c>
      <c r="D11">
        <f t="shared" si="0"/>
        <v>146.80000000000001</v>
      </c>
    </row>
    <row r="12" spans="1:4" x14ac:dyDescent="0.25">
      <c r="A12">
        <v>1999</v>
      </c>
      <c r="B12">
        <v>46.3</v>
      </c>
      <c r="C12">
        <v>97.4</v>
      </c>
      <c r="D12">
        <f t="shared" si="0"/>
        <v>143.69999999999999</v>
      </c>
    </row>
    <row r="13" spans="1:4" x14ac:dyDescent="0.25">
      <c r="A13">
        <v>2000</v>
      </c>
      <c r="B13">
        <v>47.9</v>
      </c>
      <c r="C13">
        <v>102</v>
      </c>
      <c r="D13">
        <f t="shared" si="0"/>
        <v>149.9</v>
      </c>
    </row>
    <row r="14" spans="1:4" x14ac:dyDescent="0.25">
      <c r="A14">
        <v>2001</v>
      </c>
      <c r="B14">
        <v>42.1</v>
      </c>
      <c r="C14">
        <v>90.1</v>
      </c>
      <c r="D14">
        <f t="shared" si="0"/>
        <v>132.19999999999999</v>
      </c>
    </row>
    <row r="15" spans="1:4" x14ac:dyDescent="0.25">
      <c r="A15">
        <v>2002</v>
      </c>
      <c r="B15">
        <v>40.200000000000003</v>
      </c>
      <c r="C15">
        <v>91.6</v>
      </c>
      <c r="D15">
        <f t="shared" si="0"/>
        <v>131.80000000000001</v>
      </c>
    </row>
    <row r="16" spans="1:4" x14ac:dyDescent="0.25">
      <c r="A16">
        <v>2003</v>
      </c>
      <c r="B16">
        <v>40.6</v>
      </c>
      <c r="C16">
        <v>93.7</v>
      </c>
      <c r="D16">
        <f t="shared" si="0"/>
        <v>134.30000000000001</v>
      </c>
    </row>
    <row r="17" spans="1:4" x14ac:dyDescent="0.25">
      <c r="A17">
        <v>2004</v>
      </c>
      <c r="B17">
        <v>42.3</v>
      </c>
      <c r="C17">
        <v>99.7</v>
      </c>
      <c r="D17">
        <f t="shared" si="0"/>
        <v>142</v>
      </c>
    </row>
    <row r="18" spans="1:4" x14ac:dyDescent="0.25">
      <c r="A18">
        <v>2005</v>
      </c>
      <c r="B18">
        <v>37.200000000000003</v>
      </c>
      <c r="C18">
        <v>94.9</v>
      </c>
      <c r="D18">
        <f t="shared" si="0"/>
        <v>132.10000000000002</v>
      </c>
    </row>
    <row r="19" spans="1:4" x14ac:dyDescent="0.25">
      <c r="A19">
        <v>2006</v>
      </c>
      <c r="B19">
        <v>37.9</v>
      </c>
      <c r="C19">
        <v>98.2</v>
      </c>
      <c r="D19">
        <f t="shared" si="0"/>
        <v>136.1</v>
      </c>
    </row>
    <row r="20" spans="1:4" x14ac:dyDescent="0.25">
      <c r="A20">
        <v>2007</v>
      </c>
      <c r="B20">
        <v>36.299999999999997</v>
      </c>
      <c r="C20">
        <v>98.1</v>
      </c>
      <c r="D20">
        <f t="shared" si="0"/>
        <v>134.39999999999998</v>
      </c>
    </row>
    <row r="21" spans="1:4" x14ac:dyDescent="0.25">
      <c r="A21">
        <v>2008</v>
      </c>
      <c r="B21">
        <v>33.700000000000003</v>
      </c>
      <c r="C21">
        <v>91.9</v>
      </c>
      <c r="D21">
        <f t="shared" si="0"/>
        <v>125.60000000000001</v>
      </c>
    </row>
    <row r="22" spans="1:4" x14ac:dyDescent="0.25">
      <c r="A22">
        <v>2009</v>
      </c>
      <c r="B22">
        <v>19</v>
      </c>
      <c r="C22">
        <v>59.4</v>
      </c>
      <c r="D22">
        <f t="shared" si="0"/>
        <v>78.400000000000006</v>
      </c>
    </row>
    <row r="23" spans="1:4" x14ac:dyDescent="0.25">
      <c r="A23">
        <v>2010</v>
      </c>
      <c r="B23">
        <v>26.8</v>
      </c>
      <c r="C23">
        <v>80.5</v>
      </c>
      <c r="D23">
        <f t="shared" si="0"/>
        <v>107.3</v>
      </c>
    </row>
    <row r="24" spans="1:4" x14ac:dyDescent="0.25">
      <c r="A24">
        <v>2011</v>
      </c>
      <c r="B24">
        <v>29</v>
      </c>
      <c r="C24">
        <v>86</v>
      </c>
      <c r="D24">
        <f t="shared" si="0"/>
        <v>115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K19"/>
  <sheetViews>
    <sheetView workbookViewId="0">
      <selection activeCell="A14" sqref="A14"/>
    </sheetView>
  </sheetViews>
  <sheetFormatPr defaultRowHeight="15" x14ac:dyDescent="0.25"/>
  <sheetData>
    <row r="2" spans="1:11" x14ac:dyDescent="0.25">
      <c r="A2" s="125" t="s">
        <v>193</v>
      </c>
    </row>
    <row r="3" spans="1:11" ht="15" customHeight="1" x14ac:dyDescent="0.25">
      <c r="A3" s="134" t="s">
        <v>194</v>
      </c>
      <c r="B3" s="135"/>
      <c r="C3" s="135"/>
      <c r="D3" s="135"/>
      <c r="E3" s="135"/>
      <c r="F3" s="136"/>
    </row>
    <row r="4" spans="1:11" ht="15" customHeight="1" x14ac:dyDescent="0.25">
      <c r="A4" s="134" t="s">
        <v>195</v>
      </c>
      <c r="B4" s="135"/>
      <c r="C4" s="135"/>
      <c r="D4" s="135"/>
      <c r="E4" s="135"/>
      <c r="F4" s="136"/>
    </row>
    <row r="5" spans="1:11" ht="25.5" x14ac:dyDescent="0.25">
      <c r="A5" s="127" t="s">
        <v>196</v>
      </c>
      <c r="B5" s="137" t="s">
        <v>197</v>
      </c>
      <c r="C5" s="138"/>
      <c r="D5" s="138"/>
      <c r="E5" s="138"/>
      <c r="F5" s="139"/>
    </row>
    <row r="6" spans="1:11" x14ac:dyDescent="0.25">
      <c r="A6" s="128"/>
      <c r="B6" s="127">
        <v>1985</v>
      </c>
      <c r="C6" s="137">
        <v>1988</v>
      </c>
      <c r="D6" s="139"/>
      <c r="E6" s="127">
        <v>1991</v>
      </c>
      <c r="F6" s="127">
        <v>1994</v>
      </c>
    </row>
    <row r="7" spans="1:11" ht="38.25" x14ac:dyDescent="0.25">
      <c r="A7" s="129" t="s">
        <v>198</v>
      </c>
      <c r="B7" s="130">
        <v>19137</v>
      </c>
      <c r="C7" s="140">
        <v>17303</v>
      </c>
      <c r="D7" s="141"/>
      <c r="E7" s="130">
        <v>16212</v>
      </c>
      <c r="F7" s="130">
        <v>16395</v>
      </c>
    </row>
    <row r="8" spans="1:11" ht="25.5" x14ac:dyDescent="0.25">
      <c r="A8" s="131" t="s">
        <v>199</v>
      </c>
      <c r="B8" s="132">
        <v>1507</v>
      </c>
      <c r="C8" s="142">
        <v>1381</v>
      </c>
      <c r="D8" s="143"/>
      <c r="E8" s="132">
        <v>1479</v>
      </c>
      <c r="F8" s="132">
        <v>1471</v>
      </c>
    </row>
    <row r="9" spans="1:11" ht="25.5" x14ac:dyDescent="0.25">
      <c r="A9" s="129" t="s">
        <v>200</v>
      </c>
      <c r="B9" s="130">
        <v>4668</v>
      </c>
      <c r="C9" s="140">
        <v>4443</v>
      </c>
      <c r="D9" s="141"/>
      <c r="E9" s="130">
        <v>4778</v>
      </c>
      <c r="F9" s="130">
        <v>4812</v>
      </c>
    </row>
    <row r="10" spans="1:11" x14ac:dyDescent="0.25">
      <c r="A10" s="131" t="s">
        <v>201</v>
      </c>
      <c r="B10" s="132">
        <v>11999</v>
      </c>
      <c r="C10" s="142">
        <v>10808</v>
      </c>
      <c r="D10" s="143"/>
      <c r="E10" s="132">
        <v>9363</v>
      </c>
      <c r="F10" s="132">
        <v>8879</v>
      </c>
    </row>
    <row r="11" spans="1:11" ht="38.25" x14ac:dyDescent="0.25">
      <c r="A11" s="129" t="s">
        <v>202</v>
      </c>
      <c r="B11" s="133">
        <v>0</v>
      </c>
      <c r="C11" s="144">
        <v>0</v>
      </c>
      <c r="D11" s="145"/>
      <c r="E11" s="133">
        <v>-57</v>
      </c>
      <c r="F11" s="133">
        <v>507</v>
      </c>
    </row>
    <row r="13" spans="1:11" x14ac:dyDescent="0.25">
      <c r="A13" t="s">
        <v>209</v>
      </c>
    </row>
    <row r="14" spans="1:11" ht="36" x14ac:dyDescent="0.25">
      <c r="A14" s="146" t="s">
        <v>203</v>
      </c>
      <c r="B14" s="151">
        <v>1998</v>
      </c>
      <c r="C14" s="151">
        <v>2002</v>
      </c>
      <c r="D14" s="151">
        <v>2006</v>
      </c>
      <c r="E14" s="152"/>
      <c r="F14" s="152"/>
      <c r="G14" s="152"/>
      <c r="H14" s="152"/>
      <c r="I14" s="152"/>
      <c r="J14" s="152"/>
      <c r="K14" s="152"/>
    </row>
    <row r="15" spans="1:11" ht="30" x14ac:dyDescent="0.25">
      <c r="A15" s="147" t="s">
        <v>204</v>
      </c>
      <c r="B15" s="151"/>
      <c r="C15" s="151"/>
      <c r="D15" s="151"/>
      <c r="E15" s="152"/>
      <c r="F15" s="152"/>
      <c r="G15" s="152"/>
      <c r="H15" s="152"/>
      <c r="I15" s="152"/>
      <c r="J15" s="152"/>
      <c r="K15" s="152"/>
    </row>
    <row r="16" spans="1:11" x14ac:dyDescent="0.25">
      <c r="A16" s="148" t="s">
        <v>205</v>
      </c>
      <c r="B16" s="149">
        <v>17</v>
      </c>
      <c r="C16" s="149">
        <v>16</v>
      </c>
      <c r="D16" s="149">
        <v>13</v>
      </c>
      <c r="E16" s="149"/>
      <c r="F16" s="149"/>
      <c r="G16" s="149"/>
      <c r="H16" s="149"/>
      <c r="I16" s="149"/>
      <c r="J16" s="149"/>
      <c r="K16" s="149"/>
    </row>
    <row r="17" spans="1:11" ht="45" x14ac:dyDescent="0.25">
      <c r="A17" s="147" t="s">
        <v>206</v>
      </c>
      <c r="B17" s="150">
        <v>2</v>
      </c>
      <c r="C17" s="150">
        <v>2</v>
      </c>
      <c r="D17" s="150">
        <v>2</v>
      </c>
      <c r="E17" s="150"/>
      <c r="F17" s="150"/>
      <c r="G17" s="150"/>
      <c r="H17" s="150"/>
      <c r="I17" s="150"/>
      <c r="J17" s="150"/>
      <c r="K17" s="150"/>
    </row>
    <row r="18" spans="1:11" ht="25.5" x14ac:dyDescent="0.25">
      <c r="A18" s="149" t="s">
        <v>207</v>
      </c>
      <c r="B18" s="149">
        <v>5</v>
      </c>
      <c r="C18" s="149">
        <v>5</v>
      </c>
      <c r="D18" s="149">
        <v>4</v>
      </c>
      <c r="E18" s="149"/>
      <c r="F18" s="149"/>
      <c r="G18" s="149"/>
      <c r="H18" s="149"/>
      <c r="I18" s="149"/>
      <c r="J18" s="149"/>
      <c r="K18" s="149"/>
    </row>
    <row r="19" spans="1:11" x14ac:dyDescent="0.25">
      <c r="A19" s="150" t="s">
        <v>208</v>
      </c>
      <c r="B19" s="150">
        <v>7</v>
      </c>
      <c r="C19" s="150">
        <v>6</v>
      </c>
      <c r="D19" s="150">
        <v>4</v>
      </c>
      <c r="E19" s="126"/>
      <c r="F19" s="126"/>
      <c r="G19" s="126"/>
      <c r="H19" s="126"/>
      <c r="I19" s="126"/>
      <c r="J19" s="126"/>
      <c r="K19" s="126"/>
    </row>
  </sheetData>
  <mergeCells count="19">
    <mergeCell ref="K14:K15"/>
    <mergeCell ref="E14:E15"/>
    <mergeCell ref="F14:F15"/>
    <mergeCell ref="G14:G15"/>
    <mergeCell ref="H14:H15"/>
    <mergeCell ref="I14:I15"/>
    <mergeCell ref="J14:J15"/>
    <mergeCell ref="C9:D9"/>
    <mergeCell ref="C10:D10"/>
    <mergeCell ref="C11:D11"/>
    <mergeCell ref="B14:B15"/>
    <mergeCell ref="C14:C15"/>
    <mergeCell ref="D14:D15"/>
    <mergeCell ref="A3:F3"/>
    <mergeCell ref="A4:F4"/>
    <mergeCell ref="B5:F5"/>
    <mergeCell ref="C6:D6"/>
    <mergeCell ref="C7:D7"/>
    <mergeCell ref="C8:D8"/>
  </mergeCells>
  <hyperlinks>
    <hyperlink ref="A2" r:id="rId1"/>
    <hyperlink ref="A3" r:id="rId2" location="First Use of Energy for All Purposes" display="http://www.eia.gov/emeu/efficiency/mecs_glossary.htm - First Use of Energy for All Purposes"/>
    <hyperlink ref="A4" r:id="rId3" location="British Thermal Unit (Btu)" display="http://www.eia.gov/emeu/efficiency/mecs_glossary.htm - British Thermal Unit (Btu)"/>
    <hyperlink ref="A15" r:id="rId4" location="ftn1" display="http://www.eia.gov/emeu/efficiency/iron_steel_9802/steel_9802table5b.html - ftn1"/>
    <hyperlink ref="B14" r:id="rId5" location="ftn2" display="http://www.eia.gov/emeu/efficiency/iron_steel_9802/steel_9802table5b.html - ftn2"/>
    <hyperlink ref="C14" r:id="rId6" location="ftn2" display="http://www.eia.gov/emeu/efficiency/iron_steel_9802/steel_9802table5b.html - ftn2"/>
    <hyperlink ref="D14" r:id="rId7" location="ftn2" display="http://www.eia.gov/emeu/efficiency/iron_steel_9802/steel_9802table5b.html - ftn2"/>
    <hyperlink ref="A16" r:id="rId8" location="ftn3" display="http://www.eia.gov/emeu/efficiency/iron_steel_9802/steel_9802table5b.html - ftn3"/>
    <hyperlink ref="A17" r:id="rId9" location="ftn4" display="http://www.eia.gov/emeu/efficiency/iron_steel_9802/steel_9802table5b.html - ftn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9"/>
  <sheetViews>
    <sheetView workbookViewId="0">
      <selection activeCell="O14" sqref="O14"/>
    </sheetView>
  </sheetViews>
  <sheetFormatPr defaultRowHeight="15" x14ac:dyDescent="0.25"/>
  <cols>
    <col min="2" max="2" width="0" hidden="1" customWidth="1"/>
    <col min="4" max="6" width="0" hidden="1" customWidth="1"/>
    <col min="7" max="7" width="13.28515625" bestFit="1" customWidth="1"/>
    <col min="8" max="8" width="0" hidden="1" customWidth="1"/>
    <col min="10" max="11" width="0" hidden="1" customWidth="1"/>
    <col min="13" max="14" width="0" hidden="1" customWidth="1"/>
  </cols>
  <sheetData>
    <row r="1" spans="1:15" x14ac:dyDescent="0.25">
      <c r="B1" t="s">
        <v>185</v>
      </c>
      <c r="C1" t="s">
        <v>245</v>
      </c>
      <c r="G1" t="s">
        <v>244</v>
      </c>
      <c r="H1" t="s">
        <v>181</v>
      </c>
      <c r="I1" t="s">
        <v>246</v>
      </c>
      <c r="L1" t="s">
        <v>247</v>
      </c>
      <c r="O1" t="s">
        <v>257</v>
      </c>
    </row>
    <row r="2" spans="1:15" x14ac:dyDescent="0.25">
      <c r="A2">
        <v>1985</v>
      </c>
      <c r="B2" s="60">
        <f>'Steel 1985-1998'!B6</f>
        <v>73.043000000000006</v>
      </c>
      <c r="C2" s="60">
        <f>B2*E8</f>
        <v>109.13003379778317</v>
      </c>
      <c r="D2" s="60" t="s">
        <v>189</v>
      </c>
      <c r="E2" s="60"/>
      <c r="F2" s="60"/>
      <c r="G2" s="118">
        <f>'Refining 1949-2010'!Q42</f>
        <v>4.4352551599999988</v>
      </c>
      <c r="H2" s="120">
        <f>SUM('Aluminum 1995-1998'!B6:B7)</f>
        <v>5261.7</v>
      </c>
      <c r="I2">
        <f>H2/$K$8</f>
        <v>4279.4244220455266</v>
      </c>
      <c r="J2" t="s">
        <v>189</v>
      </c>
      <c r="L2">
        <f>('Chemicals 1995-1998'!C6/'Chemicals 1995-1998'!C9)*'Chemicals 1995-1998'!B9</f>
        <v>233.64138489806228</v>
      </c>
      <c r="M2" t="s">
        <v>188</v>
      </c>
    </row>
    <row r="3" spans="1:15" x14ac:dyDescent="0.25">
      <c r="A3">
        <v>1986</v>
      </c>
      <c r="G3" s="118">
        <f>'Refining 1949-2010'!Q43</f>
        <v>4.6776615150000005</v>
      </c>
      <c r="H3" s="121"/>
    </row>
    <row r="4" spans="1:15" x14ac:dyDescent="0.25">
      <c r="A4">
        <v>1987</v>
      </c>
      <c r="G4" s="118">
        <f>'Refining 1949-2010'!Q44</f>
        <v>4.7214012900000002</v>
      </c>
      <c r="H4" s="121"/>
    </row>
    <row r="5" spans="1:15" x14ac:dyDescent="0.25">
      <c r="A5">
        <v>1988</v>
      </c>
      <c r="B5" s="60">
        <f>'Steel 1985-1998'!C6</f>
        <v>83.84</v>
      </c>
      <c r="C5" s="60">
        <f>B5*E8</f>
        <v>125.26131229010501</v>
      </c>
      <c r="D5" s="60" t="s">
        <v>189</v>
      </c>
      <c r="E5" s="60"/>
      <c r="F5" s="60"/>
      <c r="G5" s="118">
        <f>'Refining 1949-2010'!Q45</f>
        <v>4.9202018250000004</v>
      </c>
      <c r="H5" s="120">
        <f>SUM('Aluminum 1995-1998'!C6:C7)</f>
        <v>6066.5</v>
      </c>
      <c r="I5">
        <f>H5/$K$8</f>
        <v>4933.9810814640114</v>
      </c>
      <c r="J5" t="s">
        <v>189</v>
      </c>
      <c r="L5" s="60">
        <f>'Chemicals 1995-1998'!C6</f>
        <v>305.14800000000002</v>
      </c>
    </row>
    <row r="6" spans="1:15" x14ac:dyDescent="0.25">
      <c r="A6">
        <v>1989</v>
      </c>
      <c r="G6" s="118">
        <f>'Refining 1949-2010'!Q46</f>
        <v>4.9483889500000009</v>
      </c>
    </row>
    <row r="7" spans="1:15" x14ac:dyDescent="0.25">
      <c r="A7">
        <v>1990</v>
      </c>
      <c r="D7" t="s">
        <v>186</v>
      </c>
      <c r="E7" t="s">
        <v>187</v>
      </c>
      <c r="G7" s="118">
        <f>'Refining 1949-2010'!Q47</f>
        <v>4.9505723799999997</v>
      </c>
      <c r="J7" t="s">
        <v>186</v>
      </c>
      <c r="K7" t="s">
        <v>187</v>
      </c>
    </row>
    <row r="8" spans="1:15" x14ac:dyDescent="0.25">
      <c r="A8">
        <v>1991</v>
      </c>
      <c r="B8" s="60">
        <f>'Steel 1985-1998'!D6</f>
        <v>78.846000000000004</v>
      </c>
      <c r="C8" s="60">
        <f>'USGS Iron &amp; Steel'!D4</f>
        <v>123.80000000000001</v>
      </c>
      <c r="D8" s="122">
        <f>C8/B8</f>
        <v>1.5701494051695712</v>
      </c>
      <c r="E8" s="123">
        <f>AVERAGE(D8,D11,D15)</f>
        <v>1.4940519118571685</v>
      </c>
      <c r="F8" s="60"/>
      <c r="G8" s="118">
        <f>'Refining 1949-2010'!Q48</f>
        <v>4.9206964000000006</v>
      </c>
      <c r="H8" s="60">
        <f>SUM('Aluminum 1995-1998'!D6:D7)</f>
        <v>6407.2</v>
      </c>
      <c r="I8">
        <f>'USGS Aluminum'!D3</f>
        <v>5441</v>
      </c>
      <c r="J8">
        <f>H8/I8</f>
        <v>1.1775776511670648</v>
      </c>
      <c r="K8">
        <f>AVERAGE(J8,J11,J15)</f>
        <v>1.2295345077002093</v>
      </c>
      <c r="L8" s="60">
        <f>'Chemicals 1995-1998'!D6</f>
        <v>315.52600000000001</v>
      </c>
    </row>
    <row r="9" spans="1:15" x14ac:dyDescent="0.25">
      <c r="A9">
        <v>1992</v>
      </c>
      <c r="C9" s="60">
        <f>'USGS Iron &amp; Steel'!D5</f>
        <v>131.69999999999999</v>
      </c>
      <c r="D9" s="60"/>
      <c r="E9" s="60"/>
      <c r="F9" s="60"/>
      <c r="G9" s="118">
        <f>'Refining 1949-2010'!Q49</f>
        <v>5.0358261600000009</v>
      </c>
      <c r="I9">
        <f>'USGS Aluminum'!D4</f>
        <v>5652</v>
      </c>
    </row>
    <row r="10" spans="1:15" x14ac:dyDescent="0.25">
      <c r="A10">
        <v>1993</v>
      </c>
      <c r="C10" s="60">
        <f>'USGS Iron &amp; Steel'!D6</f>
        <v>137</v>
      </c>
      <c r="D10" s="60"/>
      <c r="E10" s="60"/>
      <c r="F10" s="60"/>
      <c r="G10" s="118">
        <f>'Refining 1949-2010'!Q50</f>
        <v>5.050035975000001</v>
      </c>
      <c r="I10">
        <f>'USGS Aluminum'!D5</f>
        <v>5325</v>
      </c>
    </row>
    <row r="11" spans="1:15" x14ac:dyDescent="0.25">
      <c r="A11">
        <v>1994</v>
      </c>
      <c r="B11" s="60">
        <f>'Steel 1985-1998'!E6</f>
        <v>95.084000000000003</v>
      </c>
      <c r="C11" s="60">
        <f>'USGS Iron &amp; Steel'!D7</f>
        <v>140.6</v>
      </c>
      <c r="D11" s="122">
        <f>C11/B11</f>
        <v>1.4786925245046485</v>
      </c>
      <c r="E11" s="60"/>
      <c r="F11" s="60"/>
      <c r="G11" s="118">
        <f>'Refining 1949-2010'!Q51</f>
        <v>5.0813416599999988</v>
      </c>
      <c r="H11" s="60">
        <f>SUM('Aluminum 1995-1998'!E6:E7)</f>
        <v>6384.5</v>
      </c>
      <c r="I11">
        <f>'USGS Aluminum'!D6</f>
        <v>4799</v>
      </c>
      <c r="J11">
        <f>H11/I11</f>
        <v>1.3303813294436342</v>
      </c>
      <c r="L11" s="60">
        <f>'Chemicals 1995-1998'!E6</f>
        <v>356.26900000000001</v>
      </c>
    </row>
    <row r="12" spans="1:15" x14ac:dyDescent="0.25">
      <c r="A12">
        <v>1995</v>
      </c>
      <c r="C12" s="60">
        <f>'USGS Iron &amp; Steel'!D8</f>
        <v>146.1</v>
      </c>
      <c r="D12" s="60"/>
      <c r="E12" s="60"/>
      <c r="F12" s="60"/>
      <c r="G12" s="118">
        <f>'Refining 1949-2010'!Q52</f>
        <v>5.1827372</v>
      </c>
      <c r="I12">
        <f>'USGS Aluminum'!D7</f>
        <v>4885</v>
      </c>
    </row>
    <row r="13" spans="1:15" x14ac:dyDescent="0.25">
      <c r="A13">
        <v>1996</v>
      </c>
      <c r="C13" s="60">
        <f>'USGS Iron &amp; Steel'!D9</f>
        <v>144.9</v>
      </c>
      <c r="D13" s="60"/>
      <c r="E13" s="60"/>
      <c r="F13" s="60"/>
      <c r="G13" s="118">
        <f>'Refining 1949-2010'!Q53</f>
        <v>5.2663488449999996</v>
      </c>
      <c r="I13">
        <f>'USGS Aluminum'!D8</f>
        <v>5147</v>
      </c>
    </row>
    <row r="14" spans="1:15" x14ac:dyDescent="0.25">
      <c r="A14">
        <v>1997</v>
      </c>
      <c r="C14" s="60">
        <f>'USGS Iron &amp; Steel'!D10</f>
        <v>148.1</v>
      </c>
      <c r="D14" s="60"/>
      <c r="E14" s="60"/>
      <c r="F14" s="60"/>
      <c r="G14" s="118">
        <f>'Refining 1949-2010'!Q54</f>
        <v>5.3692609599999992</v>
      </c>
      <c r="I14">
        <f>'USGS Aluminum'!D9</f>
        <v>5133</v>
      </c>
      <c r="N14" t="s">
        <v>191</v>
      </c>
    </row>
    <row r="15" spans="1:15" x14ac:dyDescent="0.25">
      <c r="A15">
        <v>1998</v>
      </c>
      <c r="B15" s="60">
        <f>'Steel 1985-1998'!F6</f>
        <v>102.42</v>
      </c>
      <c r="C15" s="60">
        <f>'USGS Iron &amp; Steel'!D11</f>
        <v>146.80000000000001</v>
      </c>
      <c r="D15" s="122">
        <f>C15/B15</f>
        <v>1.4333138058972859</v>
      </c>
      <c r="E15" s="60"/>
      <c r="F15" s="60"/>
      <c r="G15" s="118">
        <f>'Refining 1949-2010'!Q55</f>
        <v>5.4821963399999998</v>
      </c>
      <c r="H15" s="60">
        <f>SUM('Aluminum 1995-1998'!F6:F7)</f>
        <v>6154.7</v>
      </c>
      <c r="I15">
        <f>'USGS Aluminum'!D10</f>
        <v>5213</v>
      </c>
      <c r="J15">
        <f>H15/I15</f>
        <v>1.180644542489929</v>
      </c>
      <c r="L15" s="60">
        <f>'Chemicals 1995-1998'!F6</f>
        <v>388.31200000000001</v>
      </c>
      <c r="M15" s="124">
        <f>SUM('Chemicals 1998-2006'!B9:B14)</f>
        <v>368.42402720697339</v>
      </c>
      <c r="N15">
        <f>L15/M15</f>
        <v>1.0539812046022012</v>
      </c>
      <c r="O15" s="60">
        <f>SUM([17]Table01!$E$9:$E$10)</f>
        <v>158454</v>
      </c>
    </row>
    <row r="16" spans="1:15" x14ac:dyDescent="0.25">
      <c r="A16">
        <v>1999</v>
      </c>
      <c r="C16" s="60">
        <f>'USGS Iron &amp; Steel'!D12</f>
        <v>143.69999999999999</v>
      </c>
      <c r="D16" s="60"/>
      <c r="E16" s="60"/>
      <c r="F16" s="60"/>
      <c r="G16" s="118">
        <f>'Refining 1949-2010'!Q56</f>
        <v>5.4960553899999995</v>
      </c>
      <c r="I16">
        <f>'USGS Aluminum'!D11</f>
        <v>5349</v>
      </c>
      <c r="O16" s="60">
        <f>SUM([17]Table01!$G$9:$G$10)</f>
        <v>161955</v>
      </c>
    </row>
    <row r="17" spans="1:15" x14ac:dyDescent="0.25">
      <c r="A17">
        <v>2000</v>
      </c>
      <c r="C17" s="60">
        <f>'USGS Iron &amp; Steel'!D13</f>
        <v>149.9</v>
      </c>
      <c r="D17" s="60"/>
      <c r="E17" s="60"/>
      <c r="F17" s="60"/>
      <c r="G17" s="118">
        <f>'Refining 1949-2010'!Q57</f>
        <v>5.5808908800000001</v>
      </c>
      <c r="I17">
        <f>'USGS Aluminum'!D12</f>
        <v>5038</v>
      </c>
      <c r="O17" s="60">
        <f>SUM([17]Table01!$I$9:$I$10)</f>
        <v>165984</v>
      </c>
    </row>
    <row r="18" spans="1:15" x14ac:dyDescent="0.25">
      <c r="A18">
        <v>2001</v>
      </c>
      <c r="C18" s="60">
        <f>'USGS Iron &amp; Steel'!D14</f>
        <v>132.19999999999999</v>
      </c>
      <c r="D18" s="60"/>
      <c r="E18" s="60"/>
      <c r="F18" s="60"/>
      <c r="G18" s="118">
        <f>'Refining 1949-2010'!Q58</f>
        <v>5.6089440499999998</v>
      </c>
      <c r="I18">
        <f>'USGS Aluminum'!D13</f>
        <v>3847</v>
      </c>
      <c r="O18" s="60">
        <f>SUM([17]Table01!$K$9:$K$10)</f>
        <v>167351</v>
      </c>
    </row>
    <row r="19" spans="1:15" x14ac:dyDescent="0.25">
      <c r="A19">
        <v>2002</v>
      </c>
      <c r="C19" s="60">
        <f>'USGS Iron &amp; Steel'!D15</f>
        <v>131.80000000000001</v>
      </c>
      <c r="D19" s="60"/>
      <c r="E19" s="60"/>
      <c r="F19" s="60"/>
      <c r="G19" s="118">
        <f>'Refining 1949-2010'!Q59</f>
        <v>5.5567581749999997</v>
      </c>
      <c r="I19">
        <f>'USGS Aluminum'!D14</f>
        <v>3877</v>
      </c>
      <c r="L19">
        <f>M19*$N$15</f>
        <v>382.51061947562459</v>
      </c>
      <c r="M19" s="124">
        <f>SUM('Chemicals 1998-2006'!C9:C14)</f>
        <v>362.91977295742538</v>
      </c>
      <c r="N19" t="s">
        <v>189</v>
      </c>
      <c r="O19" s="60">
        <f>SUM([17]Table01!$M$9:$M$10)</f>
        <v>171249</v>
      </c>
    </row>
    <row r="20" spans="1:15" x14ac:dyDescent="0.25">
      <c r="A20">
        <v>2003</v>
      </c>
      <c r="C20" s="60">
        <f>'USGS Iron &amp; Steel'!D16</f>
        <v>134.30000000000001</v>
      </c>
      <c r="D20" s="60"/>
      <c r="E20" s="60"/>
      <c r="F20" s="60"/>
      <c r="G20" s="118">
        <f>'Refining 1949-2010'!Q60</f>
        <v>5.6636984299999993</v>
      </c>
      <c r="I20">
        <f>'USGS Aluminum'!D15</f>
        <v>3773</v>
      </c>
      <c r="O20" s="60">
        <f>SUM([18]T1!$G$9:$G$10)</f>
        <v>174725</v>
      </c>
    </row>
    <row r="21" spans="1:15" x14ac:dyDescent="0.25">
      <c r="A21">
        <v>2004</v>
      </c>
      <c r="C21" s="60">
        <f>'USGS Iron &amp; Steel'!D17</f>
        <v>142</v>
      </c>
      <c r="D21" s="60"/>
      <c r="E21" s="60"/>
      <c r="F21" s="60"/>
      <c r="G21" s="118">
        <f>'Refining 1949-2010'!Q61</f>
        <v>5.7346683000000009</v>
      </c>
      <c r="I21">
        <f>'USGS Aluminum'!D16</f>
        <v>3676</v>
      </c>
      <c r="O21" s="60">
        <f>SUM([18]T1!$I$9:$I$10)</f>
        <v>184092</v>
      </c>
    </row>
    <row r="22" spans="1:15" x14ac:dyDescent="0.25">
      <c r="A22">
        <v>2005</v>
      </c>
      <c r="C22" s="60">
        <f>'USGS Iron &amp; Steel'!D18</f>
        <v>132.10000000000002</v>
      </c>
      <c r="D22" s="60"/>
      <c r="E22" s="60"/>
      <c r="F22" s="60"/>
      <c r="G22" s="118">
        <f>'Refining 1949-2010'!Q62</f>
        <v>5.6630662499999991</v>
      </c>
      <c r="I22">
        <f>'USGS Aluminum'!D17</f>
        <v>3561</v>
      </c>
      <c r="O22" s="60">
        <f>SUM([18]T1!$K$9:$K$10)</f>
        <v>186724</v>
      </c>
    </row>
    <row r="23" spans="1:15" x14ac:dyDescent="0.25">
      <c r="A23">
        <v>2006</v>
      </c>
      <c r="C23" s="60">
        <f>'USGS Iron &amp; Steel'!D19</f>
        <v>136.1</v>
      </c>
      <c r="D23" s="60"/>
      <c r="E23" s="60"/>
      <c r="F23" s="60"/>
      <c r="G23" s="118">
        <f>'Refining 1949-2010'!Q63</f>
        <v>5.6768752949999994</v>
      </c>
      <c r="I23">
        <f>'USGS Aluminum'!D18</f>
        <v>3544</v>
      </c>
      <c r="L23">
        <f>M23*$N$15</f>
        <v>389.75305132304851</v>
      </c>
      <c r="M23" s="124">
        <f>SUM('Chemicals 1998-2006'!E9:E14)</f>
        <v>369.79127295742529</v>
      </c>
      <c r="N23" t="s">
        <v>190</v>
      </c>
      <c r="O23" s="60">
        <f>SUM([18]T1!$M$9:$M$10)</f>
        <v>186721.58123562002</v>
      </c>
    </row>
    <row r="24" spans="1:15" x14ac:dyDescent="0.25">
      <c r="A24">
        <v>2007</v>
      </c>
      <c r="C24" s="60">
        <f>'USGS Iron &amp; Steel'!D20</f>
        <v>134.39999999999998</v>
      </c>
      <c r="D24" s="60"/>
      <c r="E24" s="60"/>
      <c r="F24" s="60"/>
      <c r="G24" s="118">
        <f>'Refining 1949-2010'!Q64</f>
        <v>5.6345250750000009</v>
      </c>
      <c r="I24">
        <f>'USGS Aluminum'!D19</f>
        <v>4214</v>
      </c>
      <c r="N24" t="s">
        <v>189</v>
      </c>
      <c r="O24" s="60">
        <f>SUM([19]T1!$E$8:$E$9)</f>
        <v>181593.3805503</v>
      </c>
    </row>
    <row r="25" spans="1:15" x14ac:dyDescent="0.25">
      <c r="A25">
        <v>2008</v>
      </c>
      <c r="C25" s="60">
        <f>'USGS Iron &amp; Steel'!D21</f>
        <v>125.60000000000001</v>
      </c>
      <c r="D25" s="60"/>
      <c r="E25" s="60"/>
      <c r="F25" s="60"/>
      <c r="G25" s="118">
        <f>'Refining 1949-2010'!Q65</f>
        <v>5.4778039300000003</v>
      </c>
      <c r="I25">
        <f>'USGS Aluminum'!D20</f>
        <v>4158</v>
      </c>
      <c r="O25" s="60">
        <f>SUM([19]T1!$G$8:$G$9)</f>
        <v>164692</v>
      </c>
    </row>
    <row r="26" spans="1:15" x14ac:dyDescent="0.25">
      <c r="A26">
        <v>2009</v>
      </c>
      <c r="C26" s="60">
        <f>'USGS Iron &amp; Steel'!D22</f>
        <v>78.400000000000006</v>
      </c>
      <c r="D26" s="60"/>
      <c r="E26" s="60"/>
      <c r="F26" s="60"/>
      <c r="G26" s="118">
        <f>'Refining 1949-2010'!Q66</f>
        <v>5.34728212</v>
      </c>
      <c r="I26">
        <f>'USGS Aluminum'!D21</f>
        <v>2987</v>
      </c>
      <c r="O26" s="60">
        <f>SUM([19]T1!$I$8:$I$9)</f>
        <v>120022.98022747001</v>
      </c>
    </row>
    <row r="27" spans="1:15" x14ac:dyDescent="0.25">
      <c r="A27">
        <v>2010</v>
      </c>
      <c r="C27" s="60">
        <f>'USGS Iron &amp; Steel'!D23</f>
        <v>107.3</v>
      </c>
      <c r="D27" s="60"/>
      <c r="E27" s="60"/>
      <c r="F27" s="60"/>
      <c r="G27" s="118">
        <f>'Refining 1949-2010'!Q67</f>
        <v>5.53245392</v>
      </c>
      <c r="I27">
        <f>'USGS Aluminum'!D22</f>
        <v>2976</v>
      </c>
      <c r="O27" s="60">
        <f>SUM([19]T1!$K$8:$K$9)</f>
        <v>126223</v>
      </c>
    </row>
    <row r="28" spans="1:15" x14ac:dyDescent="0.25">
      <c r="A28">
        <v>2011</v>
      </c>
      <c r="C28" s="60">
        <f>'USGS Iron &amp; Steel'!D24</f>
        <v>115</v>
      </c>
      <c r="D28" s="60"/>
      <c r="E28" s="60"/>
      <c r="F28" s="60"/>
      <c r="G28" s="118">
        <f>'Refining 1949-2010'!Q68</f>
        <v>0</v>
      </c>
      <c r="I28">
        <f>'USGS Aluminum'!D23</f>
        <v>3430</v>
      </c>
    </row>
    <row r="29" spans="1:15" x14ac:dyDescent="0.25">
      <c r="A29">
        <v>2012</v>
      </c>
      <c r="C29" s="60"/>
      <c r="D29" s="60"/>
      <c r="E29" s="60"/>
      <c r="F29" s="60"/>
      <c r="G29" s="118">
        <f>'Refining 1949-2010'!Q69</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0"/>
  <sheetViews>
    <sheetView topLeftCell="H1" workbookViewId="0">
      <selection activeCell="O19" sqref="O18:O19"/>
    </sheetView>
  </sheetViews>
  <sheetFormatPr defaultRowHeight="15" x14ac:dyDescent="0.25"/>
  <cols>
    <col min="3" max="3" width="10.28515625" bestFit="1" customWidth="1"/>
    <col min="4" max="4" width="11.42578125" bestFit="1" customWidth="1"/>
    <col min="5" max="5" width="10.42578125" bestFit="1" customWidth="1"/>
    <col min="6" max="6" width="10" bestFit="1" customWidth="1"/>
    <col min="7" max="7" width="10" customWidth="1"/>
  </cols>
  <sheetData>
    <row r="1" spans="1:22" x14ac:dyDescent="0.25">
      <c r="C1" t="s">
        <v>241</v>
      </c>
      <c r="I1" t="s">
        <v>242</v>
      </c>
      <c r="J1" t="s">
        <v>243</v>
      </c>
      <c r="M1" t="s">
        <v>252</v>
      </c>
      <c r="P1">
        <v>12.016999999999999</v>
      </c>
      <c r="R1" t="s">
        <v>242</v>
      </c>
      <c r="S1" t="s">
        <v>243</v>
      </c>
    </row>
    <row r="2" spans="1:22" x14ac:dyDescent="0.25">
      <c r="C2" t="s">
        <v>3</v>
      </c>
      <c r="D2" t="s">
        <v>1</v>
      </c>
      <c r="E2" t="s">
        <v>192</v>
      </c>
      <c r="F2" t="s">
        <v>4</v>
      </c>
      <c r="G2" t="s">
        <v>256</v>
      </c>
      <c r="I2" t="s">
        <v>3</v>
      </c>
      <c r="J2" t="s">
        <v>1</v>
      </c>
      <c r="K2" t="s">
        <v>192</v>
      </c>
      <c r="L2" t="s">
        <v>4</v>
      </c>
      <c r="M2" t="s">
        <v>253</v>
      </c>
      <c r="N2" t="s">
        <v>256</v>
      </c>
      <c r="P2">
        <v>44.009500000000003</v>
      </c>
      <c r="R2" t="s">
        <v>3</v>
      </c>
      <c r="S2" t="s">
        <v>1</v>
      </c>
      <c r="T2" t="s">
        <v>192</v>
      </c>
      <c r="U2" t="s">
        <v>4</v>
      </c>
      <c r="V2" t="s">
        <v>256</v>
      </c>
    </row>
    <row r="3" spans="1:22" x14ac:dyDescent="0.25">
      <c r="A3">
        <v>1985</v>
      </c>
      <c r="E3">
        <f>'First Use - 1985-1998'!C14</f>
        <v>5388.4053474586963</v>
      </c>
      <c r="F3">
        <f>'First Use - 1985-1998'!C13</f>
        <v>4525.2777147181232</v>
      </c>
    </row>
    <row r="4" spans="1:22" x14ac:dyDescent="0.25">
      <c r="A4">
        <v>1986</v>
      </c>
    </row>
    <row r="5" spans="1:22" x14ac:dyDescent="0.25">
      <c r="A5">
        <v>1987</v>
      </c>
    </row>
    <row r="6" spans="1:22" x14ac:dyDescent="0.25">
      <c r="A6">
        <v>1988</v>
      </c>
      <c r="E6">
        <f>'First Use - 1985-1998'!D14</f>
        <v>6234.6327876307414</v>
      </c>
      <c r="F6">
        <f>'First Use - 1985-1998'!D13</f>
        <v>5300.4456571168712</v>
      </c>
    </row>
    <row r="7" spans="1:22" x14ac:dyDescent="0.25">
      <c r="A7">
        <v>1989</v>
      </c>
    </row>
    <row r="8" spans="1:22" x14ac:dyDescent="0.25">
      <c r="A8">
        <v>1990</v>
      </c>
    </row>
    <row r="9" spans="1:22" x14ac:dyDescent="0.25">
      <c r="A9">
        <v>1991</v>
      </c>
      <c r="E9">
        <f>'First Use - 1985-1998'!E14</f>
        <v>6190.9885749260429</v>
      </c>
      <c r="F9">
        <f>'First Use - 1985-1998'!E13</f>
        <v>5989.6187901662761</v>
      </c>
    </row>
    <row r="10" spans="1:22" x14ac:dyDescent="0.25">
      <c r="A10">
        <v>1992</v>
      </c>
    </row>
    <row r="11" spans="1:22" x14ac:dyDescent="0.25">
      <c r="A11">
        <v>1993</v>
      </c>
    </row>
    <row r="12" spans="1:22" x14ac:dyDescent="0.25">
      <c r="A12">
        <v>1994</v>
      </c>
      <c r="E12">
        <f>'First Use - 1985-1998'!F14</f>
        <v>6585.3700209643603</v>
      </c>
      <c r="F12">
        <f>'First Use - 1985-1998'!F13</f>
        <v>6386.7802553840293</v>
      </c>
    </row>
    <row r="13" spans="1:22" x14ac:dyDescent="0.25">
      <c r="A13">
        <v>1995</v>
      </c>
    </row>
    <row r="14" spans="1:22" x14ac:dyDescent="0.25">
      <c r="A14">
        <v>1996</v>
      </c>
    </row>
    <row r="15" spans="1:22" x14ac:dyDescent="0.25">
      <c r="A15">
        <v>1997</v>
      </c>
      <c r="C15" s="156">
        <f>[2]sup99c!$B$594</f>
        <v>262.37054443359398</v>
      </c>
      <c r="G15">
        <f>[2]sup99c!$B$515</f>
        <v>392.52218627929699</v>
      </c>
    </row>
    <row r="16" spans="1:22" x14ac:dyDescent="0.25">
      <c r="A16">
        <v>1998</v>
      </c>
      <c r="C16">
        <f>[2]sup99c!$C$594</f>
        <v>257.32458496093801</v>
      </c>
      <c r="D16">
        <f>[2]sup99c!$C$556</f>
        <v>1688.11755371094</v>
      </c>
      <c r="E16">
        <f>'First Use - 1985-1998'!G14</f>
        <v>7569.390053924506</v>
      </c>
      <c r="F16">
        <f>'First Use - 1985-1998'!G13</f>
        <v>7207.2345288025335</v>
      </c>
      <c r="G16">
        <f>[2]sup99c!$C$515</f>
        <v>381.57598876953102</v>
      </c>
    </row>
    <row r="17" spans="1:22" x14ac:dyDescent="0.25">
      <c r="A17">
        <v>1999</v>
      </c>
      <c r="C17">
        <f>[3]rci!$B$522</f>
        <v>407.87634277343801</v>
      </c>
      <c r="D17">
        <f>[3]rci!$B$483</f>
        <v>1588.92260742188</v>
      </c>
      <c r="E17">
        <f>[3]rci!$B$244</f>
        <v>3024.12109375</v>
      </c>
      <c r="F17">
        <f>[3]rci!$B$368</f>
        <v>6567.5390625</v>
      </c>
      <c r="G17">
        <f>[3]rci!$B$445</f>
        <v>401.637451171875</v>
      </c>
      <c r="I17">
        <f>[3]rci!$B$537</f>
        <v>14.1420783996582</v>
      </c>
      <c r="J17">
        <f>[3]rci!$B$499</f>
        <v>38.237716674804702</v>
      </c>
      <c r="K17">
        <f>[3]rci!$B$261</f>
        <v>51.962932586669901</v>
      </c>
      <c r="L17">
        <f>[3]rci!$B$390</f>
        <v>82.828773498535199</v>
      </c>
      <c r="M17" t="s">
        <v>250</v>
      </c>
      <c r="N17">
        <f>[3]rci!$B$459</f>
        <v>10.5171089172363</v>
      </c>
      <c r="O17" t="s">
        <v>250</v>
      </c>
      <c r="R17">
        <f>I17*($P$2/$P$1)</f>
        <v>51.792111120059715</v>
      </c>
      <c r="S17">
        <f t="shared" ref="S17:S20" si="0">J17*($P$2/$P$1)</f>
        <v>140.03684713321277</v>
      </c>
      <c r="T17">
        <f t="shared" ref="T17:T20" si="1">K17*($P$2/$P$1)</f>
        <v>190.30229522119075</v>
      </c>
      <c r="U17">
        <f t="shared" ref="U17:V20" si="2">L17*($P$2/$P$1)</f>
        <v>303.34134203909338</v>
      </c>
      <c r="V17">
        <f>N17*($P$2/$P$1)</f>
        <v>38.516493708339105</v>
      </c>
    </row>
    <row r="18" spans="1:22" x14ac:dyDescent="0.25">
      <c r="A18">
        <v>2000</v>
      </c>
      <c r="C18">
        <f>[3]rci!$C$522</f>
        <v>405.41650390625</v>
      </c>
      <c r="D18">
        <f>[4]rci!$B$763</f>
        <v>1492.90771484375</v>
      </c>
      <c r="E18">
        <f>[3]rci!$C$244</f>
        <v>3058.23828125</v>
      </c>
      <c r="F18">
        <f>[3]rci!$C$368</f>
        <v>6662.744140625</v>
      </c>
      <c r="G18">
        <f>[3]rci!$C$445</f>
        <v>401.64816284179699</v>
      </c>
      <c r="I18">
        <f>[3]rci!$C$537</f>
        <v>14.126278877258301</v>
      </c>
      <c r="J18">
        <f>[4]rci!$B$780</f>
        <v>37.667465209960902</v>
      </c>
      <c r="K18">
        <f>[3]rci!$C$261</f>
        <v>52.49609375</v>
      </c>
      <c r="L18">
        <f>[3]rci!$C$390</f>
        <v>84.280998229980497</v>
      </c>
      <c r="M18" t="s">
        <v>250</v>
      </c>
      <c r="N18">
        <f>[3]rci!$C$459</f>
        <v>10.632220268249499</v>
      </c>
      <c r="O18" t="s">
        <v>250</v>
      </c>
      <c r="R18">
        <f t="shared" ref="R18:R20" si="3">I18*($P$2/$P$1)</f>
        <v>51.734249001306424</v>
      </c>
      <c r="S18">
        <f t="shared" si="0"/>
        <v>137.94843223414949</v>
      </c>
      <c r="T18">
        <f t="shared" si="1"/>
        <v>192.25487541737749</v>
      </c>
      <c r="U18">
        <f t="shared" si="2"/>
        <v>308.6597812767186</v>
      </c>
      <c r="V18">
        <f>N18*($P$2/$P$1)</f>
        <v>38.938062569320664</v>
      </c>
    </row>
    <row r="19" spans="1:22" x14ac:dyDescent="0.25">
      <c r="A19">
        <v>2001</v>
      </c>
      <c r="C19">
        <f>[4]rci!$C$844</f>
        <v>414.612060546875</v>
      </c>
      <c r="D19">
        <f>[4]rci!$C$763</f>
        <v>1367.29260253906</v>
      </c>
      <c r="E19">
        <f>[4]rci!$C$271</f>
        <v>2975.40087890625</v>
      </c>
      <c r="F19">
        <f>[4]rci!$C$522</f>
        <v>6771.3291015625</v>
      </c>
      <c r="G19">
        <f>[20]supple2!$B$21</f>
        <v>344.64685058593801</v>
      </c>
      <c r="I19">
        <f>[4]rci!$C$859</f>
        <v>14.6498003005981</v>
      </c>
      <c r="J19">
        <f>[4]rci!$C$780</f>
        <v>34.358757019042997</v>
      </c>
      <c r="K19">
        <f>[4]rci!$C$288</f>
        <v>51.951103210449197</v>
      </c>
      <c r="L19">
        <f>[4]rci!$C$544</f>
        <v>83.635688781738295</v>
      </c>
      <c r="M19" t="s">
        <v>250</v>
      </c>
      <c r="N19">
        <f>[20]supple2!$B$38</f>
        <v>33.099258422851563</v>
      </c>
      <c r="O19" t="s">
        <v>251</v>
      </c>
      <c r="R19">
        <f t="shared" si="3"/>
        <v>53.651525865787818</v>
      </c>
      <c r="S19">
        <f t="shared" si="0"/>
        <v>125.83104909957336</v>
      </c>
      <c r="T19">
        <f t="shared" si="1"/>
        <v>190.25897285015097</v>
      </c>
      <c r="U19">
        <f t="shared" si="2"/>
        <v>306.29648376798804</v>
      </c>
      <c r="V19">
        <f>N19</f>
        <v>33.099258422851563</v>
      </c>
    </row>
    <row r="20" spans="1:22" x14ac:dyDescent="0.25">
      <c r="A20">
        <v>2002</v>
      </c>
      <c r="C20">
        <f>[4]rci!$D$844</f>
        <v>405.29498291015602</v>
      </c>
      <c r="D20">
        <f>[4]rci!$D$763</f>
        <v>1332.89575195313</v>
      </c>
      <c r="E20">
        <f>[4]rci!$D$271</f>
        <v>2953.7919921875</v>
      </c>
      <c r="F20">
        <f>[4]rci!$D$522</f>
        <v>6697.75439453125</v>
      </c>
      <c r="G20">
        <f>[21]supple2!$B$21</f>
        <v>365.38708496093801</v>
      </c>
      <c r="I20">
        <f>[4]rci!$D$859</f>
        <v>13.7645168304443</v>
      </c>
      <c r="J20">
        <f>[4]rci!$D$780</f>
        <v>32.822292327880902</v>
      </c>
      <c r="K20">
        <f>[4]rci!$D$288</f>
        <v>51.257068634033203</v>
      </c>
      <c r="L20">
        <f>[4]rci!$D$544</f>
        <v>80.950767517089801</v>
      </c>
      <c r="M20" t="s">
        <v>250</v>
      </c>
      <c r="N20">
        <f>[20]supple2!$C$38</f>
        <v>32.421100616455078</v>
      </c>
      <c r="O20" t="s">
        <v>251</v>
      </c>
      <c r="R20">
        <f t="shared" si="3"/>
        <v>50.409378667674005</v>
      </c>
      <c r="S20">
        <f t="shared" si="0"/>
        <v>120.20410037479195</v>
      </c>
      <c r="T20">
        <f t="shared" si="1"/>
        <v>187.71723076054627</v>
      </c>
      <c r="U20">
        <f t="shared" si="2"/>
        <v>296.4635768530718</v>
      </c>
      <c r="V20">
        <f t="shared" ref="V20:V30" si="4">N20</f>
        <v>32.421100616455078</v>
      </c>
    </row>
    <row r="21" spans="1:22" x14ac:dyDescent="0.25">
      <c r="A21">
        <v>2003</v>
      </c>
      <c r="C21">
        <f>[5]Sheet1!$B$23</f>
        <v>383.11123657226602</v>
      </c>
      <c r="D21">
        <f>[8]Sheet1!$B$25</f>
        <v>1299.02416992188</v>
      </c>
      <c r="E21">
        <f>[7]Sheet1!$B$25</f>
        <v>3166.833984375</v>
      </c>
      <c r="F21">
        <f>[6]Sheet1!$B$31</f>
        <v>6370.4951171875</v>
      </c>
      <c r="G21">
        <f>[20]supple2!$D$21</f>
        <v>337.60357666015602</v>
      </c>
      <c r="I21">
        <f>[5]Sheet1!$B$37</f>
        <v>46.695560455322301</v>
      </c>
      <c r="J21">
        <f>[8]Sheet1!$B$41</f>
        <v>122.34201812744099</v>
      </c>
      <c r="K21">
        <f>[7]Sheet1!$B$41</f>
        <v>205.05929565429699</v>
      </c>
      <c r="L21">
        <f>[6]Sheet1!$B$53</f>
        <v>328.05123901367199</v>
      </c>
      <c r="M21" t="s">
        <v>251</v>
      </c>
      <c r="N21">
        <f>[21]supple2!$B$37</f>
        <v>35.077671051025398</v>
      </c>
      <c r="O21" t="s">
        <v>251</v>
      </c>
      <c r="R21">
        <f>I21</f>
        <v>46.695560455322301</v>
      </c>
      <c r="S21">
        <f t="shared" ref="S21:S30" si="5">J21</f>
        <v>122.34201812744099</v>
      </c>
      <c r="T21">
        <f t="shared" ref="T21:T30" si="6">K21</f>
        <v>205.05929565429699</v>
      </c>
      <c r="U21">
        <f t="shared" ref="U21:U30" si="7">L21</f>
        <v>328.05123901367199</v>
      </c>
      <c r="V21">
        <f t="shared" si="4"/>
        <v>35.077671051025398</v>
      </c>
    </row>
    <row r="22" spans="1:22" x14ac:dyDescent="0.25">
      <c r="A22">
        <v>2004</v>
      </c>
      <c r="C22">
        <f>[5]Sheet1!$C$23</f>
        <v>388.05657958984398</v>
      </c>
      <c r="D22">
        <f>[8]Sheet1!$C$25</f>
        <v>1341.61669921875</v>
      </c>
      <c r="E22">
        <f>[7]Sheet1!$C$25</f>
        <v>3168.16821289063</v>
      </c>
      <c r="F22">
        <f>[6]Sheet1!$C$31</f>
        <v>6663.25390625</v>
      </c>
      <c r="G22">
        <f>[21]supple2!$C$21</f>
        <v>372.86898803710898</v>
      </c>
      <c r="I22">
        <f>[5]Sheet1!$C$37</f>
        <v>46.5491752624512</v>
      </c>
      <c r="J22">
        <f>[8]Sheet1!$C$41</f>
        <v>126.86809539794901</v>
      </c>
      <c r="K22">
        <f>[7]Sheet1!$C$41</f>
        <v>206.66734313964801</v>
      </c>
      <c r="L22">
        <f>[6]Sheet1!$C$53</f>
        <v>343.38690185546898</v>
      </c>
      <c r="M22" t="s">
        <v>251</v>
      </c>
      <c r="N22">
        <f>[21]supple2!$C$37</f>
        <v>35.9497680664063</v>
      </c>
      <c r="O22" t="s">
        <v>251</v>
      </c>
      <c r="R22">
        <f t="shared" ref="R22:R30" si="8">I22</f>
        <v>46.5491752624512</v>
      </c>
      <c r="S22">
        <f t="shared" si="5"/>
        <v>126.86809539794901</v>
      </c>
      <c r="T22">
        <f t="shared" si="6"/>
        <v>206.66734313964801</v>
      </c>
      <c r="U22">
        <f t="shared" si="7"/>
        <v>343.38690185546898</v>
      </c>
      <c r="V22">
        <f t="shared" si="4"/>
        <v>35.9497680664063</v>
      </c>
    </row>
    <row r="23" spans="1:22" x14ac:dyDescent="0.25">
      <c r="A23">
        <v>2005</v>
      </c>
      <c r="C23">
        <f>[5]Sheet1!$D$23</f>
        <v>383.4912109375</v>
      </c>
      <c r="D23">
        <f>[8]Sheet1!$D$25</f>
        <v>1244.20886230469</v>
      </c>
      <c r="E23">
        <f>[7]Sheet1!$D$25</f>
        <v>3186.25805664063</v>
      </c>
      <c r="F23">
        <f>[6]Sheet1!$D$31</f>
        <v>6529.28515625</v>
      </c>
      <c r="G23">
        <f>[21]supple2!$D$21</f>
        <v>389.09759521484398</v>
      </c>
      <c r="I23">
        <f>[5]Sheet1!$D$37</f>
        <v>46.053462982177699</v>
      </c>
      <c r="J23">
        <f>[8]Sheet1!$D$41</f>
        <v>117.75698089599599</v>
      </c>
      <c r="K23">
        <f>[7]Sheet1!$D$41</f>
        <v>208.26295471191401</v>
      </c>
      <c r="L23">
        <f>[6]Sheet1!$D$53</f>
        <v>337.43887329101602</v>
      </c>
      <c r="M23" t="s">
        <v>251</v>
      </c>
      <c r="N23">
        <f>[21]supple2!$D$37</f>
        <v>37.452602386474602</v>
      </c>
      <c r="O23" t="s">
        <v>251</v>
      </c>
      <c r="R23">
        <f t="shared" si="8"/>
        <v>46.053462982177699</v>
      </c>
      <c r="S23">
        <f t="shared" si="5"/>
        <v>117.75698089599599</v>
      </c>
      <c r="T23">
        <f t="shared" si="6"/>
        <v>208.26295471191401</v>
      </c>
      <c r="U23">
        <f t="shared" si="7"/>
        <v>337.43887329101602</v>
      </c>
      <c r="V23">
        <f t="shared" si="4"/>
        <v>37.452602386474602</v>
      </c>
    </row>
    <row r="24" spans="1:22" x14ac:dyDescent="0.25">
      <c r="A24">
        <v>2006</v>
      </c>
      <c r="C24">
        <f>[9]stim2!$B$26</f>
        <v>387.85067749023398</v>
      </c>
      <c r="D24">
        <f>[10]stim2!$B$27</f>
        <v>1512.37524414063</v>
      </c>
      <c r="E24">
        <f>[11]stim2!$B$30</f>
        <v>3936.18139648438</v>
      </c>
      <c r="F24">
        <f>[12]stim2!$B$33</f>
        <v>6863.5849609375</v>
      </c>
      <c r="G24">
        <f>[22]stim2!$B$26</f>
        <v>432.86590576171898</v>
      </c>
      <c r="I24">
        <f>[9]stim2!$B$42</f>
        <v>46.534297943115199</v>
      </c>
      <c r="J24">
        <f>[10]stim2!$B$44</f>
        <v>141.38932800293</v>
      </c>
      <c r="K24">
        <f>[11]stim2!$B$32</f>
        <v>250.67417907714801</v>
      </c>
      <c r="L24">
        <f>[12]stim2!$B$56</f>
        <v>313.48623657226602</v>
      </c>
      <c r="M24" t="s">
        <v>251</v>
      </c>
      <c r="N24">
        <f>[22]stim2!$B$42</f>
        <v>42.370918273925803</v>
      </c>
      <c r="O24" t="s">
        <v>251</v>
      </c>
      <c r="R24">
        <f t="shared" si="8"/>
        <v>46.534297943115199</v>
      </c>
      <c r="S24">
        <f t="shared" si="5"/>
        <v>141.38932800293</v>
      </c>
      <c r="T24">
        <f t="shared" si="6"/>
        <v>250.67417907714801</v>
      </c>
      <c r="U24">
        <f t="shared" si="7"/>
        <v>313.48623657226602</v>
      </c>
      <c r="V24">
        <f t="shared" si="4"/>
        <v>42.370918273925803</v>
      </c>
    </row>
    <row r="25" spans="1:22" x14ac:dyDescent="0.25">
      <c r="A25">
        <v>2007</v>
      </c>
      <c r="C25">
        <f>[9]stim2!$C$26</f>
        <v>357.658447265625</v>
      </c>
      <c r="D25">
        <f>[10]stim2!$C$27</f>
        <v>1467.46618652344</v>
      </c>
      <c r="E25">
        <f>[11]stim2!$C$30</f>
        <v>4026.31762695313</v>
      </c>
      <c r="F25">
        <f>[12]stim2!$C$33</f>
        <v>6868.4130859375</v>
      </c>
      <c r="G25">
        <f>[22]stim2!$C$26</f>
        <v>424.990478515625</v>
      </c>
      <c r="I25">
        <f>[9]stim2!$C$42</f>
        <v>44.928512573242202</v>
      </c>
      <c r="J25">
        <f>[10]stim2!$C$44</f>
        <v>137.34507751464801</v>
      </c>
      <c r="K25">
        <f>[11]stim2!$C$32</f>
        <v>251.29504394531301</v>
      </c>
      <c r="L25">
        <f>[12]stim2!$C$56</f>
        <v>313.83184814453102</v>
      </c>
      <c r="M25" t="s">
        <v>251</v>
      </c>
      <c r="N25">
        <f>[22]stim2!$C$42</f>
        <v>41.738792419433601</v>
      </c>
      <c r="O25" t="s">
        <v>251</v>
      </c>
      <c r="R25">
        <f t="shared" si="8"/>
        <v>44.928512573242202</v>
      </c>
      <c r="S25">
        <f t="shared" si="5"/>
        <v>137.34507751464801</v>
      </c>
      <c r="T25">
        <f t="shared" si="6"/>
        <v>251.29504394531301</v>
      </c>
      <c r="U25">
        <f t="shared" si="7"/>
        <v>313.83184814453102</v>
      </c>
      <c r="V25">
        <f t="shared" si="4"/>
        <v>41.738792419433601</v>
      </c>
    </row>
    <row r="26" spans="1:22" x14ac:dyDescent="0.25">
      <c r="A26">
        <v>2008</v>
      </c>
      <c r="C26">
        <f>[9]stim2!$D$26</f>
        <v>361.56216430664102</v>
      </c>
      <c r="D26">
        <f>[10]stim2!$D$27</f>
        <v>1462.91027832031</v>
      </c>
      <c r="E26">
        <f>[11]stim2!$D$30</f>
        <v>4710.6513671875</v>
      </c>
      <c r="F26">
        <f>[12]stim2!$D$33</f>
        <v>6709.6982421875</v>
      </c>
      <c r="G26">
        <f>[22]stim2!$D$26</f>
        <v>394.24652099609398</v>
      </c>
      <c r="I26">
        <f>[9]stim2!$D$42</f>
        <v>43.849758148193402</v>
      </c>
      <c r="J26">
        <f>[10]stim2!$D$44</f>
        <v>135.75735473632801</v>
      </c>
      <c r="K26">
        <f>[11]stim2!$D$32</f>
        <v>263.36270141601602</v>
      </c>
      <c r="L26">
        <f>[12]stim2!$D$56</f>
        <v>303.70300292968801</v>
      </c>
      <c r="M26" t="s">
        <v>251</v>
      </c>
      <c r="N26">
        <f>[22]stim2!$D$42</f>
        <v>38.431056976318402</v>
      </c>
      <c r="O26" t="s">
        <v>251</v>
      </c>
      <c r="R26">
        <f t="shared" si="8"/>
        <v>43.849758148193402</v>
      </c>
      <c r="S26">
        <f t="shared" si="5"/>
        <v>135.75735473632801</v>
      </c>
      <c r="T26">
        <f t="shared" si="6"/>
        <v>263.36270141601602</v>
      </c>
      <c r="U26">
        <f t="shared" si="7"/>
        <v>303.70300292968801</v>
      </c>
      <c r="V26">
        <f t="shared" si="4"/>
        <v>38.431056976318402</v>
      </c>
    </row>
    <row r="27" spans="1:22" x14ac:dyDescent="0.25">
      <c r="A27">
        <v>2009</v>
      </c>
      <c r="C27">
        <f>'[13]EARLY2012-Aluminum_Industry_Ene'!$B$19</f>
        <v>229.5</v>
      </c>
      <c r="D27">
        <f>'[14]EARLY2012-Iron_and_Steel_Indust'!$B$20</f>
        <v>1006</v>
      </c>
      <c r="E27">
        <f>'[15]EARLY2012-Refining_Industry_Ene'!$B$22</f>
        <v>3687.7</v>
      </c>
      <c r="F27">
        <f>'[16]EARLY2012-Bulk_Chemical_Industr'!$B$26</f>
        <v>4736</v>
      </c>
      <c r="G27">
        <f>'[23]EARLY2012-Cement_Industry_Energ'!$B$19</f>
        <v>211.2</v>
      </c>
      <c r="I27">
        <f>'[13]EARLY2012-Aluminum_Industry_Ene'!$B$36</f>
        <v>27.6</v>
      </c>
      <c r="J27">
        <f>'[14]EARLY2012-Iron_and_Steel_Indust'!$B$38</f>
        <v>91.9</v>
      </c>
      <c r="K27">
        <f>'[15]EARLY2012-Refining_Industry_Ene'!$B$42</f>
        <v>203.7</v>
      </c>
      <c r="L27">
        <f>'[16]EARLY2012-Bulk_Chemical_Industr'!$B$50</f>
        <v>221.7</v>
      </c>
      <c r="M27" t="s">
        <v>251</v>
      </c>
      <c r="N27">
        <f>'[23]EARLY2012-Cement_Industry_Energ'!$B$36</f>
        <v>21.2</v>
      </c>
      <c r="O27" t="s">
        <v>251</v>
      </c>
      <c r="R27">
        <f t="shared" si="8"/>
        <v>27.6</v>
      </c>
      <c r="S27">
        <f t="shared" si="5"/>
        <v>91.9</v>
      </c>
      <c r="T27">
        <f t="shared" si="6"/>
        <v>203.7</v>
      </c>
      <c r="U27">
        <f t="shared" si="7"/>
        <v>221.7</v>
      </c>
      <c r="V27">
        <f t="shared" si="4"/>
        <v>21.2</v>
      </c>
    </row>
    <row r="28" spans="1:22" x14ac:dyDescent="0.25">
      <c r="A28">
        <v>2010</v>
      </c>
      <c r="C28">
        <f>'[13]EARLY2012-Aluminum_Industry_Ene'!$C$19</f>
        <v>265</v>
      </c>
      <c r="D28">
        <f>'[14]EARLY2012-Iron_and_Steel_Indust'!$C$20</f>
        <v>1255.8</v>
      </c>
      <c r="E28">
        <f>'[15]EARLY2012-Refining_Industry_Ene'!$C$22</f>
        <v>3751.9</v>
      </c>
      <c r="F28">
        <f>'[16]EARLY2012-Bulk_Chemical_Industr'!$C$26</f>
        <v>5009</v>
      </c>
      <c r="G28">
        <f>'[23]EARLY2012-Cement_Industry_Energ'!$C$19</f>
        <v>208.5</v>
      </c>
      <c r="I28">
        <f>'[13]EARLY2012-Aluminum_Industry_Ene'!$C$36</f>
        <v>30.9</v>
      </c>
      <c r="J28">
        <f>'[14]EARLY2012-Iron_and_Steel_Indust'!$C$38</f>
        <v>116.7</v>
      </c>
      <c r="K28">
        <f>'[15]EARLY2012-Refining_Industry_Ene'!$C$42</f>
        <v>203.9</v>
      </c>
      <c r="L28">
        <f>'[16]EARLY2012-Bulk_Chemical_Industr'!$C$50</f>
        <v>234.5</v>
      </c>
      <c r="M28" t="s">
        <v>251</v>
      </c>
      <c r="N28">
        <f>'[23]EARLY2012-Cement_Industry_Energ'!$C$36</f>
        <v>21</v>
      </c>
      <c r="O28" t="s">
        <v>251</v>
      </c>
      <c r="R28">
        <f t="shared" si="8"/>
        <v>30.9</v>
      </c>
      <c r="S28">
        <f t="shared" si="5"/>
        <v>116.7</v>
      </c>
      <c r="T28">
        <f t="shared" si="6"/>
        <v>203.9</v>
      </c>
      <c r="U28">
        <f t="shared" si="7"/>
        <v>234.5</v>
      </c>
      <c r="V28">
        <f t="shared" si="4"/>
        <v>21</v>
      </c>
    </row>
    <row r="29" spans="1:22" x14ac:dyDescent="0.25">
      <c r="A29">
        <v>2011</v>
      </c>
      <c r="C29">
        <f>'[13]EARLY2012-Aluminum_Industry_Ene'!$D$19</f>
        <v>270.7</v>
      </c>
      <c r="D29">
        <f>'[14]EARLY2012-Iron_and_Steel_Indust'!$D$20</f>
        <v>1359.2</v>
      </c>
      <c r="E29">
        <f>'[15]EARLY2012-Refining_Industry_Ene'!$D$22</f>
        <v>3821.4</v>
      </c>
      <c r="F29">
        <f>'[16]EARLY2012-Bulk_Chemical_Industr'!$D$26</f>
        <v>5026.8</v>
      </c>
      <c r="G29">
        <f>'[23]EARLY2012-Cement_Industry_Energ'!$D$19</f>
        <v>208.9</v>
      </c>
      <c r="I29">
        <f>'[13]EARLY2012-Aluminum_Industry_Ene'!$D$36</f>
        <v>30.7</v>
      </c>
      <c r="J29">
        <f>'[14]EARLY2012-Iron_and_Steel_Indust'!$D$38</f>
        <v>126.2</v>
      </c>
      <c r="K29">
        <f>'[15]EARLY2012-Refining_Industry_Ene'!$D$42</f>
        <v>205.7</v>
      </c>
      <c r="L29">
        <f>'[16]EARLY2012-Bulk_Chemical_Industr'!$D$50</f>
        <v>230.9</v>
      </c>
      <c r="M29" t="s">
        <v>251</v>
      </c>
      <c r="N29">
        <f>'[23]EARLY2012-Cement_Industry_Energ'!$D$36</f>
        <v>20.9</v>
      </c>
      <c r="O29" t="s">
        <v>251</v>
      </c>
      <c r="R29">
        <f t="shared" si="8"/>
        <v>30.7</v>
      </c>
      <c r="S29">
        <f t="shared" si="5"/>
        <v>126.2</v>
      </c>
      <c r="T29">
        <f t="shared" si="6"/>
        <v>205.7</v>
      </c>
      <c r="U29">
        <f t="shared" si="7"/>
        <v>230.9</v>
      </c>
      <c r="V29">
        <f t="shared" si="4"/>
        <v>20.9</v>
      </c>
    </row>
    <row r="30" spans="1:22" x14ac:dyDescent="0.25">
      <c r="A30">
        <v>2012</v>
      </c>
      <c r="C30">
        <f>'[13]EARLY2012-Aluminum_Industry_Ene'!$F$19</f>
        <v>268.60000000000002</v>
      </c>
      <c r="D30">
        <f>'[14]EARLY2012-Iron_and_Steel_Indust'!$F$20</f>
        <v>1332.1</v>
      </c>
      <c r="E30">
        <f>'[15]EARLY2012-Refining_Industry_Ene'!$F$22</f>
        <v>3805.3</v>
      </c>
      <c r="F30">
        <f>'[16]EARLY2012-Bulk_Chemical_Industr'!$F$26</f>
        <v>4907.3999999999996</v>
      </c>
      <c r="G30">
        <f>'[23]EARLY2012-Cement_Industry_Energ'!$F$19</f>
        <v>195.9</v>
      </c>
      <c r="I30">
        <f>'[13]EARLY2012-Aluminum_Industry_Ene'!$F$36</f>
        <v>29.9</v>
      </c>
      <c r="J30">
        <f>'[14]EARLY2012-Iron_and_Steel_Indust'!$F$38</f>
        <v>122.2</v>
      </c>
      <c r="K30">
        <f>'[15]EARLY2012-Refining_Industry_Ene'!$F$42</f>
        <v>208.2</v>
      </c>
      <c r="L30">
        <f>'[16]EARLY2012-Bulk_Chemical_Industr'!$F$50</f>
        <v>221.9</v>
      </c>
      <c r="M30" t="s">
        <v>251</v>
      </c>
      <c r="N30">
        <f>'[23]EARLY2012-Cement_Industry_Energ'!$F$36</f>
        <v>19.5</v>
      </c>
      <c r="O30" t="s">
        <v>251</v>
      </c>
      <c r="R30">
        <f t="shared" si="8"/>
        <v>29.9</v>
      </c>
      <c r="S30">
        <f t="shared" si="5"/>
        <v>122.2</v>
      </c>
      <c r="T30">
        <f t="shared" si="6"/>
        <v>208.2</v>
      </c>
      <c r="U30">
        <f t="shared" si="7"/>
        <v>221.9</v>
      </c>
      <c r="V30">
        <f t="shared" si="4"/>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X63"/>
  <sheetViews>
    <sheetView topLeftCell="A23" workbookViewId="0">
      <selection activeCell="Q34" sqref="Q34:X61"/>
    </sheetView>
  </sheetViews>
  <sheetFormatPr defaultRowHeight="15" x14ac:dyDescent="0.25"/>
  <sheetData>
    <row r="2" spans="1:14" x14ac:dyDescent="0.25">
      <c r="D2" t="s">
        <v>248</v>
      </c>
      <c r="I2" t="s">
        <v>249</v>
      </c>
    </row>
    <row r="3" spans="1:14" x14ac:dyDescent="0.25">
      <c r="C3" t="s">
        <v>3</v>
      </c>
      <c r="D3" t="s">
        <v>185</v>
      </c>
      <c r="E3" t="s">
        <v>192</v>
      </c>
      <c r="F3" t="s">
        <v>4</v>
      </c>
      <c r="I3" t="s">
        <v>3</v>
      </c>
      <c r="J3" t="s">
        <v>1</v>
      </c>
      <c r="K3" t="s">
        <v>2</v>
      </c>
      <c r="L3" t="s">
        <v>4</v>
      </c>
      <c r="N3" t="s">
        <v>256</v>
      </c>
    </row>
    <row r="4" spans="1:14" x14ac:dyDescent="0.25">
      <c r="A4">
        <v>1985</v>
      </c>
      <c r="D4">
        <f>SUM('MECS Iron &amp; Steel Intensity'!B7)/1000</f>
        <v>19.137</v>
      </c>
      <c r="E4">
        <f>IFERROR('Energy &amp; Emission Units'!E3/'Production Units'!G2,"NA")</f>
        <v>1214.9031235124469</v>
      </c>
      <c r="F4" s="158">
        <f>IFERROR('Energy &amp; Emission Units'!F3/'Production Units'!L2,"NA")</f>
        <v>19.368476679302777</v>
      </c>
    </row>
    <row r="5" spans="1:14" x14ac:dyDescent="0.25">
      <c r="A5">
        <v>1986</v>
      </c>
      <c r="E5" t="s">
        <v>112</v>
      </c>
      <c r="F5" s="158" t="str">
        <f>IFERROR('Energy &amp; Emission Units'!F4/'Production Units'!L3,"NA")</f>
        <v>NA</v>
      </c>
    </row>
    <row r="6" spans="1:14" x14ac:dyDescent="0.25">
      <c r="A6">
        <v>1987</v>
      </c>
      <c r="E6" t="s">
        <v>112</v>
      </c>
      <c r="F6" s="158" t="str">
        <f>IFERROR('Energy &amp; Emission Units'!F5/'Production Units'!L4,"NA")</f>
        <v>NA</v>
      </c>
    </row>
    <row r="7" spans="1:14" x14ac:dyDescent="0.25">
      <c r="A7">
        <v>1988</v>
      </c>
      <c r="D7">
        <f>'MECS Iron &amp; Steel Intensity'!C7/1000</f>
        <v>17.303000000000001</v>
      </c>
      <c r="E7">
        <f>IFERROR('Energy &amp; Emission Units'!E6/'Production Units'!G5,"NA")</f>
        <v>1267.1498059189353</v>
      </c>
      <c r="F7" s="158">
        <f>IFERROR('Energy &amp; Emission Units'!F6/'Production Units'!L5,"NA")</f>
        <v>17.370081590300021</v>
      </c>
    </row>
    <row r="8" spans="1:14" x14ac:dyDescent="0.25">
      <c r="A8">
        <v>1989</v>
      </c>
      <c r="E8" t="s">
        <v>112</v>
      </c>
      <c r="F8" s="158" t="str">
        <f>IFERROR('Energy &amp; Emission Units'!F7/'Production Units'!L6,"NA")</f>
        <v>NA</v>
      </c>
    </row>
    <row r="9" spans="1:14" x14ac:dyDescent="0.25">
      <c r="A9">
        <v>1990</v>
      </c>
      <c r="E9" t="s">
        <v>112</v>
      </c>
      <c r="F9" s="158" t="str">
        <f>IFERROR('Energy &amp; Emission Units'!F8/'Production Units'!L7,"NA")</f>
        <v>NA</v>
      </c>
    </row>
    <row r="10" spans="1:14" x14ac:dyDescent="0.25">
      <c r="A10">
        <v>1991</v>
      </c>
      <c r="D10">
        <f>'MECS Iron &amp; Steel Intensity'!E7/1000</f>
        <v>16.212</v>
      </c>
      <c r="E10">
        <f>IFERROR('Energy &amp; Emission Units'!E9/'Production Units'!G8,"NA")</f>
        <v>1258.1529262658923</v>
      </c>
      <c r="F10" s="158">
        <f>IFERROR('Energy &amp; Emission Units'!F9/'Production Units'!L8,"NA")</f>
        <v>18.982964288731438</v>
      </c>
    </row>
    <row r="11" spans="1:14" x14ac:dyDescent="0.25">
      <c r="A11">
        <v>1992</v>
      </c>
      <c r="E11" t="s">
        <v>112</v>
      </c>
      <c r="F11" s="158" t="str">
        <f>IFERROR('Energy &amp; Emission Units'!F10/'Production Units'!L9,"NA")</f>
        <v>NA</v>
      </c>
    </row>
    <row r="12" spans="1:14" x14ac:dyDescent="0.25">
      <c r="A12">
        <v>1993</v>
      </c>
      <c r="E12" t="s">
        <v>112</v>
      </c>
      <c r="F12" s="158" t="str">
        <f>IFERROR('Energy &amp; Emission Units'!F11/'Production Units'!L10,"NA")</f>
        <v>NA</v>
      </c>
    </row>
    <row r="13" spans="1:14" x14ac:dyDescent="0.25">
      <c r="A13">
        <v>1994</v>
      </c>
      <c r="D13">
        <f>'MECS Iron &amp; Steel Intensity'!F7/1000</f>
        <v>16.395</v>
      </c>
      <c r="E13">
        <f>IFERROR('Energy &amp; Emission Units'!E12/'Production Units'!G11,"NA")</f>
        <v>1295.9904020632932</v>
      </c>
      <c r="F13" s="158">
        <f>IFERROR('Energy &amp; Emission Units'!F12/'Production Units'!L11,"NA")</f>
        <v>17.926848127072603</v>
      </c>
    </row>
    <row r="14" spans="1:14" x14ac:dyDescent="0.25">
      <c r="A14">
        <v>1995</v>
      </c>
      <c r="E14" t="s">
        <v>112</v>
      </c>
      <c r="F14" s="158" t="str">
        <f>IFERROR('Energy &amp; Emission Units'!F13/'Production Units'!L12,"NA")</f>
        <v>NA</v>
      </c>
    </row>
    <row r="15" spans="1:14" x14ac:dyDescent="0.25">
      <c r="A15">
        <v>1996</v>
      </c>
      <c r="E15" t="s">
        <v>112</v>
      </c>
      <c r="F15" s="158" t="str">
        <f>IFERROR('Energy &amp; Emission Units'!F14/'Production Units'!L13,"NA")</f>
        <v>NA</v>
      </c>
    </row>
    <row r="16" spans="1:14" x14ac:dyDescent="0.25">
      <c r="A16">
        <v>1997</v>
      </c>
      <c r="E16" t="s">
        <v>112</v>
      </c>
      <c r="F16" s="158" t="str">
        <f>IFERROR('Energy &amp; Emission Units'!F15/'Production Units'!L14,"NA")</f>
        <v>NA</v>
      </c>
    </row>
    <row r="17" spans="1:14" x14ac:dyDescent="0.25">
      <c r="A17">
        <v>1998</v>
      </c>
      <c r="D17">
        <f>'MECS Iron &amp; Steel Intensity'!B16</f>
        <v>17</v>
      </c>
      <c r="E17">
        <f>IFERROR('Energy &amp; Emission Units'!E16/'Production Units'!G15,"NA")</f>
        <v>1380.7221749238747</v>
      </c>
      <c r="F17" s="158">
        <f>IFERROR('Energy &amp; Emission Units'!F16/'Production Units'!L15,"NA")</f>
        <v>18.560421848417079</v>
      </c>
    </row>
    <row r="18" spans="1:14" x14ac:dyDescent="0.25">
      <c r="A18">
        <v>1999</v>
      </c>
      <c r="E18">
        <f>IFERROR('Energy &amp; Emission Units'!E17/'Production Units'!G16,"NA")</f>
        <v>550.23482828290787</v>
      </c>
      <c r="F18" s="158" t="str">
        <f>IFERROR('Energy &amp; Emission Units'!F17/'Production Units'!L16,"NA")</f>
        <v>NA</v>
      </c>
      <c r="I18">
        <f>IFERROR('Energy &amp; Emission Units'!R17/'Production Units'!I16, "NA")</f>
        <v>9.6825782613684276E-3</v>
      </c>
      <c r="J18">
        <f>IFERROR('Energy &amp; Emission Units'!S17/'Production Units'!C16,"NA")</f>
        <v>0.97450833078088228</v>
      </c>
      <c r="K18" s="157">
        <f>IFERROR('Energy &amp; Emission Units'!T17/'Production Units'!G16,"NA")</f>
        <v>34.625250605633134</v>
      </c>
      <c r="L18">
        <f>'Energy &amp; Emission Units'!U17/'Production Units'!L15</f>
        <v>0.7811794176824135</v>
      </c>
      <c r="M18" t="s">
        <v>255</v>
      </c>
      <c r="N18">
        <f>'Energy &amp; Emission Units'!V17/'Production Units'!O15</f>
        <v>2.4307681540597969E-4</v>
      </c>
    </row>
    <row r="19" spans="1:14" x14ac:dyDescent="0.25">
      <c r="A19">
        <v>2000</v>
      </c>
      <c r="E19">
        <f>IFERROR('Energy &amp; Emission Units'!E18/'Production Units'!G17,"NA")</f>
        <v>547.98388769966414</v>
      </c>
      <c r="F19" s="158" t="str">
        <f>IFERROR('Energy &amp; Emission Units'!F18/'Production Units'!L17,"NA")</f>
        <v>NA</v>
      </c>
      <c r="I19">
        <f>IFERROR('Energy &amp; Emission Units'!R18/'Production Units'!I17, "NA")</f>
        <v>1.0268806868063998E-2</v>
      </c>
      <c r="J19">
        <f>IFERROR('Energy &amp; Emission Units'!S18/'Production Units'!C17,"NA")</f>
        <v>0.92026972804636087</v>
      </c>
      <c r="K19" s="157">
        <f>IFERROR('Energy &amp; Emission Units'!T18/'Production Units'!G17,"NA")</f>
        <v>34.44877879736962</v>
      </c>
      <c r="L19" t="str">
        <f>IFERROR('Energy &amp; Emission Units'!U18/'Production Units'!L17,"NA")</f>
        <v>NA</v>
      </c>
      <c r="N19">
        <f>'Energy &amp; Emission Units'!V18/'Production Units'!O16</f>
        <v>2.4042519569831536E-4</v>
      </c>
    </row>
    <row r="20" spans="1:14" x14ac:dyDescent="0.25">
      <c r="A20">
        <v>2001</v>
      </c>
      <c r="E20">
        <f>IFERROR('Energy &amp; Emission Units'!E19/'Production Units'!G18,"NA")</f>
        <v>530.47433748358571</v>
      </c>
      <c r="F20" s="158" t="str">
        <f>IFERROR('Energy &amp; Emission Units'!F19/'Production Units'!L18,"NA")</f>
        <v>NA</v>
      </c>
      <c r="I20">
        <f>IFERROR('Energy &amp; Emission Units'!R19/'Production Units'!I18, "NA")</f>
        <v>1.3946328532827611E-2</v>
      </c>
      <c r="J20">
        <f>IFERROR('Energy &amp; Emission Units'!S19/'Production Units'!C18,"NA")</f>
        <v>0.95182336686515412</v>
      </c>
      <c r="K20" s="157">
        <f>IFERROR('Energy &amp; Emission Units'!T19/'Production Units'!G18,"NA")</f>
        <v>33.920640169365029</v>
      </c>
      <c r="L20" t="str">
        <f>IFERROR('Energy &amp; Emission Units'!U19/'Production Units'!L18,"NA")</f>
        <v>NA</v>
      </c>
      <c r="N20">
        <f>'Energy &amp; Emission Units'!V19/'Production Units'!O17</f>
        <v>1.9941234349606928E-4</v>
      </c>
    </row>
    <row r="21" spans="1:14" x14ac:dyDescent="0.25">
      <c r="A21">
        <v>2002</v>
      </c>
      <c r="D21">
        <f>'MECS Iron &amp; Steel Intensity'!C16</f>
        <v>16</v>
      </c>
      <c r="E21">
        <f>IFERROR('Energy &amp; Emission Units'!E20/'Production Units'!G19,"NA")</f>
        <v>531.56748938197234</v>
      </c>
      <c r="F21" s="158">
        <f>IFERROR('Energy &amp; Emission Units'!F20/'Production Units'!L19,"NA")</f>
        <v>17.50998286979079</v>
      </c>
      <c r="I21">
        <f>IFERROR('Energy &amp; Emission Units'!R20/'Production Units'!I19, "NA")</f>
        <v>1.3002161121401601E-2</v>
      </c>
      <c r="J21">
        <f>IFERROR('Energy &amp; Emission Units'!S20/'Production Units'!C19,"NA")</f>
        <v>0.9120189709771771</v>
      </c>
      <c r="K21" s="157">
        <f>IFERROR('Energy &amp; Emission Units'!T20/'Production Units'!G19,"NA")</f>
        <v>33.78178874241658</v>
      </c>
      <c r="L21">
        <f>IFERROR('Energy &amp; Emission Units'!U20/'Production Units'!L19,"NA")</f>
        <v>0.77504665689932273</v>
      </c>
      <c r="N21">
        <f>'Energy &amp; Emission Units'!V20/'Production Units'!O18</f>
        <v>1.9373114362301438E-4</v>
      </c>
    </row>
    <row r="22" spans="1:14" x14ac:dyDescent="0.25">
      <c r="A22">
        <v>2003</v>
      </c>
      <c r="E22">
        <f>IFERROR('Energy &amp; Emission Units'!E21/'Production Units'!G20,"NA")</f>
        <v>559.14594032772334</v>
      </c>
      <c r="F22" s="158" t="str">
        <f>IFERROR('Energy &amp; Emission Units'!F21/'Production Units'!L20,"NA")</f>
        <v>NA</v>
      </c>
      <c r="I22">
        <f>IFERROR('Energy &amp; Emission Units'!R21/'Production Units'!I20, "NA")</f>
        <v>1.2376241838145322E-2</v>
      </c>
      <c r="J22">
        <f>IFERROR('Energy &amp; Emission Units'!S21/'Production Units'!C20,"NA")</f>
        <v>0.91096067109040202</v>
      </c>
      <c r="K22" s="157">
        <f>IFERROR('Energy &amp; Emission Units'!T21/'Production Units'!G20,"NA")</f>
        <v>36.205899411614155</v>
      </c>
      <c r="L22" t="str">
        <f>IFERROR('Energy &amp; Emission Units'!U21/'Production Units'!L20,"NA")</f>
        <v>NA</v>
      </c>
      <c r="N22">
        <f>'Energy &amp; Emission Units'!V21/'Production Units'!O19</f>
        <v>2.0483431173919496E-4</v>
      </c>
    </row>
    <row r="23" spans="1:14" x14ac:dyDescent="0.25">
      <c r="A23">
        <v>2004</v>
      </c>
      <c r="E23">
        <f>IFERROR('Energy &amp; Emission Units'!E22/'Production Units'!G21,"NA")</f>
        <v>552.45884280536848</v>
      </c>
      <c r="F23" s="158" t="str">
        <f>IFERROR('Energy &amp; Emission Units'!F22/'Production Units'!L21,"NA")</f>
        <v>NA</v>
      </c>
      <c r="I23">
        <f>IFERROR('Energy &amp; Emission Units'!R22/'Production Units'!I21, "NA")</f>
        <v>1.2662996534943198E-2</v>
      </c>
      <c r="J23">
        <f>IFERROR('Energy &amp; Emission Units'!S22/'Production Units'!C21,"NA")</f>
        <v>0.89343729153485218</v>
      </c>
      <c r="K23" s="157">
        <f>IFERROR('Energy &amp; Emission Units'!T22/'Production Units'!G21,"NA")</f>
        <v>36.038238365006741</v>
      </c>
      <c r="L23" t="str">
        <f>IFERROR('Energy &amp; Emission Units'!U22/'Production Units'!L21,"NA")</f>
        <v>NA</v>
      </c>
      <c r="N23">
        <f>'Energy &amp; Emission Units'!V22/'Production Units'!O20</f>
        <v>2.0575056841554615E-4</v>
      </c>
    </row>
    <row r="24" spans="1:14" x14ac:dyDescent="0.25">
      <c r="A24">
        <v>2005</v>
      </c>
      <c r="E24">
        <f>IFERROR('Energy &amp; Emission Units'!E23/'Production Units'!G22,"NA")</f>
        <v>562.6383157076134</v>
      </c>
      <c r="F24" s="158" t="str">
        <f>IFERROR('Energy &amp; Emission Units'!F23/'Production Units'!L22,"NA")</f>
        <v>NA</v>
      </c>
      <c r="I24">
        <f>IFERROR('Energy &amp; Emission Units'!R23/'Production Units'!I22, "NA")</f>
        <v>1.2932733216000476E-2</v>
      </c>
      <c r="J24">
        <f>IFERROR('Energy &amp; Emission Units'!S23/'Production Units'!C22,"NA")</f>
        <v>0.89142301965174853</v>
      </c>
      <c r="K24" s="157">
        <f>IFERROR('Energy &amp; Emission Units'!T23/'Production Units'!G22,"NA")</f>
        <v>36.775652185229873</v>
      </c>
      <c r="L24" t="str">
        <f>IFERROR('Energy &amp; Emission Units'!U23/'Production Units'!L22,"NA")</f>
        <v>NA</v>
      </c>
      <c r="N24">
        <f>'Energy &amp; Emission Units'!V23/'Production Units'!O21</f>
        <v>2.0344502958561265E-4</v>
      </c>
    </row>
    <row r="25" spans="1:14" x14ac:dyDescent="0.25">
      <c r="A25">
        <v>2006</v>
      </c>
      <c r="D25">
        <f>'MECS Iron &amp; Steel Intensity'!D16</f>
        <v>13</v>
      </c>
      <c r="E25">
        <f>IFERROR('Energy &amp; Emission Units'!E24/'Production Units'!G23,"NA")</f>
        <v>693.37112265813482</v>
      </c>
      <c r="F25" s="158">
        <f>IFERROR('Energy &amp; Emission Units'!F24/'Production Units'!L23,"NA")</f>
        <v>17.610086534636487</v>
      </c>
      <c r="I25">
        <f>IFERROR('Energy &amp; Emission Units'!R24/'Production Units'!I23, "NA")</f>
        <v>1.3130445243542663E-2</v>
      </c>
      <c r="J25">
        <f>IFERROR('Energy &amp; Emission Units'!S24/'Production Units'!C23,"NA")</f>
        <v>1.0388635415351213</v>
      </c>
      <c r="K25" s="157">
        <f>IFERROR('Energy &amp; Emission Units'!T24/'Production Units'!G23,"NA")</f>
        <v>44.157069875734877</v>
      </c>
      <c r="L25">
        <f>IFERROR('Energy &amp; Emission Units'!U24/'Production Units'!L23,"NA")</f>
        <v>0.80432015992719352</v>
      </c>
      <c r="N25">
        <f>'Energy &amp; Emission Units'!V24/'Production Units'!O22</f>
        <v>2.2691736613357578E-4</v>
      </c>
    </row>
    <row r="26" spans="1:14" x14ac:dyDescent="0.25">
      <c r="A26">
        <v>2007</v>
      </c>
      <c r="E26">
        <f>IFERROR('Energy &amp; Emission Units'!E25/'Production Units'!G24,"NA")</f>
        <v>714.57976907718876</v>
      </c>
      <c r="F26" s="158" t="str">
        <f>IFERROR('Energy &amp; Emission Units'!F25/'Production Units'!L24,"NA")</f>
        <v>NA</v>
      </c>
      <c r="I26">
        <f>IFERROR('Energy &amp; Emission Units'!R25/'Production Units'!I24, "NA")</f>
        <v>1.0661725812349834E-2</v>
      </c>
      <c r="J26">
        <f>IFERROR('Energy &amp; Emission Units'!S25/'Production Units'!C24,"NA")</f>
        <v>1.0219127791268454</v>
      </c>
      <c r="K26" s="157">
        <f>IFERROR('Energy &amp; Emission Units'!T25/'Production Units'!G24,"NA")</f>
        <v>44.599152652686165</v>
      </c>
      <c r="L26" t="str">
        <f>IFERROR('Energy &amp; Emission Units'!U25/'Production Units'!L24,"NA")</f>
        <v>NA</v>
      </c>
      <c r="N26">
        <f>'Energy &amp; Emission Units'!V25/'Production Units'!O23</f>
        <v>2.2353491301449669E-4</v>
      </c>
    </row>
    <row r="27" spans="1:14" x14ac:dyDescent="0.25">
      <c r="A27">
        <v>2008</v>
      </c>
      <c r="E27">
        <f>IFERROR('Energy &amp; Emission Units'!E26/'Production Units'!G25,"NA")</f>
        <v>859.95253342108936</v>
      </c>
      <c r="F27" s="158" t="str">
        <f>IFERROR('Energy &amp; Emission Units'!F26/'Production Units'!L25,"NA")</f>
        <v>NA</v>
      </c>
      <c r="I27">
        <f>IFERROR('Energy &amp; Emission Units'!R26/'Production Units'!I25, "NA")</f>
        <v>1.0545877380517894E-2</v>
      </c>
      <c r="J27">
        <f>IFERROR('Energy &amp; Emission Units'!S26/'Production Units'!C25,"NA")</f>
        <v>1.0808706587287262</v>
      </c>
      <c r="K27" s="157">
        <f>IFERROR('Energy &amp; Emission Units'!T26/'Production Units'!G25,"NA")</f>
        <v>48.078154089026697</v>
      </c>
      <c r="L27" t="str">
        <f>IFERROR('Energy &amp; Emission Units'!U26/'Production Units'!L25,"NA")</f>
        <v>NA</v>
      </c>
      <c r="N27">
        <f>'Energy &amp; Emission Units'!V26/'Production Units'!O24</f>
        <v>2.1163247724039858E-4</v>
      </c>
    </row>
    <row r="28" spans="1:14" x14ac:dyDescent="0.25">
      <c r="A28">
        <v>2009</v>
      </c>
      <c r="E28">
        <f>IFERROR('Energy &amp; Emission Units'!E27/'Production Units'!G26,"NA")</f>
        <v>689.64006709262605</v>
      </c>
      <c r="F28" s="158" t="str">
        <f>IFERROR('Energy &amp; Emission Units'!F27/'Production Units'!L26,"NA")</f>
        <v>NA</v>
      </c>
      <c r="I28">
        <f>IFERROR('Energy &amp; Emission Units'!R27/'Production Units'!I26, "NA")</f>
        <v>9.2400401740877144E-3</v>
      </c>
      <c r="J28">
        <f>IFERROR('Energy &amp; Emission Units'!S27/'Production Units'!C26,"NA")</f>
        <v>1.1721938775510203</v>
      </c>
      <c r="K28" s="157">
        <f>IFERROR('Energy &amp; Emission Units'!T27/'Production Units'!G26,"NA")</f>
        <v>38.094118737090305</v>
      </c>
      <c r="L28" t="str">
        <f>IFERROR('Energy &amp; Emission Units'!U27/'Production Units'!L26,"NA")</f>
        <v>NA</v>
      </c>
      <c r="N28">
        <f>'Energy &amp; Emission Units'!V27/'Production Units'!O25</f>
        <v>1.2872513540426977E-4</v>
      </c>
    </row>
    <row r="29" spans="1:14" x14ac:dyDescent="0.25">
      <c r="A29">
        <v>2010</v>
      </c>
      <c r="E29">
        <f>IFERROR('Energy &amp; Emission Units'!E28/'Production Units'!G27,"NA")</f>
        <v>678.16199723539683</v>
      </c>
      <c r="F29" s="158" t="str">
        <f>IFERROR('Energy &amp; Emission Units'!F28/'Production Units'!L27,"NA")</f>
        <v>NA</v>
      </c>
      <c r="I29">
        <f>IFERROR('Energy &amp; Emission Units'!R28/'Production Units'!I27, "NA")</f>
        <v>1.0383064516129031E-2</v>
      </c>
      <c r="J29">
        <f>IFERROR('Energy &amp; Emission Units'!S28/'Production Units'!C27,"NA")</f>
        <v>1.0876048462255359</v>
      </c>
      <c r="K29" s="157">
        <f>IFERROR('Energy &amp; Emission Units'!T28/'Production Units'!G27,"NA")</f>
        <v>36.855255000479062</v>
      </c>
      <c r="L29" t="str">
        <f>IFERROR('Energy &amp; Emission Units'!U28/'Production Units'!L27,"NA")</f>
        <v>NA</v>
      </c>
      <c r="N29">
        <f>'Energy &amp; Emission Units'!V28/'Production Units'!O26</f>
        <v>1.7496649358481493E-4</v>
      </c>
    </row>
    <row r="30" spans="1:14" x14ac:dyDescent="0.25">
      <c r="A30">
        <v>2011</v>
      </c>
      <c r="E30" t="str">
        <f>IFERROR('Energy &amp; Emission Units'!E29/'Production Units'!G28,"NA")</f>
        <v>NA</v>
      </c>
      <c r="F30" s="158" t="str">
        <f>IFERROR('Energy &amp; Emission Units'!F29/'Production Units'!L28,"NA")</f>
        <v>NA</v>
      </c>
      <c r="I30">
        <f>IFERROR('Energy &amp; Emission Units'!R29/'Production Units'!I28, "NA")</f>
        <v>8.9504373177842558E-3</v>
      </c>
      <c r="J30">
        <f>IFERROR('Energy &amp; Emission Units'!S29/'Production Units'!C28,"NA")</f>
        <v>1.0973913043478261</v>
      </c>
      <c r="K30" s="157" t="str">
        <f>IFERROR('Energy &amp; Emission Units'!T29/'Production Units'!G28,"NA")</f>
        <v>NA</v>
      </c>
      <c r="L30" t="str">
        <f>IFERROR('Energy &amp; Emission Units'!U29/'Production Units'!L28,"NA")</f>
        <v>NA</v>
      </c>
      <c r="N30">
        <f>'Energy &amp; Emission Units'!V29/'Production Units'!O27</f>
        <v>1.6557996561640905E-4</v>
      </c>
    </row>
    <row r="31" spans="1:14" x14ac:dyDescent="0.25">
      <c r="A31">
        <v>2012</v>
      </c>
      <c r="E31" t="str">
        <f>IFERROR('Energy &amp; Emission Units'!E30/'Production Units'!G29,"NA")</f>
        <v>NA</v>
      </c>
      <c r="F31" s="158" t="str">
        <f>IFERROR('Energy &amp; Emission Units'!F30/'Production Units'!L29,"NA")</f>
        <v>NA</v>
      </c>
      <c r="I31" t="str">
        <f>IFERROR('Energy &amp; Emission Units'!R30/'Production Units'!I29, "NA")</f>
        <v>NA</v>
      </c>
      <c r="J31" t="str">
        <f>IFERROR('Energy &amp; Emission Units'!S30/'Production Units'!C29,"NA")</f>
        <v>NA</v>
      </c>
      <c r="K31" s="157" t="str">
        <f>IFERROR('Energy &amp; Emission Units'!T30/'Production Units'!G29,"NA")</f>
        <v>NA</v>
      </c>
      <c r="L31" t="str">
        <f>IFERROR('Energy &amp; Emission Units'!U30/'Production Units'!L29,"NA")</f>
        <v>NA</v>
      </c>
      <c r="N31" t="s">
        <v>112</v>
      </c>
    </row>
    <row r="33" spans="1:24" x14ac:dyDescent="0.25">
      <c r="B33" t="s">
        <v>258</v>
      </c>
      <c r="I33" t="s">
        <v>254</v>
      </c>
      <c r="R33" t="s">
        <v>259</v>
      </c>
    </row>
    <row r="34" spans="1:24" x14ac:dyDescent="0.25">
      <c r="C34" t="s">
        <v>3</v>
      </c>
      <c r="D34" t="s">
        <v>1</v>
      </c>
      <c r="E34" t="s">
        <v>192</v>
      </c>
      <c r="F34" t="s">
        <v>4</v>
      </c>
      <c r="S34" t="s">
        <v>3</v>
      </c>
      <c r="T34" t="s">
        <v>1</v>
      </c>
      <c r="U34" t="s">
        <v>192</v>
      </c>
      <c r="V34" t="s">
        <v>4</v>
      </c>
      <c r="W34" t="s">
        <v>256</v>
      </c>
      <c r="X34" t="s">
        <v>260</v>
      </c>
    </row>
    <row r="35" spans="1:24" x14ac:dyDescent="0.25">
      <c r="A35">
        <v>1985</v>
      </c>
      <c r="D35">
        <f>IF(D4/$D$4&lt;&gt;0, D4/$D$4, "NA")</f>
        <v>1</v>
      </c>
      <c r="E35">
        <f>IFERROR(IF(E4/E$4&lt;&gt;0, E4/E$4, "NA"),"NA")</f>
        <v>1</v>
      </c>
      <c r="F35">
        <f t="shared" ref="F35:F62" si="0">IFERROR(IF(F4/F$4&lt;&gt;0, F4/F$4, "NA"),"NA")</f>
        <v>1</v>
      </c>
      <c r="Q35">
        <v>1985</v>
      </c>
      <c r="S35" t="s">
        <v>112</v>
      </c>
      <c r="T35">
        <f t="shared" ref="T35:T48" si="1">D35</f>
        <v>1</v>
      </c>
      <c r="U35">
        <f t="shared" ref="U35:U48" si="2">E35</f>
        <v>1</v>
      </c>
      <c r="V35">
        <f t="shared" ref="V35:V48" si="3">F35</f>
        <v>1</v>
      </c>
      <c r="W35" t="s">
        <v>112</v>
      </c>
      <c r="X35" t="s">
        <v>261</v>
      </c>
    </row>
    <row r="36" spans="1:24" x14ac:dyDescent="0.25">
      <c r="A36">
        <v>1986</v>
      </c>
      <c r="D36" t="str">
        <f>IF(D5/$D$4&lt;&gt;0, D5/$D$4, "NA")</f>
        <v>NA</v>
      </c>
      <c r="E36" t="str">
        <f t="shared" ref="E36:F36" si="4">IFERROR(IF(E5/E$4&lt;&gt;0, E5/E$4, "NA"),"NA")</f>
        <v>NA</v>
      </c>
      <c r="F36" t="str">
        <f t="shared" si="0"/>
        <v>NA</v>
      </c>
      <c r="Q36">
        <v>1986</v>
      </c>
      <c r="S36" t="s">
        <v>112</v>
      </c>
      <c r="T36" t="str">
        <f t="shared" si="1"/>
        <v>NA</v>
      </c>
      <c r="U36" t="str">
        <f t="shared" si="2"/>
        <v>NA</v>
      </c>
      <c r="V36" t="str">
        <f t="shared" si="3"/>
        <v>NA</v>
      </c>
      <c r="W36" t="s">
        <v>112</v>
      </c>
      <c r="X36" t="s">
        <v>261</v>
      </c>
    </row>
    <row r="37" spans="1:24" x14ac:dyDescent="0.25">
      <c r="A37">
        <v>1987</v>
      </c>
      <c r="D37" t="str">
        <f t="shared" ref="D37:F62" si="5">IF(D6/$D$4&lt;&gt;0, D6/$D$4, "NA")</f>
        <v>NA</v>
      </c>
      <c r="E37" t="str">
        <f t="shared" ref="E37:F37" si="6">IFERROR(IF(E6/E$4&lt;&gt;0, E6/E$4, "NA"),"NA")</f>
        <v>NA</v>
      </c>
      <c r="F37" t="str">
        <f t="shared" si="0"/>
        <v>NA</v>
      </c>
      <c r="Q37">
        <v>1987</v>
      </c>
      <c r="S37" t="s">
        <v>112</v>
      </c>
      <c r="T37" t="str">
        <f t="shared" si="1"/>
        <v>NA</v>
      </c>
      <c r="U37" t="str">
        <f t="shared" si="2"/>
        <v>NA</v>
      </c>
      <c r="V37" t="str">
        <f t="shared" si="3"/>
        <v>NA</v>
      </c>
      <c r="W37" t="s">
        <v>112</v>
      </c>
      <c r="X37" t="s">
        <v>261</v>
      </c>
    </row>
    <row r="38" spans="1:24" x14ac:dyDescent="0.25">
      <c r="A38">
        <v>1988</v>
      </c>
      <c r="D38">
        <f t="shared" si="5"/>
        <v>0.90416470711187757</v>
      </c>
      <c r="E38">
        <f t="shared" ref="E38:F38" si="7">IFERROR(IF(E7/E$4&lt;&gt;0, E7/E$4, "NA"),"NA")</f>
        <v>1.0430048136310954</v>
      </c>
      <c r="F38">
        <f t="shared" si="0"/>
        <v>0.89682228901675842</v>
      </c>
      <c r="Q38">
        <v>1988</v>
      </c>
      <c r="S38" t="s">
        <v>112</v>
      </c>
      <c r="T38">
        <f t="shared" si="1"/>
        <v>0.90416470711187757</v>
      </c>
      <c r="U38">
        <f t="shared" si="2"/>
        <v>1.0430048136310954</v>
      </c>
      <c r="V38">
        <f t="shared" si="3"/>
        <v>0.89682228901675842</v>
      </c>
      <c r="W38" t="s">
        <v>112</v>
      </c>
      <c r="X38" t="s">
        <v>261</v>
      </c>
    </row>
    <row r="39" spans="1:24" x14ac:dyDescent="0.25">
      <c r="A39">
        <v>1989</v>
      </c>
      <c r="D39" t="str">
        <f t="shared" si="5"/>
        <v>NA</v>
      </c>
      <c r="E39" t="str">
        <f t="shared" ref="E39:F39" si="8">IFERROR(IF(E8/E$4&lt;&gt;0, E8/E$4, "NA"),"NA")</f>
        <v>NA</v>
      </c>
      <c r="F39" t="str">
        <f t="shared" si="0"/>
        <v>NA</v>
      </c>
      <c r="Q39">
        <v>1989</v>
      </c>
      <c r="S39" t="s">
        <v>112</v>
      </c>
      <c r="T39" t="str">
        <f t="shared" si="1"/>
        <v>NA</v>
      </c>
      <c r="U39" t="str">
        <f t="shared" si="2"/>
        <v>NA</v>
      </c>
      <c r="V39" t="str">
        <f t="shared" si="3"/>
        <v>NA</v>
      </c>
      <c r="W39" t="s">
        <v>112</v>
      </c>
      <c r="X39" t="s">
        <v>261</v>
      </c>
    </row>
    <row r="40" spans="1:24" x14ac:dyDescent="0.25">
      <c r="A40">
        <v>1990</v>
      </c>
      <c r="D40" t="str">
        <f t="shared" si="5"/>
        <v>NA</v>
      </c>
      <c r="E40" t="str">
        <f t="shared" ref="E40:F40" si="9">IFERROR(IF(E9/E$4&lt;&gt;0, E9/E$4, "NA"),"NA")</f>
        <v>NA</v>
      </c>
      <c r="F40" t="str">
        <f t="shared" si="0"/>
        <v>NA</v>
      </c>
      <c r="Q40">
        <v>1990</v>
      </c>
      <c r="S40" t="s">
        <v>112</v>
      </c>
      <c r="T40" t="str">
        <f t="shared" si="1"/>
        <v>NA</v>
      </c>
      <c r="U40" t="str">
        <f t="shared" si="2"/>
        <v>NA</v>
      </c>
      <c r="V40" t="str">
        <f t="shared" si="3"/>
        <v>NA</v>
      </c>
      <c r="W40" t="s">
        <v>112</v>
      </c>
      <c r="X40" t="s">
        <v>261</v>
      </c>
    </row>
    <row r="41" spans="1:24" x14ac:dyDescent="0.25">
      <c r="A41">
        <v>1991</v>
      </c>
      <c r="D41">
        <f t="shared" si="5"/>
        <v>0.84715472644615142</v>
      </c>
      <c r="E41">
        <f t="shared" ref="E41:F41" si="10">IFERROR(IF(E10/E$4&lt;&gt;0, E10/E$4, "NA"),"NA")</f>
        <v>1.0355993839479189</v>
      </c>
      <c r="F41">
        <f t="shared" si="0"/>
        <v>0.98009588482591925</v>
      </c>
      <c r="Q41">
        <v>1991</v>
      </c>
      <c r="S41" t="s">
        <v>112</v>
      </c>
      <c r="T41">
        <f t="shared" si="1"/>
        <v>0.84715472644615142</v>
      </c>
      <c r="U41">
        <f t="shared" si="2"/>
        <v>1.0355993839479189</v>
      </c>
      <c r="V41">
        <f t="shared" si="3"/>
        <v>0.98009588482591925</v>
      </c>
      <c r="W41" t="s">
        <v>112</v>
      </c>
      <c r="X41" t="s">
        <v>261</v>
      </c>
    </row>
    <row r="42" spans="1:24" x14ac:dyDescent="0.25">
      <c r="A42">
        <v>1992</v>
      </c>
      <c r="D42" t="str">
        <f t="shared" si="5"/>
        <v>NA</v>
      </c>
      <c r="E42" t="str">
        <f t="shared" ref="E42:F42" si="11">IFERROR(IF(E11/E$4&lt;&gt;0, E11/E$4, "NA"),"NA")</f>
        <v>NA</v>
      </c>
      <c r="F42" t="str">
        <f t="shared" si="0"/>
        <v>NA</v>
      </c>
      <c r="Q42">
        <v>1992</v>
      </c>
      <c r="S42" t="s">
        <v>112</v>
      </c>
      <c r="T42" t="str">
        <f t="shared" si="1"/>
        <v>NA</v>
      </c>
      <c r="U42" t="str">
        <f t="shared" si="2"/>
        <v>NA</v>
      </c>
      <c r="V42" t="str">
        <f t="shared" si="3"/>
        <v>NA</v>
      </c>
      <c r="W42" t="s">
        <v>112</v>
      </c>
      <c r="X42" t="s">
        <v>261</v>
      </c>
    </row>
    <row r="43" spans="1:24" x14ac:dyDescent="0.25">
      <c r="A43">
        <v>1993</v>
      </c>
      <c r="D43" t="str">
        <f t="shared" si="5"/>
        <v>NA</v>
      </c>
      <c r="E43" t="str">
        <f t="shared" ref="E43:F43" si="12">IFERROR(IF(E12/E$4&lt;&gt;0, E12/E$4, "NA"),"NA")</f>
        <v>NA</v>
      </c>
      <c r="F43" t="str">
        <f t="shared" si="0"/>
        <v>NA</v>
      </c>
      <c r="Q43">
        <v>1993</v>
      </c>
      <c r="S43" t="s">
        <v>112</v>
      </c>
      <c r="T43" t="str">
        <f t="shared" si="1"/>
        <v>NA</v>
      </c>
      <c r="U43" t="str">
        <f t="shared" si="2"/>
        <v>NA</v>
      </c>
      <c r="V43" t="str">
        <f t="shared" si="3"/>
        <v>NA</v>
      </c>
      <c r="W43" t="s">
        <v>112</v>
      </c>
      <c r="X43" t="s">
        <v>261</v>
      </c>
    </row>
    <row r="44" spans="1:24" x14ac:dyDescent="0.25">
      <c r="A44">
        <v>1994</v>
      </c>
      <c r="D44">
        <f t="shared" si="5"/>
        <v>0.8567173538172127</v>
      </c>
      <c r="E44">
        <f t="shared" ref="E44:F44" si="13">IFERROR(IF(E13/E$4&lt;&gt;0, E13/E$4, "NA"),"NA")</f>
        <v>1.0667438225991321</v>
      </c>
      <c r="F44">
        <f t="shared" si="0"/>
        <v>0.92556830482333685</v>
      </c>
      <c r="Q44">
        <v>1994</v>
      </c>
      <c r="S44" t="s">
        <v>112</v>
      </c>
      <c r="T44">
        <f t="shared" si="1"/>
        <v>0.8567173538172127</v>
      </c>
      <c r="U44">
        <f t="shared" si="2"/>
        <v>1.0667438225991321</v>
      </c>
      <c r="V44">
        <f t="shared" si="3"/>
        <v>0.92556830482333685</v>
      </c>
      <c r="W44" t="s">
        <v>112</v>
      </c>
      <c r="X44" t="s">
        <v>261</v>
      </c>
    </row>
    <row r="45" spans="1:24" x14ac:dyDescent="0.25">
      <c r="A45">
        <v>1995</v>
      </c>
      <c r="D45" t="str">
        <f t="shared" si="5"/>
        <v>NA</v>
      </c>
      <c r="E45" t="str">
        <f t="shared" ref="E45:F45" si="14">IFERROR(IF(E14/E$4&lt;&gt;0, E14/E$4, "NA"),"NA")</f>
        <v>NA</v>
      </c>
      <c r="F45" t="str">
        <f t="shared" si="0"/>
        <v>NA</v>
      </c>
      <c r="Q45">
        <v>1995</v>
      </c>
      <c r="S45" t="s">
        <v>112</v>
      </c>
      <c r="T45" t="str">
        <f t="shared" si="1"/>
        <v>NA</v>
      </c>
      <c r="U45" t="str">
        <f t="shared" si="2"/>
        <v>NA</v>
      </c>
      <c r="V45" t="str">
        <f t="shared" si="3"/>
        <v>NA</v>
      </c>
      <c r="W45" t="s">
        <v>112</v>
      </c>
      <c r="X45" t="s">
        <v>261</v>
      </c>
    </row>
    <row r="46" spans="1:24" x14ac:dyDescent="0.25">
      <c r="A46">
        <v>1996</v>
      </c>
      <c r="D46" t="str">
        <f t="shared" si="5"/>
        <v>NA</v>
      </c>
      <c r="E46" t="str">
        <f t="shared" ref="E46:F46" si="15">IFERROR(IF(E15/E$4&lt;&gt;0, E15/E$4, "NA"),"NA")</f>
        <v>NA</v>
      </c>
      <c r="F46" t="str">
        <f t="shared" si="0"/>
        <v>NA</v>
      </c>
      <c r="Q46">
        <v>1996</v>
      </c>
      <c r="S46" t="s">
        <v>112</v>
      </c>
      <c r="T46" t="str">
        <f t="shared" si="1"/>
        <v>NA</v>
      </c>
      <c r="U46" t="str">
        <f t="shared" si="2"/>
        <v>NA</v>
      </c>
      <c r="V46" t="str">
        <f t="shared" si="3"/>
        <v>NA</v>
      </c>
      <c r="W46" t="s">
        <v>112</v>
      </c>
      <c r="X46" t="s">
        <v>261</v>
      </c>
    </row>
    <row r="47" spans="1:24" x14ac:dyDescent="0.25">
      <c r="A47">
        <v>1997</v>
      </c>
      <c r="D47" t="str">
        <f t="shared" si="5"/>
        <v>NA</v>
      </c>
      <c r="E47" t="str">
        <f t="shared" ref="E47:F47" si="16">IFERROR(IF(E16/E$4&lt;&gt;0, E16/E$4, "NA"),"NA")</f>
        <v>NA</v>
      </c>
      <c r="F47" t="str">
        <f t="shared" si="0"/>
        <v>NA</v>
      </c>
      <c r="Q47">
        <v>1997</v>
      </c>
      <c r="S47" t="s">
        <v>112</v>
      </c>
      <c r="T47" t="str">
        <f t="shared" si="1"/>
        <v>NA</v>
      </c>
      <c r="U47" t="str">
        <f t="shared" si="2"/>
        <v>NA</v>
      </c>
      <c r="V47" t="str">
        <f t="shared" si="3"/>
        <v>NA</v>
      </c>
      <c r="W47" t="s">
        <v>112</v>
      </c>
      <c r="X47" t="s">
        <v>261</v>
      </c>
    </row>
    <row r="48" spans="1:24" x14ac:dyDescent="0.25">
      <c r="A48">
        <v>1998</v>
      </c>
      <c r="D48">
        <f t="shared" si="5"/>
        <v>0.8883315044155301</v>
      </c>
      <c r="E48">
        <f t="shared" ref="E48:F48" si="17">IFERROR(IF(E17/E$4&lt;&gt;0, E17/E$4, "NA"),"NA")</f>
        <v>1.1364874681793746</v>
      </c>
      <c r="F48">
        <f t="shared" si="0"/>
        <v>0.95827989757453724</v>
      </c>
      <c r="Q48">
        <v>1998</v>
      </c>
      <c r="S48" t="s">
        <v>112</v>
      </c>
      <c r="T48">
        <f t="shared" si="1"/>
        <v>0.8883315044155301</v>
      </c>
      <c r="U48">
        <f t="shared" si="2"/>
        <v>1.1364874681793746</v>
      </c>
      <c r="V48">
        <f t="shared" si="3"/>
        <v>0.95827989757453724</v>
      </c>
      <c r="W48" t="s">
        <v>112</v>
      </c>
      <c r="X48" t="s">
        <v>261</v>
      </c>
    </row>
    <row r="49" spans="1:24" x14ac:dyDescent="0.25">
      <c r="A49">
        <v>1999</v>
      </c>
      <c r="D49" t="str">
        <f t="shared" si="5"/>
        <v>NA</v>
      </c>
      <c r="E49">
        <f t="shared" ref="E49:F49" si="18">IFERROR(IF(E18/E$4&lt;&gt;0, E18/E$4, "NA"),"NA")</f>
        <v>0.45290428317618087</v>
      </c>
      <c r="F49" t="str">
        <f t="shared" si="0"/>
        <v>NA</v>
      </c>
      <c r="I49">
        <f>IFERROR(IF(I18/I$18&lt;&gt;0, I18/I$18, "NA"),"NA")</f>
        <v>1</v>
      </c>
      <c r="J49">
        <f t="shared" ref="J49:N49" si="19">IFERROR(IF(J18/J$18&lt;&gt;0, J18/J$18, "NA"),"NA")</f>
        <v>1</v>
      </c>
      <c r="K49">
        <f t="shared" si="19"/>
        <v>1</v>
      </c>
      <c r="L49">
        <f t="shared" si="19"/>
        <v>1</v>
      </c>
      <c r="N49">
        <f t="shared" ref="N49" si="20">IFERROR(IF(N18/N$18&lt;&gt;0, N18/N$18, "NA"),"NA")</f>
        <v>1</v>
      </c>
      <c r="Q49">
        <v>1999</v>
      </c>
      <c r="S49">
        <f>I49</f>
        <v>1</v>
      </c>
      <c r="T49">
        <f>I49*D$48</f>
        <v>0.8883315044155301</v>
      </c>
      <c r="U49">
        <f t="shared" ref="U49:U62" si="21">J49*E$48</f>
        <v>1.1364874681793746</v>
      </c>
      <c r="V49">
        <f t="shared" ref="V49:V62" si="22">K49*F$48</f>
        <v>0.95827989757453724</v>
      </c>
      <c r="W49">
        <f>N49</f>
        <v>1</v>
      </c>
      <c r="X49" s="158" t="s">
        <v>262</v>
      </c>
    </row>
    <row r="50" spans="1:24" x14ac:dyDescent="0.25">
      <c r="A50">
        <v>2000</v>
      </c>
      <c r="D50" t="str">
        <f t="shared" si="5"/>
        <v>NA</v>
      </c>
      <c r="E50">
        <f t="shared" ref="E50:F50" si="23">IFERROR(IF(E19/E$4&lt;&gt;0, E19/E$4, "NA"),"NA")</f>
        <v>0.45105150945317324</v>
      </c>
      <c r="F50" t="str">
        <f t="shared" si="0"/>
        <v>NA</v>
      </c>
      <c r="I50">
        <f t="shared" ref="I50:L50" si="24">IFERROR(IF(I19/I$18&lt;&gt;0, I19/I$18, "NA"),"NA")</f>
        <v>1.060544680442657</v>
      </c>
      <c r="J50">
        <f t="shared" si="24"/>
        <v>0.94434259716275637</v>
      </c>
      <c r="K50">
        <f t="shared" si="24"/>
        <v>0.99490337816544772</v>
      </c>
      <c r="L50" t="str">
        <f t="shared" si="24"/>
        <v>NA</v>
      </c>
      <c r="N50">
        <f t="shared" ref="N50" si="25">IFERROR(IF(N19/N$18&lt;&gt;0, N19/N$18, "NA"),"NA")</f>
        <v>0.98909143307955683</v>
      </c>
      <c r="Q50">
        <v>2000</v>
      </c>
      <c r="S50">
        <f t="shared" ref="S50:S62" si="26">I50</f>
        <v>1.060544680442657</v>
      </c>
      <c r="T50">
        <f t="shared" ref="T50:T62" si="27">I50*D$48</f>
        <v>0.94211525147751318</v>
      </c>
      <c r="U50">
        <f t="shared" si="21"/>
        <v>1.0732335273434361</v>
      </c>
      <c r="V50">
        <f t="shared" si="22"/>
        <v>0.95339590732494628</v>
      </c>
      <c r="W50">
        <f t="shared" ref="W50:W62" si="28">N50</f>
        <v>0.98909143307955683</v>
      </c>
      <c r="X50" s="158" t="s">
        <v>262</v>
      </c>
    </row>
    <row r="51" spans="1:24" x14ac:dyDescent="0.25">
      <c r="A51">
        <v>2001</v>
      </c>
      <c r="D51" t="str">
        <f t="shared" si="5"/>
        <v>NA</v>
      </c>
      <c r="E51">
        <f t="shared" ref="E51:F51" si="29">IFERROR(IF(E20/E$4&lt;&gt;0, E20/E$4, "NA"),"NA")</f>
        <v>0.43663920786532651</v>
      </c>
      <c r="F51" t="str">
        <f t="shared" si="0"/>
        <v>NA</v>
      </c>
      <c r="I51">
        <f t="shared" ref="I51:L51" si="30">IFERROR(IF(I20/I$18&lt;&gt;0, I20/I$18, "NA"),"NA")</f>
        <v>1.4403527817038881</v>
      </c>
      <c r="J51">
        <f t="shared" si="30"/>
        <v>0.97672163161750447</v>
      </c>
      <c r="K51">
        <f t="shared" si="30"/>
        <v>0.97965038739233057</v>
      </c>
      <c r="L51" t="str">
        <f t="shared" si="30"/>
        <v>NA</v>
      </c>
      <c r="N51">
        <f t="shared" ref="N51" si="31">IFERROR(IF(N20/N$18&lt;&gt;0, N20/N$18, "NA"),"NA")</f>
        <v>0.82036759928344749</v>
      </c>
      <c r="Q51">
        <v>2001</v>
      </c>
      <c r="S51">
        <f t="shared" si="26"/>
        <v>1.4403527817038881</v>
      </c>
      <c r="T51">
        <f t="shared" si="27"/>
        <v>1.2795107534601087</v>
      </c>
      <c r="U51">
        <f t="shared" si="21"/>
        <v>1.1100318942330054</v>
      </c>
      <c r="V51">
        <f t="shared" si="22"/>
        <v>0.93877927288917828</v>
      </c>
      <c r="W51">
        <f t="shared" si="28"/>
        <v>0.82036759928344749</v>
      </c>
      <c r="X51" s="158" t="s">
        <v>262</v>
      </c>
    </row>
    <row r="52" spans="1:24" x14ac:dyDescent="0.25">
      <c r="A52">
        <v>2002</v>
      </c>
      <c r="D52">
        <f t="shared" si="5"/>
        <v>0.83607671003814599</v>
      </c>
      <c r="E52">
        <f t="shared" ref="E52:F52" si="32">IFERROR(IF(E21/E$4&lt;&gt;0, E21/E$4, "NA"),"NA")</f>
        <v>0.43753899310517852</v>
      </c>
      <c r="F52">
        <f t="shared" si="0"/>
        <v>0.90404543215843192</v>
      </c>
      <c r="I52">
        <f t="shared" ref="I52:L52" si="33">IFERROR(IF(I21/I$18&lt;&gt;0, I21/I$18, "NA"),"NA")</f>
        <v>1.3428407982280559</v>
      </c>
      <c r="J52">
        <f t="shared" si="33"/>
        <v>0.93587601272363485</v>
      </c>
      <c r="K52">
        <f t="shared" si="33"/>
        <v>0.9756402669016544</v>
      </c>
      <c r="L52">
        <f t="shared" si="33"/>
        <v>0.99214935692841821</v>
      </c>
      <c r="N52">
        <f t="shared" ref="N52" si="34">IFERROR(IF(N21/N$18&lt;&gt;0, N21/N$18, "NA"),"NA")</f>
        <v>0.79699556413658934</v>
      </c>
      <c r="Q52">
        <v>2002</v>
      </c>
      <c r="S52">
        <f t="shared" si="26"/>
        <v>1.3428407982280559</v>
      </c>
      <c r="T52">
        <f t="shared" si="27"/>
        <v>1.1928877864804803</v>
      </c>
      <c r="U52">
        <f t="shared" si="21"/>
        <v>1.0636113602300921</v>
      </c>
      <c r="V52">
        <f t="shared" si="22"/>
        <v>0.93493645503611156</v>
      </c>
      <c r="W52">
        <f t="shared" si="28"/>
        <v>0.79699556413658934</v>
      </c>
      <c r="X52" s="158" t="s">
        <v>262</v>
      </c>
    </row>
    <row r="53" spans="1:24" x14ac:dyDescent="0.25">
      <c r="A53">
        <v>2003</v>
      </c>
      <c r="D53" t="str">
        <f t="shared" si="5"/>
        <v>NA</v>
      </c>
      <c r="E53">
        <f t="shared" ref="E53:F53" si="35">IFERROR(IF(E22/E$4&lt;&gt;0, E22/E$4, "NA"),"NA")</f>
        <v>0.46023911660639893</v>
      </c>
      <c r="F53" t="str">
        <f t="shared" si="0"/>
        <v>NA</v>
      </c>
      <c r="I53">
        <f t="shared" ref="I53:L53" si="36">IFERROR(IF(I22/I$18&lt;&gt;0, I22/I$18, "NA"),"NA")</f>
        <v>1.2781969330962271</v>
      </c>
      <c r="J53">
        <f t="shared" si="36"/>
        <v>0.93479002930682087</v>
      </c>
      <c r="K53">
        <f t="shared" si="36"/>
        <v>1.0456501766293027</v>
      </c>
      <c r="L53" t="str">
        <f t="shared" si="36"/>
        <v>NA</v>
      </c>
      <c r="N53">
        <f t="shared" ref="N53" si="37">IFERROR(IF(N22/N$18&lt;&gt;0, N22/N$18, "NA"),"NA")</f>
        <v>0.84267317472086656</v>
      </c>
      <c r="Q53">
        <v>2003</v>
      </c>
      <c r="S53">
        <f t="shared" si="26"/>
        <v>1.2781969330962271</v>
      </c>
      <c r="T53">
        <f t="shared" si="27"/>
        <v>1.135462604516688</v>
      </c>
      <c r="U53">
        <f t="shared" si="21"/>
        <v>1.0623771536862323</v>
      </c>
      <c r="V53">
        <f t="shared" si="22"/>
        <v>1.002025544159125</v>
      </c>
      <c r="W53">
        <f t="shared" si="28"/>
        <v>0.84267317472086656</v>
      </c>
      <c r="X53" s="158" t="s">
        <v>262</v>
      </c>
    </row>
    <row r="54" spans="1:24" x14ac:dyDescent="0.25">
      <c r="A54">
        <v>2004</v>
      </c>
      <c r="D54" t="str">
        <f t="shared" si="5"/>
        <v>NA</v>
      </c>
      <c r="E54">
        <f t="shared" ref="E54:F54" si="38">IFERROR(IF(E23/E$4&lt;&gt;0, E23/E$4, "NA"),"NA")</f>
        <v>0.45473489376513931</v>
      </c>
      <c r="F54" t="str">
        <f t="shared" si="0"/>
        <v>NA</v>
      </c>
      <c r="I54">
        <f t="shared" ref="I54:L54" si="39">IFERROR(IF(I23/I$18&lt;&gt;0, I23/I$18, "NA"),"NA")</f>
        <v>1.30781246411052</v>
      </c>
      <c r="J54">
        <f t="shared" si="39"/>
        <v>0.91680826455216946</v>
      </c>
      <c r="K54">
        <f t="shared" si="39"/>
        <v>1.0408080153835402</v>
      </c>
      <c r="L54" t="str">
        <f t="shared" si="39"/>
        <v>NA</v>
      </c>
      <c r="N54">
        <f t="shared" ref="N54" si="40">IFERROR(IF(N23/N$18&lt;&gt;0, N23/N$18, "NA"),"NA")</f>
        <v>0.84644258676792206</v>
      </c>
      <c r="Q54">
        <v>2004</v>
      </c>
      <c r="S54">
        <f t="shared" si="26"/>
        <v>1.30781246411052</v>
      </c>
      <c r="T54">
        <f t="shared" si="27"/>
        <v>1.1617710137366797</v>
      </c>
      <c r="U54">
        <f t="shared" si="21"/>
        <v>1.0419411033868213</v>
      </c>
      <c r="V54">
        <f t="shared" si="22"/>
        <v>0.99738539837649631</v>
      </c>
      <c r="W54">
        <f t="shared" si="28"/>
        <v>0.84644258676792206</v>
      </c>
      <c r="X54" s="158" t="s">
        <v>262</v>
      </c>
    </row>
    <row r="55" spans="1:24" x14ac:dyDescent="0.25">
      <c r="A55">
        <v>2005</v>
      </c>
      <c r="D55" t="str">
        <f t="shared" si="5"/>
        <v>NA</v>
      </c>
      <c r="E55">
        <f t="shared" ref="E55:F55" si="41">IFERROR(IF(E24/E$4&lt;&gt;0, E24/E$4, "NA"),"NA")</f>
        <v>0.4631137288386839</v>
      </c>
      <c r="F55" t="str">
        <f t="shared" si="0"/>
        <v>NA</v>
      </c>
      <c r="I55">
        <f t="shared" ref="I55:L55" si="42">IFERROR(IF(I24/I$18&lt;&gt;0, I24/I$18, "NA"),"NA")</f>
        <v>1.335670403780729</v>
      </c>
      <c r="J55">
        <f t="shared" si="42"/>
        <v>0.91474130235238038</v>
      </c>
      <c r="K55">
        <f t="shared" si="42"/>
        <v>1.0621050112846517</v>
      </c>
      <c r="L55" t="str">
        <f t="shared" si="42"/>
        <v>NA</v>
      </c>
      <c r="N55">
        <f t="shared" ref="N55" si="43">IFERROR(IF(N24/N$18&lt;&gt;0, N24/N$18, "NA"),"NA")</f>
        <v>0.83695777092449064</v>
      </c>
      <c r="Q55">
        <v>2005</v>
      </c>
      <c r="S55">
        <f t="shared" si="26"/>
        <v>1.335670403780729</v>
      </c>
      <c r="T55">
        <f t="shared" si="27"/>
        <v>1.1865180991938336</v>
      </c>
      <c r="U55">
        <f t="shared" si="21"/>
        <v>1.0395920267495606</v>
      </c>
      <c r="V55">
        <f t="shared" si="22"/>
        <v>1.0177938814272587</v>
      </c>
      <c r="W55">
        <f t="shared" si="28"/>
        <v>0.83695777092449064</v>
      </c>
      <c r="X55" s="158" t="s">
        <v>262</v>
      </c>
    </row>
    <row r="56" spans="1:24" x14ac:dyDescent="0.25">
      <c r="A56">
        <v>2006</v>
      </c>
      <c r="D56">
        <f t="shared" si="5"/>
        <v>0.67931232690599364</v>
      </c>
      <c r="E56">
        <f t="shared" ref="E56:F56" si="44">IFERROR(IF(E25/E$4&lt;&gt;0, E25/E$4, "NA"),"NA")</f>
        <v>0.57072132686061949</v>
      </c>
      <c r="F56">
        <f t="shared" si="0"/>
        <v>0.90921381305400684</v>
      </c>
      <c r="I56">
        <f t="shared" ref="I56:L56" si="45">IFERROR(IF(I25/I$18&lt;&gt;0, I25/I$18, "NA"),"NA")</f>
        <v>1.3560897613325309</v>
      </c>
      <c r="J56">
        <f t="shared" si="45"/>
        <v>1.0660386460756786</v>
      </c>
      <c r="K56">
        <f t="shared" si="45"/>
        <v>1.2752852067026201</v>
      </c>
      <c r="L56">
        <f t="shared" si="45"/>
        <v>1.0296228263584228</v>
      </c>
      <c r="N56">
        <f t="shared" ref="N56" si="46">IFERROR(IF(N25/N$18&lt;&gt;0, N25/N$18, "NA"),"NA")</f>
        <v>0.93352122354649547</v>
      </c>
      <c r="Q56">
        <v>2006</v>
      </c>
      <c r="S56">
        <f t="shared" si="26"/>
        <v>1.3560897613325309</v>
      </c>
      <c r="T56">
        <f t="shared" si="27"/>
        <v>1.2046572578070243</v>
      </c>
      <c r="U56">
        <f t="shared" si="21"/>
        <v>1.2115395618599163</v>
      </c>
      <c r="V56">
        <f t="shared" si="22"/>
        <v>1.2220801772573093</v>
      </c>
      <c r="W56">
        <f t="shared" si="28"/>
        <v>0.93352122354649547</v>
      </c>
      <c r="X56" s="158" t="s">
        <v>262</v>
      </c>
    </row>
    <row r="57" spans="1:24" x14ac:dyDescent="0.25">
      <c r="A57">
        <v>2007</v>
      </c>
      <c r="D57" t="str">
        <f t="shared" si="5"/>
        <v>NA</v>
      </c>
      <c r="E57">
        <f t="shared" ref="E57:F57" si="47">IFERROR(IF(E26/E$4&lt;&gt;0, E26/E$4, "NA"),"NA")</f>
        <v>0.58817839484291012</v>
      </c>
      <c r="F57" t="str">
        <f t="shared" si="0"/>
        <v>NA</v>
      </c>
      <c r="I57">
        <f t="shared" ref="I57:L57" si="48">IFERROR(IF(I26/I$18&lt;&gt;0, I26/I$18, "NA"),"NA")</f>
        <v>1.1011246720192298</v>
      </c>
      <c r="J57">
        <f t="shared" si="48"/>
        <v>1.0486444772698633</v>
      </c>
      <c r="K57">
        <f t="shared" si="48"/>
        <v>1.2880528479245257</v>
      </c>
      <c r="L57" t="str">
        <f t="shared" si="48"/>
        <v>NA</v>
      </c>
      <c r="N57">
        <f t="shared" ref="N57" si="49">IFERROR(IF(N26/N$18&lt;&gt;0, N26/N$18, "NA"),"NA")</f>
        <v>0.91960606214605578</v>
      </c>
      <c r="Q57">
        <v>2007</v>
      </c>
      <c r="S57">
        <f t="shared" si="26"/>
        <v>1.1011246720192298</v>
      </c>
      <c r="T57">
        <f t="shared" si="27"/>
        <v>0.97816373644389953</v>
      </c>
      <c r="U57">
        <f t="shared" si="21"/>
        <v>1.1917713069927107</v>
      </c>
      <c r="V57">
        <f t="shared" si="22"/>
        <v>1.2343151511797055</v>
      </c>
      <c r="W57">
        <f t="shared" si="28"/>
        <v>0.91960606214605578</v>
      </c>
      <c r="X57" s="158" t="s">
        <v>262</v>
      </c>
    </row>
    <row r="58" spans="1:24" x14ac:dyDescent="0.25">
      <c r="A58">
        <v>2008</v>
      </c>
      <c r="D58" t="str">
        <f t="shared" si="5"/>
        <v>NA</v>
      </c>
      <c r="E58">
        <f t="shared" ref="E58:F58" si="50">IFERROR(IF(E27/E$4&lt;&gt;0, E27/E$4, "NA"),"NA")</f>
        <v>0.70783630132981468</v>
      </c>
      <c r="F58" t="str">
        <f t="shared" si="0"/>
        <v>NA</v>
      </c>
      <c r="I58">
        <f t="shared" ref="I58:L58" si="51">IFERROR(IF(I27/I$18&lt;&gt;0, I27/I$18, "NA"),"NA")</f>
        <v>1.0891600455835053</v>
      </c>
      <c r="J58">
        <f t="shared" si="51"/>
        <v>1.1091446061447365</v>
      </c>
      <c r="K58">
        <f t="shared" si="51"/>
        <v>1.3885286964884791</v>
      </c>
      <c r="L58" t="str">
        <f t="shared" si="51"/>
        <v>NA</v>
      </c>
      <c r="N58">
        <f t="shared" ref="N58" si="52">IFERROR(IF(N27/N$18&lt;&gt;0, N27/N$18, "NA"),"NA")</f>
        <v>0.87064032366450206</v>
      </c>
      <c r="Q58">
        <v>2008</v>
      </c>
      <c r="S58">
        <f t="shared" si="26"/>
        <v>1.0891600455835053</v>
      </c>
      <c r="T58">
        <f t="shared" si="27"/>
        <v>0.96753518184248266</v>
      </c>
      <c r="U58">
        <f t="shared" si="21"/>
        <v>1.2605289452822412</v>
      </c>
      <c r="V58">
        <f t="shared" si="22"/>
        <v>1.3305991370502854</v>
      </c>
      <c r="W58">
        <f t="shared" si="28"/>
        <v>0.87064032366450206</v>
      </c>
      <c r="X58" s="158" t="s">
        <v>262</v>
      </c>
    </row>
    <row r="59" spans="1:24" x14ac:dyDescent="0.25">
      <c r="A59">
        <v>2009</v>
      </c>
      <c r="D59" t="str">
        <f t="shared" si="5"/>
        <v>NA</v>
      </c>
      <c r="E59">
        <f t="shared" ref="E59:F59" si="53">IFERROR(IF(E28/E$4&lt;&gt;0, E28/E$4, "NA"),"NA")</f>
        <v>0.56765025436660721</v>
      </c>
      <c r="F59" t="str">
        <f t="shared" si="0"/>
        <v>NA</v>
      </c>
      <c r="I59">
        <f t="shared" ref="I59:L59" si="54">IFERROR(IF(I28/I$18&lt;&gt;0, I28/I$18, "NA"),"NA")</f>
        <v>0.95429542882742791</v>
      </c>
      <c r="J59">
        <f t="shared" si="54"/>
        <v>1.2028567027351431</v>
      </c>
      <c r="K59">
        <f t="shared" si="54"/>
        <v>1.1001831920573255</v>
      </c>
      <c r="L59" t="str">
        <f t="shared" si="54"/>
        <v>NA</v>
      </c>
      <c r="N59">
        <f t="shared" ref="N59" si="55">IFERROR(IF(N28/N$18&lt;&gt;0, N28/N$18, "NA"),"NA")</f>
        <v>0.52956566503175906</v>
      </c>
      <c r="Q59">
        <v>2009</v>
      </c>
      <c r="S59">
        <f t="shared" si="26"/>
        <v>0.95429542882742791</v>
      </c>
      <c r="T59">
        <f t="shared" si="27"/>
        <v>0.84773069394713252</v>
      </c>
      <c r="U59">
        <f t="shared" si="21"/>
        <v>1.3670315686740535</v>
      </c>
      <c r="V59">
        <f t="shared" si="22"/>
        <v>1.0542834365979212</v>
      </c>
      <c r="W59">
        <f t="shared" si="28"/>
        <v>0.52956566503175906</v>
      </c>
      <c r="X59" s="158" t="s">
        <v>262</v>
      </c>
    </row>
    <row r="60" spans="1:24" x14ac:dyDescent="0.25">
      <c r="A60">
        <v>2010</v>
      </c>
      <c r="D60" t="str">
        <f t="shared" si="5"/>
        <v>NA</v>
      </c>
      <c r="E60">
        <f t="shared" ref="E60:F60" si="56">IFERROR(IF(E29/E$4&lt;&gt;0, E29/E$4, "NA"),"NA")</f>
        <v>0.55820252998835007</v>
      </c>
      <c r="F60" t="str">
        <f t="shared" si="0"/>
        <v>NA</v>
      </c>
      <c r="I60">
        <f t="shared" ref="I60:L60" si="57">IFERROR(IF(I29/I$18&lt;&gt;0, I29/I$18, "NA"),"NA")</f>
        <v>1.0723450134718151</v>
      </c>
      <c r="J60">
        <f t="shared" si="57"/>
        <v>1.1160549498371433</v>
      </c>
      <c r="K60">
        <f t="shared" si="57"/>
        <v>1.0644039929196392</v>
      </c>
      <c r="L60" t="str">
        <f t="shared" si="57"/>
        <v>NA</v>
      </c>
      <c r="N60">
        <f t="shared" ref="N60" si="58">IFERROR(IF(N29/N$18&lt;&gt;0, N29/N$18, "NA"),"NA")</f>
        <v>0.71979918484858818</v>
      </c>
      <c r="Q60">
        <v>2010</v>
      </c>
      <c r="S60">
        <f t="shared" si="26"/>
        <v>1.0723450134718151</v>
      </c>
      <c r="T60">
        <f t="shared" si="27"/>
        <v>0.95259785906990946</v>
      </c>
      <c r="U60">
        <f t="shared" si="21"/>
        <v>1.2683824642894739</v>
      </c>
      <c r="V60">
        <f t="shared" si="22"/>
        <v>1.0199969493129604</v>
      </c>
      <c r="W60">
        <f t="shared" si="28"/>
        <v>0.71979918484858818</v>
      </c>
      <c r="X60" s="158" t="s">
        <v>262</v>
      </c>
    </row>
    <row r="61" spans="1:24" x14ac:dyDescent="0.25">
      <c r="A61">
        <v>2011</v>
      </c>
      <c r="D61" t="str">
        <f t="shared" si="5"/>
        <v>NA</v>
      </c>
      <c r="E61" t="str">
        <f t="shared" ref="E61:F61" si="59">IFERROR(IF(E30/E$4&lt;&gt;0, E30/E$4, "NA"),"NA")</f>
        <v>NA</v>
      </c>
      <c r="F61" t="str">
        <f t="shared" si="0"/>
        <v>NA</v>
      </c>
      <c r="I61">
        <f t="shared" ref="I61:L61" si="60">IFERROR(IF(I30/I$18&lt;&gt;0, I30/I$18, "NA"),"NA")</f>
        <v>0.9243857448067041</v>
      </c>
      <c r="J61">
        <f t="shared" si="60"/>
        <v>1.1260974069544141</v>
      </c>
      <c r="K61" t="str">
        <f t="shared" si="60"/>
        <v>NA</v>
      </c>
      <c r="L61" t="str">
        <f t="shared" si="60"/>
        <v>NA</v>
      </c>
      <c r="N61">
        <f t="shared" ref="N61" si="61">IFERROR(IF(N30/N$18&lt;&gt;0, N30/N$18, "NA"),"NA")</f>
        <v>0.68118370458269462</v>
      </c>
      <c r="Q61">
        <v>2011</v>
      </c>
      <c r="S61">
        <f t="shared" si="26"/>
        <v>0.9243857448067041</v>
      </c>
      <c r="T61">
        <f t="shared" si="27"/>
        <v>0.82116097934440979</v>
      </c>
      <c r="U61">
        <f t="shared" si="21"/>
        <v>1.279795590952981</v>
      </c>
      <c r="V61" t="s">
        <v>112</v>
      </c>
      <c r="W61">
        <f t="shared" si="28"/>
        <v>0.68118370458269462</v>
      </c>
      <c r="X61" s="158" t="s">
        <v>262</v>
      </c>
    </row>
    <row r="62" spans="1:24" x14ac:dyDescent="0.25">
      <c r="A62">
        <v>2012</v>
      </c>
      <c r="D62" t="str">
        <f t="shared" si="5"/>
        <v>NA</v>
      </c>
      <c r="E62" t="str">
        <f t="shared" ref="E62:F62" si="62">IFERROR(IF(E31/E$4&lt;&gt;0, E31/E$4, "NA"),"NA")</f>
        <v>NA</v>
      </c>
      <c r="F62" t="str">
        <f t="shared" si="0"/>
        <v>NA</v>
      </c>
      <c r="I62" t="str">
        <f t="shared" ref="I62:L62" si="63">IFERROR(IF(I31/I$18&lt;&gt;0, I31/I$18, "NA"),"NA")</f>
        <v>NA</v>
      </c>
      <c r="J62" t="str">
        <f t="shared" si="63"/>
        <v>NA</v>
      </c>
      <c r="K62" t="str">
        <f t="shared" si="63"/>
        <v>NA</v>
      </c>
      <c r="L62" t="str">
        <f t="shared" si="63"/>
        <v>NA</v>
      </c>
      <c r="N62" t="str">
        <f t="shared" ref="N62" si="64">IFERROR(IF(N31/N$18&lt;&gt;0, N31/N$18, "NA"),"NA")</f>
        <v>NA</v>
      </c>
      <c r="X62" s="158"/>
    </row>
    <row r="63" spans="1:24" x14ac:dyDescent="0.25">
      <c r="I63" t="str">
        <f t="shared" ref="I63:L63" si="65">IFERROR(IF(I32/I$18&lt;&gt;0, I32/I$18, "NA"),"NA")</f>
        <v>NA</v>
      </c>
      <c r="J63" t="str">
        <f t="shared" si="65"/>
        <v>NA</v>
      </c>
      <c r="K63" t="str">
        <f t="shared" si="65"/>
        <v>NA</v>
      </c>
      <c r="L63" t="str">
        <f t="shared" si="65"/>
        <v>NA</v>
      </c>
      <c r="N63" t="str">
        <f t="shared" ref="N63" si="66">IFERROR(IF(N32/N$18&lt;&gt;0, N32/N$18, "NA"),"NA")</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K59"/>
  <sheetViews>
    <sheetView workbookViewId="0">
      <selection activeCell="E14" sqref="E14"/>
    </sheetView>
  </sheetViews>
  <sheetFormatPr defaultRowHeight="12.75" x14ac:dyDescent="0.2"/>
  <cols>
    <col min="1" max="1" width="52.140625" style="1" customWidth="1"/>
    <col min="2" max="5" width="11.28515625" style="1" bestFit="1" customWidth="1"/>
    <col min="6" max="7" width="9.140625" style="1"/>
    <col min="8" max="8" width="12.5703125" style="1" customWidth="1"/>
    <col min="9" max="256" width="9.140625" style="1"/>
    <col min="257" max="257" width="52.140625" style="1" customWidth="1"/>
    <col min="258" max="261" width="11.28515625" style="1" bestFit="1" customWidth="1"/>
    <col min="262" max="263" width="9.140625" style="1"/>
    <col min="264" max="264" width="12.5703125" style="1" customWidth="1"/>
    <col min="265" max="512" width="9.140625" style="1"/>
    <col min="513" max="513" width="52.140625" style="1" customWidth="1"/>
    <col min="514" max="517" width="11.28515625" style="1" bestFit="1" customWidth="1"/>
    <col min="518" max="519" width="9.140625" style="1"/>
    <col min="520" max="520" width="12.5703125" style="1" customWidth="1"/>
    <col min="521" max="768" width="9.140625" style="1"/>
    <col min="769" max="769" width="52.140625" style="1" customWidth="1"/>
    <col min="770" max="773" width="11.28515625" style="1" bestFit="1" customWidth="1"/>
    <col min="774" max="775" width="9.140625" style="1"/>
    <col min="776" max="776" width="12.5703125" style="1" customWidth="1"/>
    <col min="777" max="1024" width="9.140625" style="1"/>
    <col min="1025" max="1025" width="52.140625" style="1" customWidth="1"/>
    <col min="1026" max="1029" width="11.28515625" style="1" bestFit="1" customWidth="1"/>
    <col min="1030" max="1031" width="9.140625" style="1"/>
    <col min="1032" max="1032" width="12.5703125" style="1" customWidth="1"/>
    <col min="1033" max="1280" width="9.140625" style="1"/>
    <col min="1281" max="1281" width="52.140625" style="1" customWidth="1"/>
    <col min="1282" max="1285" width="11.28515625" style="1" bestFit="1" customWidth="1"/>
    <col min="1286" max="1287" width="9.140625" style="1"/>
    <col min="1288" max="1288" width="12.5703125" style="1" customWidth="1"/>
    <col min="1289" max="1536" width="9.140625" style="1"/>
    <col min="1537" max="1537" width="52.140625" style="1" customWidth="1"/>
    <col min="1538" max="1541" width="11.28515625" style="1" bestFit="1" customWidth="1"/>
    <col min="1542" max="1543" width="9.140625" style="1"/>
    <col min="1544" max="1544" width="12.5703125" style="1" customWidth="1"/>
    <col min="1545" max="1792" width="9.140625" style="1"/>
    <col min="1793" max="1793" width="52.140625" style="1" customWidth="1"/>
    <col min="1794" max="1797" width="11.28515625" style="1" bestFit="1" customWidth="1"/>
    <col min="1798" max="1799" width="9.140625" style="1"/>
    <col min="1800" max="1800" width="12.5703125" style="1" customWidth="1"/>
    <col min="1801" max="2048" width="9.140625" style="1"/>
    <col min="2049" max="2049" width="52.140625" style="1" customWidth="1"/>
    <col min="2050" max="2053" width="11.28515625" style="1" bestFit="1" customWidth="1"/>
    <col min="2054" max="2055" width="9.140625" style="1"/>
    <col min="2056" max="2056" width="12.5703125" style="1" customWidth="1"/>
    <col min="2057" max="2304" width="9.140625" style="1"/>
    <col min="2305" max="2305" width="52.140625" style="1" customWidth="1"/>
    <col min="2306" max="2309" width="11.28515625" style="1" bestFit="1" customWidth="1"/>
    <col min="2310" max="2311" width="9.140625" style="1"/>
    <col min="2312" max="2312" width="12.5703125" style="1" customWidth="1"/>
    <col min="2313" max="2560" width="9.140625" style="1"/>
    <col min="2561" max="2561" width="52.140625" style="1" customWidth="1"/>
    <col min="2562" max="2565" width="11.28515625" style="1" bestFit="1" customWidth="1"/>
    <col min="2566" max="2567" width="9.140625" style="1"/>
    <col min="2568" max="2568" width="12.5703125" style="1" customWidth="1"/>
    <col min="2569" max="2816" width="9.140625" style="1"/>
    <col min="2817" max="2817" width="52.140625" style="1" customWidth="1"/>
    <col min="2818" max="2821" width="11.28515625" style="1" bestFit="1" customWidth="1"/>
    <col min="2822" max="2823" width="9.140625" style="1"/>
    <col min="2824" max="2824" width="12.5703125" style="1" customWidth="1"/>
    <col min="2825" max="3072" width="9.140625" style="1"/>
    <col min="3073" max="3073" width="52.140625" style="1" customWidth="1"/>
    <col min="3074" max="3077" width="11.28515625" style="1" bestFit="1" customWidth="1"/>
    <col min="3078" max="3079" width="9.140625" style="1"/>
    <col min="3080" max="3080" width="12.5703125" style="1" customWidth="1"/>
    <col min="3081" max="3328" width="9.140625" style="1"/>
    <col min="3329" max="3329" width="52.140625" style="1" customWidth="1"/>
    <col min="3330" max="3333" width="11.28515625" style="1" bestFit="1" customWidth="1"/>
    <col min="3334" max="3335" width="9.140625" style="1"/>
    <col min="3336" max="3336" width="12.5703125" style="1" customWidth="1"/>
    <col min="3337" max="3584" width="9.140625" style="1"/>
    <col min="3585" max="3585" width="52.140625" style="1" customWidth="1"/>
    <col min="3586" max="3589" width="11.28515625" style="1" bestFit="1" customWidth="1"/>
    <col min="3590" max="3591" width="9.140625" style="1"/>
    <col min="3592" max="3592" width="12.5703125" style="1" customWidth="1"/>
    <col min="3593" max="3840" width="9.140625" style="1"/>
    <col min="3841" max="3841" width="52.140625" style="1" customWidth="1"/>
    <col min="3842" max="3845" width="11.28515625" style="1" bestFit="1" customWidth="1"/>
    <col min="3846" max="3847" width="9.140625" style="1"/>
    <col min="3848" max="3848" width="12.5703125" style="1" customWidth="1"/>
    <col min="3849" max="4096" width="9.140625" style="1"/>
    <col min="4097" max="4097" width="52.140625" style="1" customWidth="1"/>
    <col min="4098" max="4101" width="11.28515625" style="1" bestFit="1" customWidth="1"/>
    <col min="4102" max="4103" width="9.140625" style="1"/>
    <col min="4104" max="4104" width="12.5703125" style="1" customWidth="1"/>
    <col min="4105" max="4352" width="9.140625" style="1"/>
    <col min="4353" max="4353" width="52.140625" style="1" customWidth="1"/>
    <col min="4354" max="4357" width="11.28515625" style="1" bestFit="1" customWidth="1"/>
    <col min="4358" max="4359" width="9.140625" style="1"/>
    <col min="4360" max="4360" width="12.5703125" style="1" customWidth="1"/>
    <col min="4361" max="4608" width="9.140625" style="1"/>
    <col min="4609" max="4609" width="52.140625" style="1" customWidth="1"/>
    <col min="4610" max="4613" width="11.28515625" style="1" bestFit="1" customWidth="1"/>
    <col min="4614" max="4615" width="9.140625" style="1"/>
    <col min="4616" max="4616" width="12.5703125" style="1" customWidth="1"/>
    <col min="4617" max="4864" width="9.140625" style="1"/>
    <col min="4865" max="4865" width="52.140625" style="1" customWidth="1"/>
    <col min="4866" max="4869" width="11.28515625" style="1" bestFit="1" customWidth="1"/>
    <col min="4870" max="4871" width="9.140625" style="1"/>
    <col min="4872" max="4872" width="12.5703125" style="1" customWidth="1"/>
    <col min="4873" max="5120" width="9.140625" style="1"/>
    <col min="5121" max="5121" width="52.140625" style="1" customWidth="1"/>
    <col min="5122" max="5125" width="11.28515625" style="1" bestFit="1" customWidth="1"/>
    <col min="5126" max="5127" width="9.140625" style="1"/>
    <col min="5128" max="5128" width="12.5703125" style="1" customWidth="1"/>
    <col min="5129" max="5376" width="9.140625" style="1"/>
    <col min="5377" max="5377" width="52.140625" style="1" customWidth="1"/>
    <col min="5378" max="5381" width="11.28515625" style="1" bestFit="1" customWidth="1"/>
    <col min="5382" max="5383" width="9.140625" style="1"/>
    <col min="5384" max="5384" width="12.5703125" style="1" customWidth="1"/>
    <col min="5385" max="5632" width="9.140625" style="1"/>
    <col min="5633" max="5633" width="52.140625" style="1" customWidth="1"/>
    <col min="5634" max="5637" width="11.28515625" style="1" bestFit="1" customWidth="1"/>
    <col min="5638" max="5639" width="9.140625" style="1"/>
    <col min="5640" max="5640" width="12.5703125" style="1" customWidth="1"/>
    <col min="5641" max="5888" width="9.140625" style="1"/>
    <col min="5889" max="5889" width="52.140625" style="1" customWidth="1"/>
    <col min="5890" max="5893" width="11.28515625" style="1" bestFit="1" customWidth="1"/>
    <col min="5894" max="5895" width="9.140625" style="1"/>
    <col min="5896" max="5896" width="12.5703125" style="1" customWidth="1"/>
    <col min="5897" max="6144" width="9.140625" style="1"/>
    <col min="6145" max="6145" width="52.140625" style="1" customWidth="1"/>
    <col min="6146" max="6149" width="11.28515625" style="1" bestFit="1" customWidth="1"/>
    <col min="6150" max="6151" width="9.140625" style="1"/>
    <col min="6152" max="6152" width="12.5703125" style="1" customWidth="1"/>
    <col min="6153" max="6400" width="9.140625" style="1"/>
    <col min="6401" max="6401" width="52.140625" style="1" customWidth="1"/>
    <col min="6402" max="6405" width="11.28515625" style="1" bestFit="1" customWidth="1"/>
    <col min="6406" max="6407" width="9.140625" style="1"/>
    <col min="6408" max="6408" width="12.5703125" style="1" customWidth="1"/>
    <col min="6409" max="6656" width="9.140625" style="1"/>
    <col min="6657" max="6657" width="52.140625" style="1" customWidth="1"/>
    <col min="6658" max="6661" width="11.28515625" style="1" bestFit="1" customWidth="1"/>
    <col min="6662" max="6663" width="9.140625" style="1"/>
    <col min="6664" max="6664" width="12.5703125" style="1" customWidth="1"/>
    <col min="6665" max="6912" width="9.140625" style="1"/>
    <col min="6913" max="6913" width="52.140625" style="1" customWidth="1"/>
    <col min="6914" max="6917" width="11.28515625" style="1" bestFit="1" customWidth="1"/>
    <col min="6918" max="6919" width="9.140625" style="1"/>
    <col min="6920" max="6920" width="12.5703125" style="1" customWidth="1"/>
    <col min="6921" max="7168" width="9.140625" style="1"/>
    <col min="7169" max="7169" width="52.140625" style="1" customWidth="1"/>
    <col min="7170" max="7173" width="11.28515625" style="1" bestFit="1" customWidth="1"/>
    <col min="7174" max="7175" width="9.140625" style="1"/>
    <col min="7176" max="7176" width="12.5703125" style="1" customWidth="1"/>
    <col min="7177" max="7424" width="9.140625" style="1"/>
    <col min="7425" max="7425" width="52.140625" style="1" customWidth="1"/>
    <col min="7426" max="7429" width="11.28515625" style="1" bestFit="1" customWidth="1"/>
    <col min="7430" max="7431" width="9.140625" style="1"/>
    <col min="7432" max="7432" width="12.5703125" style="1" customWidth="1"/>
    <col min="7433" max="7680" width="9.140625" style="1"/>
    <col min="7681" max="7681" width="52.140625" style="1" customWidth="1"/>
    <col min="7682" max="7685" width="11.28515625" style="1" bestFit="1" customWidth="1"/>
    <col min="7686" max="7687" width="9.140625" style="1"/>
    <col min="7688" max="7688" width="12.5703125" style="1" customWidth="1"/>
    <col min="7689" max="7936" width="9.140625" style="1"/>
    <col min="7937" max="7937" width="52.140625" style="1" customWidth="1"/>
    <col min="7938" max="7941" width="11.28515625" style="1" bestFit="1" customWidth="1"/>
    <col min="7942" max="7943" width="9.140625" style="1"/>
    <col min="7944" max="7944" width="12.5703125" style="1" customWidth="1"/>
    <col min="7945" max="8192" width="9.140625" style="1"/>
    <col min="8193" max="8193" width="52.140625" style="1" customWidth="1"/>
    <col min="8194" max="8197" width="11.28515625" style="1" bestFit="1" customWidth="1"/>
    <col min="8198" max="8199" width="9.140625" style="1"/>
    <col min="8200" max="8200" width="12.5703125" style="1" customWidth="1"/>
    <col min="8201" max="8448" width="9.140625" style="1"/>
    <col min="8449" max="8449" width="52.140625" style="1" customWidth="1"/>
    <col min="8450" max="8453" width="11.28515625" style="1" bestFit="1" customWidth="1"/>
    <col min="8454" max="8455" width="9.140625" style="1"/>
    <col min="8456" max="8456" width="12.5703125" style="1" customWidth="1"/>
    <col min="8457" max="8704" width="9.140625" style="1"/>
    <col min="8705" max="8705" width="52.140625" style="1" customWidth="1"/>
    <col min="8706" max="8709" width="11.28515625" style="1" bestFit="1" customWidth="1"/>
    <col min="8710" max="8711" width="9.140625" style="1"/>
    <col min="8712" max="8712" width="12.5703125" style="1" customWidth="1"/>
    <col min="8713" max="8960" width="9.140625" style="1"/>
    <col min="8961" max="8961" width="52.140625" style="1" customWidth="1"/>
    <col min="8962" max="8965" width="11.28515625" style="1" bestFit="1" customWidth="1"/>
    <col min="8966" max="8967" width="9.140625" style="1"/>
    <col min="8968" max="8968" width="12.5703125" style="1" customWidth="1"/>
    <col min="8969" max="9216" width="9.140625" style="1"/>
    <col min="9217" max="9217" width="52.140625" style="1" customWidth="1"/>
    <col min="9218" max="9221" width="11.28515625" style="1" bestFit="1" customWidth="1"/>
    <col min="9222" max="9223" width="9.140625" style="1"/>
    <col min="9224" max="9224" width="12.5703125" style="1" customWidth="1"/>
    <col min="9225" max="9472" width="9.140625" style="1"/>
    <col min="9473" max="9473" width="52.140625" style="1" customWidth="1"/>
    <col min="9474" max="9477" width="11.28515625" style="1" bestFit="1" customWidth="1"/>
    <col min="9478" max="9479" width="9.140625" style="1"/>
    <col min="9480" max="9480" width="12.5703125" style="1" customWidth="1"/>
    <col min="9481" max="9728" width="9.140625" style="1"/>
    <col min="9729" max="9729" width="52.140625" style="1" customWidth="1"/>
    <col min="9730" max="9733" width="11.28515625" style="1" bestFit="1" customWidth="1"/>
    <col min="9734" max="9735" width="9.140625" style="1"/>
    <col min="9736" max="9736" width="12.5703125" style="1" customWidth="1"/>
    <col min="9737" max="9984" width="9.140625" style="1"/>
    <col min="9985" max="9985" width="52.140625" style="1" customWidth="1"/>
    <col min="9986" max="9989" width="11.28515625" style="1" bestFit="1" customWidth="1"/>
    <col min="9990" max="9991" width="9.140625" style="1"/>
    <col min="9992" max="9992" width="12.5703125" style="1" customWidth="1"/>
    <col min="9993" max="10240" width="9.140625" style="1"/>
    <col min="10241" max="10241" width="52.140625" style="1" customWidth="1"/>
    <col min="10242" max="10245" width="11.28515625" style="1" bestFit="1" customWidth="1"/>
    <col min="10246" max="10247" width="9.140625" style="1"/>
    <col min="10248" max="10248" width="12.5703125" style="1" customWidth="1"/>
    <col min="10249" max="10496" width="9.140625" style="1"/>
    <col min="10497" max="10497" width="52.140625" style="1" customWidth="1"/>
    <col min="10498" max="10501" width="11.28515625" style="1" bestFit="1" customWidth="1"/>
    <col min="10502" max="10503" width="9.140625" style="1"/>
    <col min="10504" max="10504" width="12.5703125" style="1" customWidth="1"/>
    <col min="10505" max="10752" width="9.140625" style="1"/>
    <col min="10753" max="10753" width="52.140625" style="1" customWidth="1"/>
    <col min="10754" max="10757" width="11.28515625" style="1" bestFit="1" customWidth="1"/>
    <col min="10758" max="10759" width="9.140625" style="1"/>
    <col min="10760" max="10760" width="12.5703125" style="1" customWidth="1"/>
    <col min="10761" max="11008" width="9.140625" style="1"/>
    <col min="11009" max="11009" width="52.140625" style="1" customWidth="1"/>
    <col min="11010" max="11013" width="11.28515625" style="1" bestFit="1" customWidth="1"/>
    <col min="11014" max="11015" width="9.140625" style="1"/>
    <col min="11016" max="11016" width="12.5703125" style="1" customWidth="1"/>
    <col min="11017" max="11264" width="9.140625" style="1"/>
    <col min="11265" max="11265" width="52.140625" style="1" customWidth="1"/>
    <col min="11266" max="11269" width="11.28515625" style="1" bestFit="1" customWidth="1"/>
    <col min="11270" max="11271" width="9.140625" style="1"/>
    <col min="11272" max="11272" width="12.5703125" style="1" customWidth="1"/>
    <col min="11273" max="11520" width="9.140625" style="1"/>
    <col min="11521" max="11521" width="52.140625" style="1" customWidth="1"/>
    <col min="11522" max="11525" width="11.28515625" style="1" bestFit="1" customWidth="1"/>
    <col min="11526" max="11527" width="9.140625" style="1"/>
    <col min="11528" max="11528" width="12.5703125" style="1" customWidth="1"/>
    <col min="11529" max="11776" width="9.140625" style="1"/>
    <col min="11777" max="11777" width="52.140625" style="1" customWidth="1"/>
    <col min="11778" max="11781" width="11.28515625" style="1" bestFit="1" customWidth="1"/>
    <col min="11782" max="11783" width="9.140625" style="1"/>
    <col min="11784" max="11784" width="12.5703125" style="1" customWidth="1"/>
    <col min="11785" max="12032" width="9.140625" style="1"/>
    <col min="12033" max="12033" width="52.140625" style="1" customWidth="1"/>
    <col min="12034" max="12037" width="11.28515625" style="1" bestFit="1" customWidth="1"/>
    <col min="12038" max="12039" width="9.140625" style="1"/>
    <col min="12040" max="12040" width="12.5703125" style="1" customWidth="1"/>
    <col min="12041" max="12288" width="9.140625" style="1"/>
    <col min="12289" max="12289" width="52.140625" style="1" customWidth="1"/>
    <col min="12290" max="12293" width="11.28515625" style="1" bestFit="1" customWidth="1"/>
    <col min="12294" max="12295" width="9.140625" style="1"/>
    <col min="12296" max="12296" width="12.5703125" style="1" customWidth="1"/>
    <col min="12297" max="12544" width="9.140625" style="1"/>
    <col min="12545" max="12545" width="52.140625" style="1" customWidth="1"/>
    <col min="12546" max="12549" width="11.28515625" style="1" bestFit="1" customWidth="1"/>
    <col min="12550" max="12551" width="9.140625" style="1"/>
    <col min="12552" max="12552" width="12.5703125" style="1" customWidth="1"/>
    <col min="12553" max="12800" width="9.140625" style="1"/>
    <col min="12801" max="12801" width="52.140625" style="1" customWidth="1"/>
    <col min="12802" max="12805" width="11.28515625" style="1" bestFit="1" customWidth="1"/>
    <col min="12806" max="12807" width="9.140625" style="1"/>
    <col min="12808" max="12808" width="12.5703125" style="1" customWidth="1"/>
    <col min="12809" max="13056" width="9.140625" style="1"/>
    <col min="13057" max="13057" width="52.140625" style="1" customWidth="1"/>
    <col min="13058" max="13061" width="11.28515625" style="1" bestFit="1" customWidth="1"/>
    <col min="13062" max="13063" width="9.140625" style="1"/>
    <col min="13064" max="13064" width="12.5703125" style="1" customWidth="1"/>
    <col min="13065" max="13312" width="9.140625" style="1"/>
    <col min="13313" max="13313" width="52.140625" style="1" customWidth="1"/>
    <col min="13314" max="13317" width="11.28515625" style="1" bestFit="1" customWidth="1"/>
    <col min="13318" max="13319" width="9.140625" style="1"/>
    <col min="13320" max="13320" width="12.5703125" style="1" customWidth="1"/>
    <col min="13321" max="13568" width="9.140625" style="1"/>
    <col min="13569" max="13569" width="52.140625" style="1" customWidth="1"/>
    <col min="13570" max="13573" width="11.28515625" style="1" bestFit="1" customWidth="1"/>
    <col min="13574" max="13575" width="9.140625" style="1"/>
    <col min="13576" max="13576" width="12.5703125" style="1" customWidth="1"/>
    <col min="13577" max="13824" width="9.140625" style="1"/>
    <col min="13825" max="13825" width="52.140625" style="1" customWidth="1"/>
    <col min="13826" max="13829" width="11.28515625" style="1" bestFit="1" customWidth="1"/>
    <col min="13830" max="13831" width="9.140625" style="1"/>
    <col min="13832" max="13832" width="12.5703125" style="1" customWidth="1"/>
    <col min="13833" max="14080" width="9.140625" style="1"/>
    <col min="14081" max="14081" width="52.140625" style="1" customWidth="1"/>
    <col min="14082" max="14085" width="11.28515625" style="1" bestFit="1" customWidth="1"/>
    <col min="14086" max="14087" width="9.140625" style="1"/>
    <col min="14088" max="14088" width="12.5703125" style="1" customWidth="1"/>
    <col min="14089" max="14336" width="9.140625" style="1"/>
    <col min="14337" max="14337" width="52.140625" style="1" customWidth="1"/>
    <col min="14338" max="14341" width="11.28515625" style="1" bestFit="1" customWidth="1"/>
    <col min="14342" max="14343" width="9.140625" style="1"/>
    <col min="14344" max="14344" width="12.5703125" style="1" customWidth="1"/>
    <col min="14345" max="14592" width="9.140625" style="1"/>
    <col min="14593" max="14593" width="52.140625" style="1" customWidth="1"/>
    <col min="14594" max="14597" width="11.28515625" style="1" bestFit="1" customWidth="1"/>
    <col min="14598" max="14599" width="9.140625" style="1"/>
    <col min="14600" max="14600" width="12.5703125" style="1" customWidth="1"/>
    <col min="14601" max="14848" width="9.140625" style="1"/>
    <col min="14849" max="14849" width="52.140625" style="1" customWidth="1"/>
    <col min="14850" max="14853" width="11.28515625" style="1" bestFit="1" customWidth="1"/>
    <col min="14854" max="14855" width="9.140625" style="1"/>
    <col min="14856" max="14856" width="12.5703125" style="1" customWidth="1"/>
    <col min="14857" max="15104" width="9.140625" style="1"/>
    <col min="15105" max="15105" width="52.140625" style="1" customWidth="1"/>
    <col min="15106" max="15109" width="11.28515625" style="1" bestFit="1" customWidth="1"/>
    <col min="15110" max="15111" width="9.140625" style="1"/>
    <col min="15112" max="15112" width="12.5703125" style="1" customWidth="1"/>
    <col min="15113" max="15360" width="9.140625" style="1"/>
    <col min="15361" max="15361" width="52.140625" style="1" customWidth="1"/>
    <col min="15362" max="15365" width="11.28515625" style="1" bestFit="1" customWidth="1"/>
    <col min="15366" max="15367" width="9.140625" style="1"/>
    <col min="15368" max="15368" width="12.5703125" style="1" customWidth="1"/>
    <col min="15369" max="15616" width="9.140625" style="1"/>
    <col min="15617" max="15617" width="52.140625" style="1" customWidth="1"/>
    <col min="15618" max="15621" width="11.28515625" style="1" bestFit="1" customWidth="1"/>
    <col min="15622" max="15623" width="9.140625" style="1"/>
    <col min="15624" max="15624" width="12.5703125" style="1" customWidth="1"/>
    <col min="15625" max="15872" width="9.140625" style="1"/>
    <col min="15873" max="15873" width="52.140625" style="1" customWidth="1"/>
    <col min="15874" max="15877" width="11.28515625" style="1" bestFit="1" customWidth="1"/>
    <col min="15878" max="15879" width="9.140625" style="1"/>
    <col min="15880" max="15880" width="12.5703125" style="1" customWidth="1"/>
    <col min="15881" max="16128" width="9.140625" style="1"/>
    <col min="16129" max="16129" width="52.140625" style="1" customWidth="1"/>
    <col min="16130" max="16133" width="11.28515625" style="1" bestFit="1" customWidth="1"/>
    <col min="16134" max="16135" width="9.140625" style="1"/>
    <col min="16136" max="16136" width="12.5703125" style="1" customWidth="1"/>
    <col min="16137" max="16384" width="9.140625" style="1"/>
  </cols>
  <sheetData>
    <row r="1" spans="1:167" x14ac:dyDescent="0.2">
      <c r="A1" s="1" t="s">
        <v>104</v>
      </c>
    </row>
    <row r="2" spans="1:167" x14ac:dyDescent="0.2">
      <c r="A2" s="44" t="s">
        <v>105</v>
      </c>
    </row>
    <row r="4" spans="1:167" s="8" customFormat="1" x14ac:dyDescent="0.2">
      <c r="A4" s="6" t="str">
        <f>'[1]Table 5d'!A22</f>
        <v>Table 5d. Economic and Physical Indicators for Basic Chemicals, 1988, 2002, and 2006</v>
      </c>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row>
    <row r="5" spans="1:167" ht="11.25" customHeight="1" x14ac:dyDescent="0.2">
      <c r="A5" s="6"/>
      <c r="B5" s="6"/>
      <c r="C5" s="6"/>
      <c r="D5" s="6"/>
      <c r="E5" s="6"/>
      <c r="F5" s="6"/>
      <c r="G5" s="6"/>
      <c r="H5" s="6"/>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row>
    <row r="6" spans="1:167" ht="14.25" customHeight="1" x14ac:dyDescent="0.2">
      <c r="A6" s="6" t="s">
        <v>100</v>
      </c>
      <c r="B6" s="6"/>
      <c r="C6" s="6"/>
      <c r="D6" s="6"/>
      <c r="E6" s="6"/>
      <c r="F6" s="6"/>
      <c r="G6" s="6"/>
      <c r="H6" s="6"/>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row>
    <row r="7" spans="1:167" ht="14.25" customHeight="1" x14ac:dyDescent="0.2">
      <c r="B7" s="6">
        <v>1998</v>
      </c>
      <c r="C7" s="6">
        <v>2002</v>
      </c>
      <c r="D7" s="6">
        <v>2006</v>
      </c>
      <c r="E7" s="6"/>
      <c r="F7" s="6"/>
      <c r="G7" s="6"/>
      <c r="H7" s="6"/>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row>
    <row r="8" spans="1:167" ht="14.25" x14ac:dyDescent="0.2">
      <c r="A8" s="6" t="s">
        <v>106</v>
      </c>
      <c r="E8" s="6"/>
      <c r="F8" s="6"/>
      <c r="G8" s="6"/>
      <c r="H8" s="6"/>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row>
    <row r="9" spans="1:167" x14ac:dyDescent="0.2">
      <c r="A9" s="1" t="s">
        <v>107</v>
      </c>
      <c r="B9" s="45">
        <v>178.672</v>
      </c>
      <c r="C9" s="45">
        <v>162.55500000000001</v>
      </c>
      <c r="D9" s="45">
        <v>169.553</v>
      </c>
      <c r="E9" s="3">
        <f>D9</f>
        <v>169.553</v>
      </c>
      <c r="H9" s="6"/>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row>
    <row r="10" spans="1:167" x14ac:dyDescent="0.2">
      <c r="A10" s="1" t="s">
        <v>108</v>
      </c>
      <c r="B10" s="45">
        <v>69.375</v>
      </c>
      <c r="C10" s="45">
        <v>73.042500000000004</v>
      </c>
      <c r="D10" s="45">
        <v>79.822500000000005</v>
      </c>
      <c r="E10" s="3">
        <f>D10</f>
        <v>79.822500000000005</v>
      </c>
      <c r="H10" s="6"/>
      <c r="J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row>
    <row r="11" spans="1:167" x14ac:dyDescent="0.2">
      <c r="A11" s="1" t="s">
        <v>109</v>
      </c>
      <c r="B11" s="45">
        <v>72.707499999999996</v>
      </c>
      <c r="C11" s="45">
        <v>72.674999999999997</v>
      </c>
      <c r="D11" s="45">
        <v>63.942500000000003</v>
      </c>
      <c r="E11" s="3">
        <f>D11</f>
        <v>63.942500000000003</v>
      </c>
      <c r="H11" s="6"/>
      <c r="J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row>
    <row r="12" spans="1:167" x14ac:dyDescent="0.2">
      <c r="A12" s="1" t="s">
        <v>110</v>
      </c>
      <c r="B12" s="45">
        <v>39.8245</v>
      </c>
      <c r="C12" s="45">
        <v>47.570999999999998</v>
      </c>
      <c r="D12" s="45">
        <v>50.027000000000001</v>
      </c>
      <c r="E12" s="3">
        <f>D12</f>
        <v>50.027000000000001</v>
      </c>
      <c r="H12" s="6"/>
      <c r="J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row>
    <row r="13" spans="1:167" x14ac:dyDescent="0.2">
      <c r="A13" s="1" t="s">
        <v>111</v>
      </c>
      <c r="B13" s="45">
        <v>2.3975272069733982</v>
      </c>
      <c r="C13" s="45">
        <v>2.2762729574253182</v>
      </c>
      <c r="D13" s="45" t="s">
        <v>112</v>
      </c>
      <c r="E13" s="3">
        <f>C13</f>
        <v>2.2762729574253182</v>
      </c>
      <c r="H13" s="6"/>
      <c r="J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row>
    <row r="14" spans="1:167" x14ac:dyDescent="0.2">
      <c r="A14" s="1" t="s">
        <v>113</v>
      </c>
      <c r="B14" s="45">
        <v>5.4474999999999998</v>
      </c>
      <c r="C14" s="45">
        <v>4.8</v>
      </c>
      <c r="D14" s="45">
        <v>4.17</v>
      </c>
      <c r="E14" s="3">
        <f>D14</f>
        <v>4.17</v>
      </c>
      <c r="H14" s="6"/>
      <c r="J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row>
    <row r="15" spans="1:167" x14ac:dyDescent="0.2">
      <c r="A15" s="6"/>
      <c r="H15" s="6"/>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row>
    <row r="16" spans="1:167" x14ac:dyDescent="0.2">
      <c r="A16" s="6" t="s">
        <v>114</v>
      </c>
      <c r="B16" s="46"/>
      <c r="C16" s="46"/>
      <c r="D16" s="46"/>
      <c r="E16" s="6"/>
      <c r="F16" s="6"/>
      <c r="G16" s="6"/>
      <c r="H16" s="6"/>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row>
    <row r="17" spans="1:167" x14ac:dyDescent="0.2">
      <c r="A17" s="6"/>
      <c r="B17" s="46"/>
      <c r="C17" s="46"/>
      <c r="D17" s="46"/>
      <c r="E17" s="6"/>
      <c r="F17" s="6"/>
      <c r="G17" s="6"/>
      <c r="H17" s="6"/>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row>
    <row r="18" spans="1:167" ht="17.25" customHeight="1" x14ac:dyDescent="0.2">
      <c r="A18" s="8" t="s">
        <v>115</v>
      </c>
      <c r="B18" s="3">
        <v>25.375</v>
      </c>
      <c r="C18" s="3">
        <v>24.803999999999998</v>
      </c>
      <c r="D18" s="3">
        <v>33.573999999999998</v>
      </c>
      <c r="E18" s="6"/>
      <c r="F18" s="6"/>
      <c r="G18" s="6"/>
      <c r="H18" s="6"/>
    </row>
    <row r="19" spans="1:167" ht="14.25" customHeight="1" x14ac:dyDescent="0.2">
      <c r="A19" s="8" t="s">
        <v>116</v>
      </c>
      <c r="B19" s="3">
        <v>39.213000000000001</v>
      </c>
      <c r="C19" s="3">
        <v>45.286999999999999</v>
      </c>
      <c r="D19" s="3">
        <v>89.588999999999999</v>
      </c>
      <c r="E19" s="6"/>
      <c r="F19" s="6"/>
      <c r="G19" s="6"/>
      <c r="H19" s="6"/>
    </row>
    <row r="20" spans="1:167" x14ac:dyDescent="0.2">
      <c r="A20" s="1" t="s">
        <v>110</v>
      </c>
      <c r="B20" s="3">
        <v>45.029000000000003</v>
      </c>
      <c r="C20" s="3">
        <v>46.847000000000001</v>
      </c>
      <c r="D20" s="3">
        <v>77.840999999999994</v>
      </c>
      <c r="E20" s="6"/>
      <c r="F20" s="6"/>
      <c r="G20" s="6"/>
      <c r="H20" s="6"/>
    </row>
    <row r="21" spans="1:167" x14ac:dyDescent="0.2">
      <c r="A21" s="1" t="s">
        <v>111</v>
      </c>
      <c r="B21" s="3">
        <v>5.343</v>
      </c>
      <c r="C21" s="3">
        <v>5.4749999999999996</v>
      </c>
      <c r="D21" s="3">
        <v>7.0410000000000004</v>
      </c>
      <c r="E21" s="6"/>
      <c r="F21" s="6"/>
      <c r="G21" s="6"/>
      <c r="H21" s="6"/>
    </row>
    <row r="22" spans="1:167" ht="15" customHeight="1" x14ac:dyDescent="0.2">
      <c r="A22" s="1" t="s">
        <v>113</v>
      </c>
      <c r="B22" s="3">
        <v>12.814</v>
      </c>
      <c r="C22" s="3">
        <v>7.9530000000000003</v>
      </c>
      <c r="D22" s="3">
        <v>8.7929999999999993</v>
      </c>
      <c r="E22" s="6"/>
      <c r="F22" s="6"/>
      <c r="G22" s="6"/>
      <c r="H22" s="6"/>
    </row>
    <row r="23" spans="1:167" ht="15" customHeight="1" x14ac:dyDescent="0.2">
      <c r="E23" s="6"/>
      <c r="F23" s="6"/>
      <c r="G23" s="6"/>
      <c r="H23" s="6"/>
    </row>
    <row r="24" spans="1:167" ht="14.25" x14ac:dyDescent="0.2">
      <c r="A24" s="6" t="s">
        <v>117</v>
      </c>
    </row>
    <row r="25" spans="1:167" x14ac:dyDescent="0.2">
      <c r="A25" s="8"/>
    </row>
    <row r="26" spans="1:167" x14ac:dyDescent="0.2">
      <c r="A26" s="8" t="s">
        <v>115</v>
      </c>
      <c r="B26" s="3">
        <v>26.763418338538134</v>
      </c>
      <c r="C26" s="3">
        <v>24.683240478883754</v>
      </c>
      <c r="D26" s="3">
        <v>26.003496494432593</v>
      </c>
    </row>
    <row r="27" spans="1:167" x14ac:dyDescent="0.2">
      <c r="A27" s="8" t="s">
        <v>116</v>
      </c>
      <c r="B27" s="3">
        <v>41.358578258486538</v>
      </c>
      <c r="C27" s="3">
        <v>45.066517963522358</v>
      </c>
      <c r="D27" s="3">
        <v>69.387837238330889</v>
      </c>
    </row>
    <row r="28" spans="1:167" x14ac:dyDescent="0.2">
      <c r="A28" s="1" t="s">
        <v>110</v>
      </c>
      <c r="B28" s="3">
        <v>47.492806477479157</v>
      </c>
      <c r="C28" s="3">
        <v>46.618923025087376</v>
      </c>
      <c r="D28" s="3">
        <v>60.28885955272316</v>
      </c>
    </row>
    <row r="29" spans="1:167" x14ac:dyDescent="0.2">
      <c r="A29" s="1" t="s">
        <v>111</v>
      </c>
      <c r="B29" s="3">
        <v>5.635347554002335</v>
      </c>
      <c r="C29" s="3">
        <v>5.448344687223373</v>
      </c>
      <c r="D29" s="3">
        <v>5.453345410654074</v>
      </c>
    </row>
    <row r="30" spans="1:167" x14ac:dyDescent="0.2">
      <c r="A30" s="47" t="s">
        <v>113</v>
      </c>
      <c r="B30" s="3">
        <v>13.515130742464144</v>
      </c>
      <c r="C30" s="3">
        <v>7.9142804196324175</v>
      </c>
      <c r="D30" s="3">
        <v>6.8102920317968003</v>
      </c>
      <c r="E30" s="47"/>
      <c r="F30" s="47"/>
      <c r="G30" s="47"/>
    </row>
    <row r="31" spans="1:167" ht="15" x14ac:dyDescent="0.25">
      <c r="A31" s="48" t="s">
        <v>118</v>
      </c>
      <c r="B31" s="48"/>
      <c r="C31" s="48"/>
      <c r="D31" s="48"/>
      <c r="E31" s="48"/>
      <c r="F31" s="48"/>
      <c r="G31" s="48"/>
    </row>
    <row r="32" spans="1:167" x14ac:dyDescent="0.2">
      <c r="A32" s="49" t="s">
        <v>119</v>
      </c>
      <c r="B32" s="50"/>
      <c r="C32" s="50"/>
      <c r="D32" s="50"/>
      <c r="E32" s="50"/>
      <c r="F32" s="50"/>
      <c r="G32" s="50"/>
      <c r="H32" s="51"/>
    </row>
    <row r="33" spans="1:8" ht="40.5" customHeight="1" x14ac:dyDescent="0.2">
      <c r="A33" s="34" t="s">
        <v>120</v>
      </c>
      <c r="B33" s="50"/>
      <c r="C33" s="50"/>
      <c r="D33" s="50"/>
      <c r="E33" s="50"/>
      <c r="F33" s="50"/>
      <c r="G33" s="50"/>
      <c r="H33" s="51"/>
    </row>
    <row r="38" spans="1:8" ht="15" x14ac:dyDescent="0.25">
      <c r="B38" s="52"/>
      <c r="C38" s="52"/>
      <c r="D38" s="52"/>
    </row>
    <row r="39" spans="1:8" ht="15" x14ac:dyDescent="0.25">
      <c r="B39" s="52"/>
      <c r="C39" s="52"/>
      <c r="D39" s="52"/>
    </row>
    <row r="40" spans="1:8" ht="15" x14ac:dyDescent="0.25">
      <c r="B40" s="52"/>
      <c r="C40" s="52"/>
      <c r="D40" s="52"/>
    </row>
    <row r="41" spans="1:8" ht="15" x14ac:dyDescent="0.25">
      <c r="B41" s="52"/>
      <c r="C41" s="52"/>
      <c r="D41" s="52"/>
    </row>
    <row r="42" spans="1:8" ht="15" x14ac:dyDescent="0.25">
      <c r="B42" s="52"/>
      <c r="C42" s="52"/>
      <c r="D42" s="52"/>
    </row>
    <row r="43" spans="1:8" ht="15" x14ac:dyDescent="0.25">
      <c r="B43" s="52"/>
      <c r="C43" s="52"/>
      <c r="D43" s="52"/>
    </row>
    <row r="44" spans="1:8" ht="15" x14ac:dyDescent="0.25">
      <c r="B44" s="52"/>
      <c r="C44" s="52"/>
      <c r="D44" s="52"/>
    </row>
    <row r="45" spans="1:8" ht="15" x14ac:dyDescent="0.25">
      <c r="B45" s="52"/>
      <c r="C45" s="52"/>
      <c r="D45" s="52"/>
    </row>
    <row r="46" spans="1:8" ht="15" x14ac:dyDescent="0.25">
      <c r="B46" s="52"/>
      <c r="C46" s="52"/>
      <c r="D46" s="52"/>
    </row>
    <row r="47" spans="1:8" ht="15" x14ac:dyDescent="0.25">
      <c r="B47" s="52"/>
      <c r="C47" s="52"/>
      <c r="D47" s="52"/>
    </row>
    <row r="48" spans="1:8" ht="15" x14ac:dyDescent="0.25">
      <c r="B48" s="52"/>
      <c r="C48" s="52"/>
      <c r="D48" s="52"/>
    </row>
    <row r="49" spans="2:4" ht="15" x14ac:dyDescent="0.25">
      <c r="B49" s="52"/>
      <c r="C49" s="52"/>
      <c r="D49" s="52"/>
    </row>
    <row r="50" spans="2:4" ht="15" x14ac:dyDescent="0.25">
      <c r="B50" s="52"/>
      <c r="C50" s="52"/>
      <c r="D50" s="52"/>
    </row>
    <row r="51" spans="2:4" ht="15" x14ac:dyDescent="0.25">
      <c r="B51" s="52"/>
      <c r="C51" s="52"/>
      <c r="D51" s="52"/>
    </row>
    <row r="52" spans="2:4" ht="15" x14ac:dyDescent="0.25">
      <c r="B52" s="52"/>
      <c r="C52" s="52"/>
      <c r="D52" s="52"/>
    </row>
    <row r="53" spans="2:4" ht="15" x14ac:dyDescent="0.25">
      <c r="B53" s="52"/>
      <c r="C53" s="52"/>
      <c r="D53" s="52"/>
    </row>
    <row r="54" spans="2:4" ht="15" x14ac:dyDescent="0.25">
      <c r="B54" s="52"/>
      <c r="C54" s="52"/>
      <c r="D54" s="52"/>
    </row>
    <row r="55" spans="2:4" ht="15" x14ac:dyDescent="0.25">
      <c r="B55" s="52"/>
      <c r="C55" s="52"/>
      <c r="D55" s="52"/>
    </row>
    <row r="56" spans="2:4" ht="15" x14ac:dyDescent="0.25">
      <c r="B56" s="52"/>
      <c r="C56" s="52"/>
      <c r="D56" s="52"/>
    </row>
    <row r="57" spans="2:4" ht="15" x14ac:dyDescent="0.25">
      <c r="B57" s="52"/>
      <c r="C57" s="52"/>
      <c r="D57" s="52"/>
    </row>
    <row r="58" spans="2:4" ht="15" x14ac:dyDescent="0.25">
      <c r="B58" s="52"/>
      <c r="C58" s="52"/>
      <c r="D58" s="52"/>
    </row>
    <row r="59" spans="2:4" ht="15" x14ac:dyDescent="0.25">
      <c r="B59" s="52"/>
      <c r="C59" s="52"/>
      <c r="D59" s="52"/>
    </row>
  </sheetData>
  <mergeCells count="3">
    <mergeCell ref="A31:G31"/>
    <mergeCell ref="A32:G32"/>
    <mergeCell ref="A33:G33"/>
  </mergeCells>
  <pageMargins left="0.75" right="0.75" top="0.28000000000000003" bottom="0.43"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25"/>
  <sheetViews>
    <sheetView workbookViewId="0">
      <selection activeCell="A43" sqref="A43"/>
    </sheetView>
  </sheetViews>
  <sheetFormatPr defaultRowHeight="12.75" x14ac:dyDescent="0.2"/>
  <cols>
    <col min="1" max="1" width="42.140625" style="1" customWidth="1"/>
    <col min="2" max="16384" width="9.140625" style="1"/>
  </cols>
  <sheetData>
    <row r="1" spans="1:16" x14ac:dyDescent="0.2">
      <c r="A1" s="6" t="s">
        <v>24</v>
      </c>
    </row>
    <row r="3" spans="1:16" x14ac:dyDescent="0.2">
      <c r="A3" s="6" t="s">
        <v>23</v>
      </c>
    </row>
    <row r="5" spans="1:16" x14ac:dyDescent="0.2">
      <c r="A5" s="6" t="s">
        <v>22</v>
      </c>
      <c r="B5" s="6">
        <v>1985</v>
      </c>
      <c r="C5" s="6">
        <v>1988</v>
      </c>
      <c r="D5" s="6">
        <v>1991</v>
      </c>
      <c r="E5" s="6">
        <v>1994</v>
      </c>
      <c r="F5" s="6">
        <v>1998</v>
      </c>
    </row>
    <row r="6" spans="1:16" x14ac:dyDescent="0.2">
      <c r="A6" s="1" t="s">
        <v>21</v>
      </c>
      <c r="B6" s="4">
        <v>73.043000000000006</v>
      </c>
      <c r="C6" s="4">
        <v>83.84</v>
      </c>
      <c r="D6" s="4">
        <v>78.846000000000004</v>
      </c>
      <c r="E6" s="4">
        <v>95.084000000000003</v>
      </c>
      <c r="F6" s="4">
        <v>102.42</v>
      </c>
    </row>
    <row r="7" spans="1:16" x14ac:dyDescent="0.2">
      <c r="B7" s="4"/>
      <c r="C7" s="4"/>
      <c r="D7" s="4"/>
      <c r="E7" s="4"/>
      <c r="F7" s="4"/>
    </row>
    <row r="8" spans="1:16" ht="14.25" x14ac:dyDescent="0.2">
      <c r="A8" s="6" t="s">
        <v>20</v>
      </c>
      <c r="B8" s="4"/>
      <c r="C8" s="4"/>
      <c r="D8" s="4"/>
      <c r="E8" s="4"/>
      <c r="F8" s="4"/>
      <c r="H8" s="6"/>
      <c r="I8" s="6"/>
      <c r="J8" s="6"/>
      <c r="K8" s="6"/>
      <c r="L8" s="6"/>
      <c r="M8" s="6"/>
      <c r="O8" s="6"/>
      <c r="P8" s="6"/>
    </row>
    <row r="9" spans="1:16" x14ac:dyDescent="0.2">
      <c r="A9" s="1" t="s">
        <v>19</v>
      </c>
      <c r="B9" s="5" t="s">
        <v>14</v>
      </c>
      <c r="C9" s="4">
        <v>64.058800000000005</v>
      </c>
      <c r="D9" s="4">
        <v>56.327300000000001</v>
      </c>
      <c r="E9" s="4">
        <v>69.887299999999996</v>
      </c>
      <c r="F9" s="4">
        <v>57.384262999999997</v>
      </c>
      <c r="H9" s="7"/>
      <c r="I9" s="7"/>
      <c r="J9" s="7"/>
      <c r="K9" s="7"/>
      <c r="L9" s="7"/>
      <c r="M9" s="7"/>
      <c r="O9" s="7"/>
      <c r="P9" s="7"/>
    </row>
    <row r="10" spans="1:16" x14ac:dyDescent="0.2">
      <c r="A10" s="1" t="s">
        <v>18</v>
      </c>
      <c r="B10" s="5" t="s">
        <v>14</v>
      </c>
      <c r="C10" s="4">
        <v>25.700800000000001</v>
      </c>
      <c r="D10" s="4">
        <v>19.685099999999998</v>
      </c>
      <c r="E10" s="4">
        <v>27.826799999999999</v>
      </c>
      <c r="F10" s="4">
        <v>24.584785</v>
      </c>
      <c r="H10" s="7"/>
      <c r="I10" s="7"/>
      <c r="J10" s="7"/>
      <c r="K10" s="7"/>
      <c r="L10" s="7"/>
      <c r="M10" s="7"/>
      <c r="O10" s="7"/>
      <c r="P10" s="7"/>
    </row>
    <row r="11" spans="1:16" x14ac:dyDescent="0.2">
      <c r="B11" s="5"/>
      <c r="C11" s="4"/>
      <c r="D11" s="4"/>
      <c r="E11" s="4"/>
      <c r="F11" s="4"/>
    </row>
    <row r="12" spans="1:16" x14ac:dyDescent="0.2">
      <c r="A12" s="6" t="s">
        <v>17</v>
      </c>
      <c r="B12" s="5"/>
      <c r="C12" s="4"/>
      <c r="D12" s="4"/>
      <c r="E12" s="4"/>
      <c r="F12" s="4"/>
      <c r="I12" s="3"/>
      <c r="J12" s="3"/>
      <c r="K12" s="3"/>
      <c r="L12" s="3"/>
    </row>
    <row r="13" spans="1:16" ht="14.25" x14ac:dyDescent="0.2">
      <c r="A13" s="1" t="s">
        <v>16</v>
      </c>
      <c r="B13" s="5" t="s">
        <v>14</v>
      </c>
      <c r="C13" s="4">
        <v>65.951634484157921</v>
      </c>
      <c r="D13" s="4">
        <v>59.385586888293517</v>
      </c>
      <c r="E13" s="4">
        <v>71.413948139354957</v>
      </c>
      <c r="F13" s="4">
        <v>57.384263000000004</v>
      </c>
      <c r="I13" s="3"/>
      <c r="J13" s="3"/>
      <c r="K13" s="3"/>
      <c r="L13" s="3"/>
    </row>
    <row r="14" spans="1:16" ht="14.25" x14ac:dyDescent="0.2">
      <c r="A14" s="1" t="s">
        <v>15</v>
      </c>
      <c r="B14" s="5" t="s">
        <v>14</v>
      </c>
      <c r="C14" s="4">
        <v>26.226706049822063</v>
      </c>
      <c r="D14" s="4">
        <v>20.609067743009319</v>
      </c>
      <c r="E14" s="4">
        <v>28.78945048018252</v>
      </c>
      <c r="F14" s="4">
        <v>24.584785</v>
      </c>
      <c r="I14" s="3"/>
      <c r="J14" s="3"/>
      <c r="K14" s="3"/>
      <c r="L14" s="3"/>
    </row>
    <row r="16" spans="1:16" ht="15" x14ac:dyDescent="0.25">
      <c r="A16" s="2" t="s">
        <v>13</v>
      </c>
    </row>
    <row r="17" spans="1:1" ht="15" x14ac:dyDescent="0.25">
      <c r="A17" s="2" t="s">
        <v>12</v>
      </c>
    </row>
    <row r="18" spans="1:1" ht="15" x14ac:dyDescent="0.25">
      <c r="A18" s="2" t="s">
        <v>11</v>
      </c>
    </row>
    <row r="20" spans="1:1" ht="15" x14ac:dyDescent="0.25">
      <c r="A20" s="1" t="s">
        <v>10</v>
      </c>
    </row>
    <row r="21" spans="1:1" x14ac:dyDescent="0.2">
      <c r="A21" s="1" t="s">
        <v>9</v>
      </c>
    </row>
    <row r="22" spans="1:1" x14ac:dyDescent="0.2">
      <c r="A22" s="1" t="s">
        <v>8</v>
      </c>
    </row>
    <row r="23" spans="1:1" x14ac:dyDescent="0.2">
      <c r="A23" s="1" t="s">
        <v>7</v>
      </c>
    </row>
    <row r="24" spans="1:1" ht="15" x14ac:dyDescent="0.25">
      <c r="A24" s="1" t="s">
        <v>6</v>
      </c>
    </row>
    <row r="25" spans="1:1" x14ac:dyDescent="0.2">
      <c r="A25" s="1" t="s">
        <v>5</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38"/>
  <sheetViews>
    <sheetView zoomScale="75" workbookViewId="0">
      <selection activeCell="A28" sqref="A28"/>
    </sheetView>
  </sheetViews>
  <sheetFormatPr defaultRowHeight="12.75" x14ac:dyDescent="0.2"/>
  <cols>
    <col min="1" max="1" width="28.85546875" style="1" customWidth="1"/>
    <col min="2" max="16384" width="9.140625" style="1"/>
  </cols>
  <sheetData>
    <row r="1" spans="1:9" x14ac:dyDescent="0.2">
      <c r="A1" s="6" t="s">
        <v>51</v>
      </c>
      <c r="B1" s="8"/>
      <c r="C1" s="8"/>
      <c r="D1" s="8"/>
      <c r="E1" s="8"/>
      <c r="F1" s="8"/>
      <c r="G1" s="8"/>
      <c r="H1" s="8"/>
      <c r="I1" s="8"/>
    </row>
    <row r="2" spans="1:9" x14ac:dyDescent="0.2">
      <c r="A2" s="6"/>
      <c r="B2" s="8"/>
      <c r="C2" s="8"/>
      <c r="D2" s="8"/>
      <c r="E2" s="8"/>
      <c r="F2" s="8"/>
      <c r="G2" s="8"/>
      <c r="H2" s="8"/>
      <c r="I2" s="8"/>
    </row>
    <row r="3" spans="1:9" x14ac:dyDescent="0.2">
      <c r="A3" s="12" t="s">
        <v>50</v>
      </c>
      <c r="B3" s="8"/>
      <c r="C3" s="8"/>
      <c r="D3" s="8"/>
      <c r="E3" s="8"/>
      <c r="F3" s="8"/>
      <c r="G3" s="8"/>
      <c r="H3" s="8"/>
      <c r="I3" s="8"/>
    </row>
    <row r="4" spans="1:9" x14ac:dyDescent="0.2">
      <c r="A4" s="8"/>
      <c r="B4" s="8"/>
      <c r="C4" s="8"/>
      <c r="D4" s="8"/>
      <c r="E4" s="8"/>
      <c r="F4" s="8"/>
      <c r="G4" s="8"/>
      <c r="H4" s="8"/>
      <c r="I4" s="8"/>
    </row>
    <row r="5" spans="1:9" x14ac:dyDescent="0.2">
      <c r="A5" s="6" t="s">
        <v>22</v>
      </c>
      <c r="B5" s="6">
        <v>1985</v>
      </c>
      <c r="C5" s="6">
        <v>1988</v>
      </c>
      <c r="D5" s="6">
        <v>1991</v>
      </c>
      <c r="E5" s="6">
        <v>1994</v>
      </c>
      <c r="F5" s="6">
        <v>1998</v>
      </c>
      <c r="G5" s="8"/>
      <c r="H5" s="8"/>
      <c r="I5" s="8"/>
    </row>
    <row r="6" spans="1:9" x14ac:dyDescent="0.2">
      <c r="A6" s="8" t="s">
        <v>49</v>
      </c>
      <c r="B6" s="11" t="s">
        <v>14</v>
      </c>
      <c r="C6" s="9">
        <v>305.14800000000002</v>
      </c>
      <c r="D6" s="9">
        <v>315.52600000000001</v>
      </c>
      <c r="E6" s="9">
        <v>356.26900000000001</v>
      </c>
      <c r="F6" s="9">
        <v>388.31200000000001</v>
      </c>
      <c r="G6" s="8"/>
      <c r="H6" s="8"/>
      <c r="I6" s="8"/>
    </row>
    <row r="7" spans="1:9" x14ac:dyDescent="0.2">
      <c r="A7" s="8"/>
      <c r="B7" s="9"/>
      <c r="C7" s="9"/>
      <c r="D7" s="9"/>
      <c r="E7" s="9"/>
      <c r="F7" s="9"/>
      <c r="G7" s="8"/>
      <c r="H7" s="8"/>
      <c r="I7" s="8"/>
    </row>
    <row r="8" spans="1:9" x14ac:dyDescent="0.2">
      <c r="A8" s="6" t="s">
        <v>48</v>
      </c>
      <c r="B8" s="10"/>
      <c r="C8" s="10"/>
      <c r="D8" s="9"/>
      <c r="E8" s="9"/>
      <c r="F8" s="9"/>
      <c r="G8" s="8"/>
      <c r="H8" s="8"/>
      <c r="I8" s="8"/>
    </row>
    <row r="9" spans="1:9" x14ac:dyDescent="0.2">
      <c r="A9" s="8" t="s">
        <v>19</v>
      </c>
      <c r="B9" s="9">
        <v>200.02099999999999</v>
      </c>
      <c r="C9" s="9">
        <v>261.238</v>
      </c>
      <c r="D9" s="9">
        <v>298.54399999999998</v>
      </c>
      <c r="E9" s="9">
        <v>333.90499999999997</v>
      </c>
      <c r="F9" s="9">
        <v>402.72199999999998</v>
      </c>
      <c r="G9" s="8"/>
      <c r="H9" s="8"/>
      <c r="I9" s="8"/>
    </row>
    <row r="10" spans="1:9" x14ac:dyDescent="0.2">
      <c r="A10" s="8" t="s">
        <v>47</v>
      </c>
      <c r="B10" s="9">
        <v>196.29258517034069</v>
      </c>
      <c r="C10" s="9">
        <v>256.07299999999998</v>
      </c>
      <c r="D10" s="9">
        <v>291.51600000000002</v>
      </c>
      <c r="E10" s="9">
        <v>325.84100000000001</v>
      </c>
      <c r="F10" s="9">
        <v>392.78899999999999</v>
      </c>
      <c r="G10" s="8"/>
      <c r="H10" s="8"/>
      <c r="I10" s="8"/>
    </row>
    <row r="11" spans="1:9" x14ac:dyDescent="0.2">
      <c r="A11" s="8" t="s">
        <v>46</v>
      </c>
      <c r="B11" s="9">
        <v>67.134268537074149</v>
      </c>
      <c r="C11" s="9">
        <v>95.463999999999999</v>
      </c>
      <c r="D11" s="9">
        <v>113.946</v>
      </c>
      <c r="E11" s="9">
        <v>138.71899999999999</v>
      </c>
      <c r="F11" s="9">
        <v>164.76300000000001</v>
      </c>
      <c r="G11" s="8"/>
      <c r="H11" s="8"/>
      <c r="I11" s="8"/>
    </row>
    <row r="12" spans="1:9" ht="14.25" x14ac:dyDescent="0.2">
      <c r="A12" s="8" t="s">
        <v>45</v>
      </c>
      <c r="B12" s="9">
        <v>95.257499999999993</v>
      </c>
      <c r="C12" s="9">
        <v>137.8253</v>
      </c>
      <c r="D12" s="9">
        <v>154.79259999999999</v>
      </c>
      <c r="E12" s="9">
        <v>181.601</v>
      </c>
      <c r="F12" s="9">
        <v>181.44084671437156</v>
      </c>
      <c r="G12" s="8"/>
      <c r="H12" s="8"/>
      <c r="I12" s="8"/>
    </row>
    <row r="13" spans="1:9" x14ac:dyDescent="0.2">
      <c r="A13" s="8" t="s">
        <v>44</v>
      </c>
      <c r="B13" s="9">
        <v>95.25739999999999</v>
      </c>
      <c r="C13" s="9">
        <v>137.87879999999998</v>
      </c>
      <c r="D13" s="9">
        <v>154.79270000000002</v>
      </c>
      <c r="E13" s="9">
        <v>181.68189999999998</v>
      </c>
      <c r="F13" s="9">
        <v>219.32773999999998</v>
      </c>
      <c r="G13" s="8"/>
      <c r="H13" s="8"/>
      <c r="I13" s="8"/>
    </row>
    <row r="14" spans="1:9" x14ac:dyDescent="0.2">
      <c r="A14" s="8"/>
      <c r="B14" s="9"/>
      <c r="C14" s="9"/>
      <c r="D14" s="9"/>
      <c r="E14" s="9"/>
      <c r="F14" s="9"/>
      <c r="G14" s="8"/>
      <c r="H14" s="8"/>
      <c r="I14" s="8"/>
    </row>
    <row r="15" spans="1:9" x14ac:dyDescent="0.2">
      <c r="A15" s="6" t="s">
        <v>43</v>
      </c>
      <c r="B15" s="9"/>
      <c r="C15" s="9"/>
      <c r="D15" s="9"/>
      <c r="E15" s="9"/>
      <c r="F15" s="9"/>
      <c r="G15" s="8"/>
      <c r="H15" s="8"/>
      <c r="I15" s="8"/>
    </row>
    <row r="16" spans="1:9" ht="14.25" x14ac:dyDescent="0.2">
      <c r="A16" s="8" t="s">
        <v>16</v>
      </c>
      <c r="B16" s="9">
        <v>273.42967394294271</v>
      </c>
      <c r="C16" s="9">
        <v>328.92219729333112</v>
      </c>
      <c r="D16" s="9">
        <v>341.36705641679856</v>
      </c>
      <c r="E16" s="9">
        <v>359.08371270635371</v>
      </c>
      <c r="F16" s="9">
        <v>402.72199999999998</v>
      </c>
      <c r="G16" s="8"/>
      <c r="H16" s="8"/>
      <c r="I16" s="8"/>
    </row>
    <row r="17" spans="1:9" ht="14.25" x14ac:dyDescent="0.2">
      <c r="A17" s="8" t="s">
        <v>42</v>
      </c>
      <c r="B17" s="9">
        <v>268.33291284686891</v>
      </c>
      <c r="C17" s="9">
        <v>322.41899657590079</v>
      </c>
      <c r="D17" s="9">
        <v>333.33096233184875</v>
      </c>
      <c r="E17" s="9">
        <v>350.41163214672139</v>
      </c>
      <c r="F17" s="9">
        <v>392.78899999999999</v>
      </c>
      <c r="G17" s="8"/>
      <c r="H17" s="8"/>
      <c r="I17" s="8"/>
    </row>
    <row r="18" spans="1:9" ht="14.25" x14ac:dyDescent="0.2">
      <c r="A18" s="8" t="s">
        <v>41</v>
      </c>
      <c r="B18" s="9">
        <v>103.56899596944085</v>
      </c>
      <c r="C18" s="9">
        <v>129.81773389018423</v>
      </c>
      <c r="D18" s="9">
        <v>137.08803237030909</v>
      </c>
      <c r="E18" s="9">
        <v>154.40245383050564</v>
      </c>
      <c r="F18" s="9">
        <v>164.76300000000001</v>
      </c>
      <c r="G18" s="8"/>
      <c r="H18" s="8"/>
      <c r="I18" s="8"/>
    </row>
    <row r="19" spans="1:9" ht="14.25" x14ac:dyDescent="0.2">
      <c r="A19" s="8" t="s">
        <v>40</v>
      </c>
      <c r="B19" s="9">
        <v>146.95510725808796</v>
      </c>
      <c r="C19" s="9">
        <v>187.4231974224295</v>
      </c>
      <c r="D19" s="9">
        <v>186.23043335864625</v>
      </c>
      <c r="E19" s="9">
        <v>202.13265679592308</v>
      </c>
      <c r="F19" s="9">
        <v>181.44084671437156</v>
      </c>
      <c r="G19" s="8"/>
      <c r="H19" s="8"/>
      <c r="I19" s="8"/>
    </row>
    <row r="20" spans="1:9" ht="14.25" x14ac:dyDescent="0.2">
      <c r="A20" s="8" t="s">
        <v>39</v>
      </c>
      <c r="B20" s="9">
        <v>141.9028287512588</v>
      </c>
      <c r="C20" s="9">
        <v>176.91182036213812</v>
      </c>
      <c r="D20" s="9">
        <v>190.10137108758823</v>
      </c>
      <c r="E20" s="9">
        <v>207.35110469669206</v>
      </c>
      <c r="F20" s="9">
        <v>219.32773999999998</v>
      </c>
      <c r="G20" s="8"/>
      <c r="H20" s="8"/>
      <c r="I20" s="8"/>
    </row>
    <row r="21" spans="1:9" x14ac:dyDescent="0.2">
      <c r="A21" s="8"/>
      <c r="B21" s="8"/>
      <c r="C21" s="8"/>
      <c r="D21" s="8"/>
      <c r="E21" s="8"/>
      <c r="F21" s="8"/>
      <c r="G21" s="8"/>
      <c r="H21" s="8"/>
      <c r="I21" s="8"/>
    </row>
    <row r="22" spans="1:9" ht="14.25" x14ac:dyDescent="0.2">
      <c r="A22" s="2" t="s">
        <v>38</v>
      </c>
      <c r="B22" s="8"/>
      <c r="C22" s="8"/>
      <c r="D22" s="8"/>
      <c r="E22" s="8"/>
      <c r="F22" s="8"/>
      <c r="G22" s="8"/>
      <c r="H22" s="8"/>
      <c r="I22" s="8"/>
    </row>
    <row r="23" spans="1:9" x14ac:dyDescent="0.2">
      <c r="A23" s="8" t="s">
        <v>37</v>
      </c>
      <c r="B23" s="8"/>
      <c r="C23" s="8"/>
      <c r="D23" s="8"/>
      <c r="E23" s="8"/>
      <c r="F23" s="8"/>
      <c r="G23" s="8"/>
      <c r="H23" s="8"/>
      <c r="I23" s="8"/>
    </row>
    <row r="24" spans="1:9" ht="14.25" x14ac:dyDescent="0.2">
      <c r="A24" s="2" t="s">
        <v>36</v>
      </c>
      <c r="B24" s="8"/>
      <c r="C24" s="8"/>
      <c r="D24" s="8"/>
      <c r="E24" s="8"/>
      <c r="F24" s="8"/>
      <c r="G24" s="8"/>
      <c r="H24" s="8"/>
      <c r="I24" s="8"/>
    </row>
    <row r="25" spans="1:9" x14ac:dyDescent="0.2">
      <c r="A25" s="8" t="s">
        <v>35</v>
      </c>
      <c r="B25" s="8"/>
      <c r="C25" s="8"/>
      <c r="D25" s="8"/>
      <c r="E25" s="8"/>
      <c r="F25" s="8"/>
      <c r="G25" s="8"/>
      <c r="H25" s="8"/>
      <c r="I25" s="8"/>
    </row>
    <row r="26" spans="1:9" ht="14.25" x14ac:dyDescent="0.2">
      <c r="A26" s="2" t="s">
        <v>34</v>
      </c>
      <c r="B26" s="8"/>
      <c r="C26" s="8"/>
      <c r="D26" s="8"/>
      <c r="E26" s="8"/>
      <c r="F26" s="8"/>
      <c r="G26" s="8"/>
      <c r="H26" s="8"/>
      <c r="I26" s="8"/>
    </row>
    <row r="27" spans="1:9" x14ac:dyDescent="0.2">
      <c r="A27" s="8" t="s">
        <v>33</v>
      </c>
      <c r="B27" s="8"/>
      <c r="C27" s="8"/>
      <c r="D27" s="8"/>
      <c r="E27" s="8"/>
      <c r="F27" s="8"/>
      <c r="G27" s="8"/>
      <c r="H27" s="8"/>
      <c r="I27" s="8"/>
    </row>
    <row r="28" spans="1:9" ht="14.25" x14ac:dyDescent="0.2">
      <c r="A28" s="2" t="s">
        <v>32</v>
      </c>
      <c r="B28" s="8"/>
      <c r="C28" s="8"/>
      <c r="D28" s="8"/>
      <c r="E28" s="8"/>
      <c r="F28" s="8"/>
      <c r="G28" s="8"/>
      <c r="H28" s="8"/>
      <c r="I28" s="8"/>
    </row>
    <row r="29" spans="1:9" x14ac:dyDescent="0.2">
      <c r="A29" s="8" t="s">
        <v>31</v>
      </c>
      <c r="B29" s="8"/>
      <c r="C29" s="8"/>
      <c r="D29" s="8"/>
      <c r="E29" s="8"/>
      <c r="F29" s="8"/>
      <c r="G29" s="8"/>
      <c r="H29" s="8"/>
      <c r="I29" s="8"/>
    </row>
    <row r="30" spans="1:9" x14ac:dyDescent="0.2">
      <c r="A30" s="8"/>
      <c r="B30" s="8"/>
      <c r="C30" s="8"/>
      <c r="D30" s="8"/>
      <c r="E30" s="8"/>
      <c r="F30" s="8"/>
      <c r="G30" s="8"/>
      <c r="H30" s="8"/>
      <c r="I30" s="8"/>
    </row>
    <row r="31" spans="1:9" x14ac:dyDescent="0.2">
      <c r="A31" s="8" t="s">
        <v>30</v>
      </c>
      <c r="B31" s="8"/>
      <c r="C31" s="8"/>
      <c r="D31" s="8"/>
      <c r="E31" s="8"/>
      <c r="F31" s="8"/>
      <c r="G31" s="8"/>
      <c r="H31" s="8"/>
      <c r="I31" s="8"/>
    </row>
    <row r="32" spans="1:9" x14ac:dyDescent="0.2">
      <c r="A32" s="8" t="s">
        <v>29</v>
      </c>
      <c r="B32" s="8"/>
      <c r="C32" s="8"/>
      <c r="D32" s="8"/>
      <c r="E32" s="8"/>
      <c r="F32" s="8"/>
      <c r="G32" s="8"/>
      <c r="H32" s="8"/>
      <c r="I32" s="8"/>
    </row>
    <row r="33" spans="1:9" x14ac:dyDescent="0.2">
      <c r="A33" s="8" t="s">
        <v>28</v>
      </c>
      <c r="B33" s="8"/>
      <c r="C33" s="8"/>
      <c r="D33" s="8"/>
      <c r="E33" s="8"/>
      <c r="F33" s="8"/>
      <c r="G33" s="8"/>
      <c r="H33" s="8"/>
      <c r="I33" s="8"/>
    </row>
    <row r="34" spans="1:9" x14ac:dyDescent="0.2">
      <c r="A34" s="8" t="s">
        <v>27</v>
      </c>
      <c r="B34" s="8"/>
      <c r="C34" s="8"/>
      <c r="D34" s="8"/>
      <c r="E34" s="8"/>
      <c r="F34" s="8"/>
      <c r="G34" s="8"/>
      <c r="H34" s="8"/>
      <c r="I34" s="8"/>
    </row>
    <row r="35" spans="1:9" x14ac:dyDescent="0.2">
      <c r="A35" s="8" t="s">
        <v>26</v>
      </c>
      <c r="B35" s="8"/>
      <c r="C35" s="8"/>
      <c r="D35" s="8"/>
      <c r="E35" s="8"/>
      <c r="F35" s="8"/>
      <c r="G35" s="8"/>
      <c r="H35" s="8"/>
      <c r="I35" s="8"/>
    </row>
    <row r="36" spans="1:9" x14ac:dyDescent="0.2">
      <c r="A36" s="8" t="s">
        <v>25</v>
      </c>
      <c r="B36" s="8"/>
      <c r="C36" s="8"/>
      <c r="D36" s="8"/>
      <c r="E36" s="8"/>
      <c r="F36" s="8"/>
      <c r="G36" s="8"/>
      <c r="H36" s="8"/>
      <c r="I36" s="8"/>
    </row>
    <row r="37" spans="1:9" x14ac:dyDescent="0.2">
      <c r="A37" s="8"/>
      <c r="B37" s="8"/>
      <c r="C37" s="8"/>
      <c r="D37" s="8"/>
      <c r="E37" s="8"/>
      <c r="F37" s="8"/>
      <c r="G37" s="8"/>
      <c r="H37" s="8"/>
      <c r="I37" s="8"/>
    </row>
    <row r="38" spans="1:9" x14ac:dyDescent="0.2">
      <c r="A38" s="8"/>
      <c r="B38" s="8"/>
      <c r="C38" s="8"/>
      <c r="D38" s="8"/>
      <c r="E38" s="8"/>
      <c r="F38" s="8"/>
      <c r="G38" s="8"/>
      <c r="H38" s="8"/>
      <c r="I38" s="8"/>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5"/>
  <sheetViews>
    <sheetView workbookViewId="0">
      <selection activeCell="B6" sqref="B6"/>
    </sheetView>
  </sheetViews>
  <sheetFormatPr defaultRowHeight="12.75" x14ac:dyDescent="0.2"/>
  <cols>
    <col min="1" max="1" width="23.140625" style="1" customWidth="1"/>
    <col min="2" max="16384" width="9.140625" style="1"/>
  </cols>
  <sheetData>
    <row r="1" spans="1:12" x14ac:dyDescent="0.2">
      <c r="A1" s="6" t="s">
        <v>70</v>
      </c>
    </row>
    <row r="3" spans="1:12" x14ac:dyDescent="0.2">
      <c r="A3" s="29" t="s">
        <v>69</v>
      </c>
      <c r="B3" s="13"/>
      <c r="C3" s="13"/>
      <c r="D3" s="13"/>
      <c r="E3" s="13"/>
      <c r="F3" s="13"/>
      <c r="G3" s="13"/>
      <c r="H3" s="13"/>
      <c r="I3" s="13"/>
      <c r="J3" s="13"/>
      <c r="K3" s="13"/>
      <c r="L3" s="13"/>
    </row>
    <row r="4" spans="1:12" x14ac:dyDescent="0.2">
      <c r="A4" s="13"/>
      <c r="B4" s="13"/>
      <c r="C4" s="13"/>
      <c r="D4" s="13"/>
      <c r="E4" s="13"/>
      <c r="F4" s="13"/>
      <c r="G4" s="13"/>
      <c r="H4" s="13"/>
      <c r="I4" s="13"/>
      <c r="J4" s="13"/>
      <c r="K4" s="13"/>
      <c r="L4" s="13"/>
    </row>
    <row r="5" spans="1:12" x14ac:dyDescent="0.2">
      <c r="A5" s="23" t="s">
        <v>22</v>
      </c>
      <c r="B5" s="23">
        <v>1985</v>
      </c>
      <c r="C5" s="23">
        <v>1988</v>
      </c>
      <c r="D5" s="23">
        <v>1991</v>
      </c>
      <c r="E5" s="23">
        <v>1994</v>
      </c>
      <c r="F5" s="23">
        <v>1998</v>
      </c>
      <c r="G5" s="28"/>
      <c r="H5" s="28"/>
      <c r="I5" s="13"/>
      <c r="J5" s="13"/>
      <c r="K5" s="13"/>
      <c r="L5" s="13"/>
    </row>
    <row r="6" spans="1:12" x14ac:dyDescent="0.2">
      <c r="A6" s="27" t="s">
        <v>68</v>
      </c>
      <c r="B6" s="21">
        <v>14.52</v>
      </c>
      <c r="C6" s="21">
        <v>15.02</v>
      </c>
      <c r="D6" s="21">
        <v>15.26</v>
      </c>
      <c r="E6" s="21">
        <v>15.79</v>
      </c>
      <c r="F6" s="21">
        <v>17.03</v>
      </c>
      <c r="G6" s="20"/>
      <c r="H6" s="19"/>
      <c r="I6" s="26"/>
      <c r="J6" s="27"/>
      <c r="K6" s="26"/>
      <c r="L6" s="26"/>
    </row>
    <row r="7" spans="1:12" x14ac:dyDescent="0.2">
      <c r="A7" s="27" t="s">
        <v>67</v>
      </c>
      <c r="B7" s="21">
        <f>B6*365/1000</f>
        <v>5.2998000000000003</v>
      </c>
      <c r="C7" s="21">
        <f>C6*365/1000</f>
        <v>5.4823000000000004</v>
      </c>
      <c r="D7" s="21">
        <f>D6*365/1000</f>
        <v>5.5698999999999996</v>
      </c>
      <c r="E7" s="21">
        <f>E6*365/1000</f>
        <v>5.7633499999999991</v>
      </c>
      <c r="F7" s="21">
        <f>F6*365/1000</f>
        <v>6.2159500000000003</v>
      </c>
      <c r="G7" s="20"/>
      <c r="H7" s="19"/>
      <c r="I7" s="26"/>
      <c r="J7" s="27"/>
      <c r="K7" s="26"/>
      <c r="L7" s="26"/>
    </row>
    <row r="8" spans="1:12" x14ac:dyDescent="0.2">
      <c r="A8" s="27"/>
      <c r="B8" s="21"/>
      <c r="C8" s="21"/>
      <c r="D8" s="21"/>
      <c r="E8" s="21"/>
      <c r="F8" s="21"/>
      <c r="G8" s="20"/>
      <c r="H8" s="26"/>
      <c r="I8" s="26"/>
      <c r="J8" s="27"/>
      <c r="K8" s="26"/>
      <c r="L8" s="26"/>
    </row>
    <row r="9" spans="1:12" x14ac:dyDescent="0.2">
      <c r="A9" s="23" t="s">
        <v>48</v>
      </c>
      <c r="B9" s="21"/>
      <c r="C9" s="21"/>
      <c r="D9" s="21"/>
      <c r="E9" s="21"/>
      <c r="F9" s="21"/>
      <c r="G9" s="20"/>
      <c r="H9" s="26"/>
      <c r="I9" s="26"/>
      <c r="J9" s="27"/>
      <c r="K9" s="26"/>
      <c r="L9" s="26"/>
    </row>
    <row r="10" spans="1:12" x14ac:dyDescent="0.2">
      <c r="A10" s="24" t="s">
        <v>19</v>
      </c>
      <c r="B10" s="21">
        <v>190.202</v>
      </c>
      <c r="C10" s="21">
        <v>131.68100000000001</v>
      </c>
      <c r="D10" s="19">
        <v>159.14400000000001</v>
      </c>
      <c r="E10" s="19">
        <v>143.32900000000001</v>
      </c>
      <c r="F10" s="19">
        <v>136.65299999999999</v>
      </c>
      <c r="G10" s="20"/>
      <c r="H10" s="19"/>
      <c r="I10" s="18"/>
      <c r="J10" s="18"/>
      <c r="K10" s="18"/>
      <c r="L10" s="18"/>
    </row>
    <row r="11" spans="1:12" x14ac:dyDescent="0.2">
      <c r="A11" s="24" t="s">
        <v>47</v>
      </c>
      <c r="B11" s="21">
        <v>103.06198655713219</v>
      </c>
      <c r="C11" s="21">
        <v>129.07</v>
      </c>
      <c r="D11" s="19">
        <v>156.35499999999999</v>
      </c>
      <c r="E11" s="19">
        <v>141.214</v>
      </c>
      <c r="F11" s="19">
        <v>134.87100000000001</v>
      </c>
      <c r="G11" s="20"/>
      <c r="H11" s="19"/>
      <c r="I11" s="18"/>
      <c r="J11" s="18"/>
      <c r="K11" s="18"/>
      <c r="L11" s="18"/>
    </row>
    <row r="12" spans="1:12" x14ac:dyDescent="0.2">
      <c r="A12" s="24" t="s">
        <v>46</v>
      </c>
      <c r="B12" s="21">
        <v>17.401045556385363</v>
      </c>
      <c r="C12" s="21">
        <v>32.311</v>
      </c>
      <c r="D12" s="21">
        <v>28.806000000000001</v>
      </c>
      <c r="E12" s="21">
        <v>29.332000000000001</v>
      </c>
      <c r="F12" s="21">
        <v>32.912999999999997</v>
      </c>
      <c r="G12" s="20"/>
      <c r="H12" s="19"/>
      <c r="I12" s="18"/>
      <c r="J12" s="18"/>
      <c r="K12" s="18"/>
      <c r="L12" s="18"/>
    </row>
    <row r="13" spans="1:12" ht="14.25" x14ac:dyDescent="0.2">
      <c r="A13" s="25" t="s">
        <v>45</v>
      </c>
      <c r="B13" s="21">
        <v>17.111599999999999</v>
      </c>
      <c r="C13" s="21">
        <v>25.2912</v>
      </c>
      <c r="D13" s="21">
        <v>24.023599999999998</v>
      </c>
      <c r="E13" s="21">
        <v>29.078799999999998</v>
      </c>
      <c r="F13" s="21">
        <v>29.044781934190137</v>
      </c>
      <c r="G13" s="20"/>
      <c r="H13" s="19"/>
      <c r="I13" s="18"/>
      <c r="J13" s="18"/>
      <c r="K13" s="18"/>
      <c r="L13" s="18"/>
    </row>
    <row r="14" spans="1:12" x14ac:dyDescent="0.2">
      <c r="A14" s="24" t="s">
        <v>66</v>
      </c>
      <c r="B14" s="21">
        <v>17.111599999999999</v>
      </c>
      <c r="C14" s="21">
        <v>25.279799999999998</v>
      </c>
      <c r="D14" s="21">
        <v>24.023599999999998</v>
      </c>
      <c r="E14" s="21">
        <v>29.0989</v>
      </c>
      <c r="F14" s="21">
        <v>31.506869999999999</v>
      </c>
      <c r="G14" s="20"/>
      <c r="H14" s="19"/>
      <c r="I14" s="18"/>
      <c r="J14" s="18"/>
      <c r="K14" s="18"/>
      <c r="L14" s="18"/>
    </row>
    <row r="15" spans="1:12" x14ac:dyDescent="0.2">
      <c r="A15" s="22"/>
      <c r="B15" s="21"/>
      <c r="C15" s="21"/>
      <c r="D15" s="21"/>
      <c r="E15" s="21"/>
      <c r="F15" s="21"/>
      <c r="G15" s="20"/>
      <c r="H15" s="18"/>
      <c r="I15" s="18"/>
      <c r="J15" s="18"/>
      <c r="K15" s="18"/>
      <c r="L15" s="18"/>
    </row>
    <row r="16" spans="1:12" x14ac:dyDescent="0.2">
      <c r="A16" s="23" t="s">
        <v>43</v>
      </c>
      <c r="B16" s="21"/>
      <c r="C16" s="21"/>
      <c r="D16" s="21"/>
      <c r="E16" s="21"/>
      <c r="F16" s="21"/>
      <c r="G16" s="20"/>
      <c r="H16" s="18"/>
      <c r="I16" s="18"/>
      <c r="J16" s="18"/>
      <c r="K16" s="18"/>
      <c r="L16" s="18"/>
    </row>
    <row r="17" spans="1:12" ht="14.25" x14ac:dyDescent="0.2">
      <c r="A17" s="8" t="s">
        <v>16</v>
      </c>
      <c r="B17" s="21">
        <v>130.51550873978263</v>
      </c>
      <c r="C17" s="21">
        <v>129.12699202875297</v>
      </c>
      <c r="D17" s="21">
        <v>127.9267512942464</v>
      </c>
      <c r="E17" s="21">
        <v>127.58355230593557</v>
      </c>
      <c r="F17" s="21">
        <v>136.65299999999999</v>
      </c>
      <c r="G17" s="20"/>
      <c r="H17" s="19"/>
      <c r="I17" s="18"/>
      <c r="J17" s="18"/>
      <c r="K17" s="18"/>
      <c r="L17" s="18"/>
    </row>
    <row r="18" spans="1:12" ht="14.25" x14ac:dyDescent="0.2">
      <c r="A18" s="8" t="s">
        <v>42</v>
      </c>
      <c r="B18" s="21">
        <v>70.720537151222089</v>
      </c>
      <c r="C18" s="21">
        <v>126.56663346383412</v>
      </c>
      <c r="D18" s="21">
        <v>125.68483385243488</v>
      </c>
      <c r="E18" s="21">
        <v>125.70089622707465</v>
      </c>
      <c r="F18" s="21">
        <v>134.87100000000001</v>
      </c>
      <c r="G18" s="20"/>
      <c r="H18" s="19"/>
      <c r="I18" s="18"/>
      <c r="J18" s="18"/>
      <c r="K18" s="18"/>
      <c r="L18" s="18"/>
    </row>
    <row r="19" spans="1:12" ht="14.25" x14ac:dyDescent="0.2">
      <c r="A19" s="8" t="s">
        <v>41</v>
      </c>
      <c r="B19" s="21">
        <v>29.468725825749264</v>
      </c>
      <c r="C19" s="21">
        <v>38.352207764212132</v>
      </c>
      <c r="D19" s="21">
        <v>24.961362115187775</v>
      </c>
      <c r="E19" s="21">
        <v>27.37380567554596</v>
      </c>
      <c r="F19" s="21">
        <v>32.912999999999997</v>
      </c>
      <c r="G19" s="20"/>
      <c r="H19" s="19"/>
      <c r="I19" s="18"/>
      <c r="J19" s="18"/>
      <c r="K19" s="18"/>
      <c r="L19" s="18"/>
    </row>
    <row r="20" spans="1:12" ht="14.25" x14ac:dyDescent="0.2">
      <c r="A20" s="8" t="s">
        <v>65</v>
      </c>
      <c r="B20" s="21">
        <v>28.978548858223778</v>
      </c>
      <c r="C20" s="21">
        <v>30.019911392598246</v>
      </c>
      <c r="D20" s="21">
        <v>20.817252617872143</v>
      </c>
      <c r="E20" s="21">
        <v>27.137509221262295</v>
      </c>
      <c r="F20" s="21">
        <v>29.044781934190141</v>
      </c>
      <c r="G20" s="20"/>
      <c r="H20" s="19"/>
      <c r="I20" s="18"/>
      <c r="J20" s="18"/>
      <c r="K20" s="18"/>
      <c r="L20" s="18"/>
    </row>
    <row r="21" spans="1:12" ht="14.25" x14ac:dyDescent="0.2">
      <c r="A21" s="8" t="s">
        <v>64</v>
      </c>
      <c r="B21" s="21">
        <v>21.633268603351954</v>
      </c>
      <c r="C21" s="21">
        <v>28.951511842105262</v>
      </c>
      <c r="D21" s="21">
        <v>27.42680193724145</v>
      </c>
      <c r="E21" s="21">
        <v>32.062912990554096</v>
      </c>
      <c r="F21" s="21">
        <v>31.506869999999999</v>
      </c>
      <c r="G21" s="20"/>
      <c r="H21" s="19"/>
      <c r="I21" s="18"/>
      <c r="J21" s="18"/>
      <c r="K21" s="18"/>
      <c r="L21" s="18"/>
    </row>
    <row r="22" spans="1:12" x14ac:dyDescent="0.2">
      <c r="A22" s="22"/>
      <c r="B22" s="21"/>
      <c r="C22" s="21"/>
      <c r="D22" s="21"/>
      <c r="E22" s="21"/>
      <c r="F22" s="21"/>
      <c r="G22" s="20"/>
      <c r="H22" s="19"/>
      <c r="I22" s="18"/>
      <c r="J22" s="18"/>
      <c r="K22" s="18"/>
      <c r="L22" s="18"/>
    </row>
    <row r="23" spans="1:12" ht="14.25" x14ac:dyDescent="0.2">
      <c r="A23" s="2" t="s">
        <v>63</v>
      </c>
      <c r="B23" s="13"/>
      <c r="C23" s="13"/>
      <c r="D23" s="13"/>
      <c r="E23" s="13"/>
      <c r="F23" s="13"/>
      <c r="G23" s="13"/>
      <c r="H23" s="13"/>
      <c r="I23" s="13"/>
      <c r="J23" s="13"/>
      <c r="K23" s="13"/>
      <c r="L23" s="13"/>
    </row>
    <row r="24" spans="1:12" x14ac:dyDescent="0.2">
      <c r="A24" s="8" t="s">
        <v>62</v>
      </c>
      <c r="B24" s="13"/>
      <c r="C24" s="13"/>
      <c r="D24" s="13"/>
      <c r="E24" s="13"/>
      <c r="F24" s="13"/>
      <c r="G24" s="13"/>
      <c r="H24" s="13"/>
      <c r="I24" s="13"/>
      <c r="J24" s="13"/>
      <c r="K24" s="13"/>
      <c r="L24" s="13"/>
    </row>
    <row r="25" spans="1:12" ht="14.25" x14ac:dyDescent="0.2">
      <c r="A25" s="16" t="s">
        <v>61</v>
      </c>
      <c r="B25" s="13"/>
      <c r="C25" s="13"/>
      <c r="D25" s="13"/>
      <c r="E25" s="13"/>
      <c r="F25" s="13"/>
      <c r="G25" s="13"/>
      <c r="H25" s="13"/>
      <c r="I25" s="13"/>
      <c r="J25" s="13"/>
      <c r="K25" s="13"/>
      <c r="L25" s="13"/>
    </row>
    <row r="26" spans="1:12" x14ac:dyDescent="0.2">
      <c r="A26" s="17" t="s">
        <v>60</v>
      </c>
      <c r="B26" s="13"/>
      <c r="C26" s="13"/>
      <c r="D26" s="13"/>
      <c r="E26" s="13"/>
      <c r="F26" s="13"/>
      <c r="G26" s="13"/>
      <c r="H26" s="13"/>
      <c r="I26" s="13"/>
      <c r="J26" s="13"/>
      <c r="K26" s="13"/>
      <c r="L26" s="13"/>
    </row>
    <row r="27" spans="1:12" ht="14.25" x14ac:dyDescent="0.2">
      <c r="A27" s="16" t="s">
        <v>59</v>
      </c>
      <c r="B27" s="13"/>
      <c r="C27" s="13"/>
      <c r="D27" s="13"/>
      <c r="E27" s="13"/>
      <c r="F27" s="13"/>
      <c r="G27" s="13"/>
      <c r="H27" s="13"/>
      <c r="I27" s="13"/>
      <c r="J27" s="13"/>
      <c r="K27" s="13"/>
      <c r="L27" s="13"/>
    </row>
    <row r="28" spans="1:12" ht="14.25" x14ac:dyDescent="0.2">
      <c r="A28" s="2" t="s">
        <v>58</v>
      </c>
      <c r="B28" s="13"/>
      <c r="C28" s="13"/>
      <c r="D28" s="13"/>
      <c r="E28" s="13"/>
      <c r="F28" s="13"/>
      <c r="G28" s="13"/>
      <c r="H28" s="13"/>
      <c r="I28" s="13"/>
      <c r="J28" s="13"/>
      <c r="K28" s="13"/>
      <c r="L28" s="13"/>
    </row>
    <row r="29" spans="1:12" x14ac:dyDescent="0.2">
      <c r="A29" s="8" t="s">
        <v>57</v>
      </c>
      <c r="B29" s="13"/>
      <c r="C29" s="13"/>
      <c r="D29" s="13"/>
      <c r="E29" s="13"/>
      <c r="F29" s="13"/>
      <c r="G29" s="13"/>
      <c r="H29" s="13"/>
      <c r="I29" s="13"/>
      <c r="J29" s="13"/>
      <c r="K29" s="13"/>
      <c r="L29" s="13"/>
    </row>
    <row r="30" spans="1:12" x14ac:dyDescent="0.2">
      <c r="A30" s="13"/>
      <c r="B30" s="13"/>
      <c r="C30" s="13"/>
      <c r="D30" s="13"/>
      <c r="E30" s="13"/>
      <c r="F30" s="13"/>
      <c r="G30" s="13"/>
      <c r="H30" s="13"/>
      <c r="I30" s="13"/>
      <c r="J30" s="13"/>
      <c r="K30" s="13"/>
      <c r="L30" s="13"/>
    </row>
    <row r="31" spans="1:12" x14ac:dyDescent="0.2">
      <c r="A31" s="14" t="s">
        <v>56</v>
      </c>
      <c r="B31" s="13"/>
      <c r="C31" s="13"/>
      <c r="D31" s="13"/>
      <c r="E31" s="13"/>
      <c r="F31" s="13"/>
      <c r="G31" s="13"/>
      <c r="H31" s="13"/>
      <c r="I31" s="13"/>
      <c r="J31" s="13"/>
      <c r="K31" s="13"/>
      <c r="L31" s="13"/>
    </row>
    <row r="32" spans="1:12" x14ac:dyDescent="0.2">
      <c r="A32" s="14" t="s">
        <v>55</v>
      </c>
      <c r="B32" s="13"/>
      <c r="C32" s="13"/>
      <c r="D32" s="13"/>
      <c r="E32" s="13"/>
      <c r="F32" s="13"/>
      <c r="G32" s="13"/>
      <c r="H32" s="13"/>
      <c r="I32" s="13"/>
      <c r="J32" s="13"/>
      <c r="K32" s="13"/>
      <c r="L32" s="13"/>
    </row>
    <row r="33" spans="1:12" x14ac:dyDescent="0.2">
      <c r="A33" s="15" t="s">
        <v>54</v>
      </c>
      <c r="B33" s="13"/>
      <c r="C33" s="13"/>
      <c r="D33" s="13"/>
      <c r="E33" s="13"/>
      <c r="F33" s="13"/>
      <c r="G33" s="13"/>
      <c r="H33" s="13"/>
      <c r="I33" s="13"/>
      <c r="J33" s="13"/>
      <c r="K33" s="13"/>
      <c r="L33" s="13"/>
    </row>
    <row r="34" spans="1:12" x14ac:dyDescent="0.2">
      <c r="A34" s="15" t="s">
        <v>53</v>
      </c>
      <c r="B34" s="13"/>
      <c r="C34" s="13"/>
      <c r="D34" s="13"/>
      <c r="E34" s="13"/>
      <c r="F34" s="13"/>
      <c r="G34" s="13"/>
      <c r="H34" s="13"/>
      <c r="I34" s="13"/>
      <c r="J34" s="13"/>
      <c r="K34" s="13"/>
      <c r="L34" s="13"/>
    </row>
    <row r="35" spans="1:12" x14ac:dyDescent="0.2">
      <c r="A35" s="14" t="s">
        <v>52</v>
      </c>
      <c r="B35" s="13"/>
      <c r="C35" s="13"/>
      <c r="D35" s="13"/>
      <c r="E35" s="13"/>
      <c r="F35" s="13"/>
      <c r="G35" s="13"/>
      <c r="H35" s="13"/>
      <c r="I35" s="13"/>
      <c r="J35" s="13"/>
      <c r="K35" s="13"/>
      <c r="L35" s="13"/>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30"/>
  <sheetViews>
    <sheetView workbookViewId="0">
      <selection activeCell="J41" sqref="J41"/>
    </sheetView>
  </sheetViews>
  <sheetFormatPr defaultRowHeight="12.75" x14ac:dyDescent="0.2"/>
  <cols>
    <col min="1" max="1" width="29.42578125" style="1" customWidth="1"/>
    <col min="2" max="16384" width="9.140625" style="1"/>
  </cols>
  <sheetData>
    <row r="1" spans="1:6" x14ac:dyDescent="0.2">
      <c r="A1" s="6" t="s">
        <v>85</v>
      </c>
    </row>
    <row r="3" spans="1:6" x14ac:dyDescent="0.2">
      <c r="A3" s="6" t="s">
        <v>84</v>
      </c>
    </row>
    <row r="5" spans="1:6" x14ac:dyDescent="0.2">
      <c r="A5" s="6" t="s">
        <v>83</v>
      </c>
      <c r="B5" s="6">
        <v>1985</v>
      </c>
      <c r="C5" s="6">
        <v>1988</v>
      </c>
      <c r="D5" s="6">
        <v>1991</v>
      </c>
      <c r="E5" s="6">
        <v>1994</v>
      </c>
      <c r="F5" s="6">
        <v>1998</v>
      </c>
    </row>
    <row r="6" spans="1:6" x14ac:dyDescent="0.2">
      <c r="A6" s="1" t="s">
        <v>82</v>
      </c>
      <c r="B6" s="4">
        <v>3499.7</v>
      </c>
      <c r="C6" s="4">
        <v>3944.5</v>
      </c>
      <c r="D6" s="4">
        <v>4121.2</v>
      </c>
      <c r="E6" s="4">
        <v>3298.5</v>
      </c>
      <c r="F6" s="4">
        <v>2712.7</v>
      </c>
    </row>
    <row r="7" spans="1:6" x14ac:dyDescent="0.2">
      <c r="A7" s="1" t="s">
        <v>81</v>
      </c>
      <c r="B7" s="4">
        <v>1762</v>
      </c>
      <c r="C7" s="4">
        <v>2122</v>
      </c>
      <c r="D7" s="4">
        <v>2286</v>
      </c>
      <c r="E7" s="4">
        <v>3086</v>
      </c>
      <c r="F7" s="4">
        <v>3442</v>
      </c>
    </row>
    <row r="8" spans="1:6" x14ac:dyDescent="0.2">
      <c r="A8" s="1" t="s">
        <v>80</v>
      </c>
      <c r="B8" s="4">
        <v>1332</v>
      </c>
      <c r="C8" s="4">
        <v>1467</v>
      </c>
      <c r="D8" s="4">
        <v>1398</v>
      </c>
      <c r="E8" s="4">
        <v>3136</v>
      </c>
      <c r="F8" s="4">
        <v>3264</v>
      </c>
    </row>
    <row r="9" spans="1:6" x14ac:dyDescent="0.2">
      <c r="A9" s="1" t="s">
        <v>79</v>
      </c>
      <c r="B9" s="4">
        <v>6593.7</v>
      </c>
      <c r="C9" s="4">
        <v>7533.5</v>
      </c>
      <c r="D9" s="4">
        <v>7805.2</v>
      </c>
      <c r="E9" s="4">
        <v>9520.5</v>
      </c>
      <c r="F9" s="4">
        <v>9418.7000000000007</v>
      </c>
    </row>
    <row r="11" spans="1:6" ht="14.25" x14ac:dyDescent="0.2">
      <c r="A11" s="6" t="s">
        <v>20</v>
      </c>
    </row>
    <row r="12" spans="1:6" x14ac:dyDescent="0.2">
      <c r="A12" s="1" t="s">
        <v>19</v>
      </c>
      <c r="B12" s="1" t="s">
        <v>14</v>
      </c>
      <c r="C12" s="1" t="s">
        <v>14</v>
      </c>
      <c r="D12" s="1" t="s">
        <v>14</v>
      </c>
      <c r="E12" s="33">
        <v>39</v>
      </c>
      <c r="F12" s="32">
        <v>31.52946</v>
      </c>
    </row>
    <row r="13" spans="1:6" x14ac:dyDescent="0.2">
      <c r="A13" s="1" t="s">
        <v>18</v>
      </c>
      <c r="B13" s="1" t="s">
        <v>14</v>
      </c>
      <c r="C13" s="1" t="s">
        <v>14</v>
      </c>
      <c r="D13" s="1" t="s">
        <v>14</v>
      </c>
      <c r="E13" s="32">
        <v>13.8348</v>
      </c>
      <c r="F13" s="32">
        <v>10.757997</v>
      </c>
    </row>
    <row r="14" spans="1:6" x14ac:dyDescent="0.2">
      <c r="E14" s="32"/>
      <c r="F14" s="32"/>
    </row>
    <row r="15" spans="1:6" x14ac:dyDescent="0.2">
      <c r="A15" s="6" t="s">
        <v>43</v>
      </c>
      <c r="E15" s="32"/>
      <c r="F15" s="32"/>
    </row>
    <row r="16" spans="1:6" ht="14.25" x14ac:dyDescent="0.2">
      <c r="A16" s="1" t="s">
        <v>16</v>
      </c>
      <c r="B16" s="1" t="s">
        <v>14</v>
      </c>
      <c r="C16" s="1" t="s">
        <v>14</v>
      </c>
      <c r="D16" s="1" t="s">
        <v>14</v>
      </c>
      <c r="E16" s="32">
        <v>39.865829802117666</v>
      </c>
      <c r="F16" s="32">
        <v>31.529459999999997</v>
      </c>
    </row>
    <row r="17" spans="1:9" ht="14.25" x14ac:dyDescent="0.2">
      <c r="A17" s="1" t="s">
        <v>15</v>
      </c>
      <c r="B17" s="1" t="s">
        <v>14</v>
      </c>
      <c r="C17" s="1" t="s">
        <v>14</v>
      </c>
      <c r="D17" s="1" t="s">
        <v>14</v>
      </c>
      <c r="E17" s="32">
        <v>14.313406122990397</v>
      </c>
      <c r="F17" s="32">
        <v>10.757997</v>
      </c>
    </row>
    <row r="19" spans="1:9" ht="15" x14ac:dyDescent="0.25">
      <c r="A19" s="2" t="s">
        <v>78</v>
      </c>
    </row>
    <row r="20" spans="1:9" ht="15" x14ac:dyDescent="0.25">
      <c r="A20" s="2" t="s">
        <v>77</v>
      </c>
    </row>
    <row r="21" spans="1:9" x14ac:dyDescent="0.2">
      <c r="A21" s="8" t="s">
        <v>76</v>
      </c>
    </row>
    <row r="22" spans="1:9" ht="15" x14ac:dyDescent="0.25">
      <c r="A22" s="2" t="s">
        <v>75</v>
      </c>
    </row>
    <row r="24" spans="1:9" x14ac:dyDescent="0.2">
      <c r="A24" s="1" t="s">
        <v>74</v>
      </c>
    </row>
    <row r="25" spans="1:9" ht="15" x14ac:dyDescent="0.25">
      <c r="A25" s="31" t="s">
        <v>73</v>
      </c>
    </row>
    <row r="26" spans="1:9" ht="15" x14ac:dyDescent="0.25">
      <c r="A26" s="31" t="s">
        <v>72</v>
      </c>
    </row>
    <row r="27" spans="1:9" x14ac:dyDescent="0.2">
      <c r="A27" s="1" t="s">
        <v>71</v>
      </c>
    </row>
    <row r="29" spans="1:9" ht="15.75" x14ac:dyDescent="0.25">
      <c r="I29" s="30"/>
    </row>
    <row r="30" spans="1:9" x14ac:dyDescent="0.2">
      <c r="D30" s="8"/>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RData - Stitched Intensities</vt:lpstr>
      <vt:lpstr>Production Units</vt:lpstr>
      <vt:lpstr>Energy &amp; Emission Units</vt:lpstr>
      <vt:lpstr>Intensities</vt:lpstr>
      <vt:lpstr>Chemicals 1998-2006</vt:lpstr>
      <vt:lpstr>Steel 1985-1998</vt:lpstr>
      <vt:lpstr>Chemicals 1995-1998</vt:lpstr>
      <vt:lpstr>Petroleum 1995-1998</vt:lpstr>
      <vt:lpstr>Aluminum 1995-1998</vt:lpstr>
      <vt:lpstr>Aluminum 1998-2006</vt:lpstr>
      <vt:lpstr>Refining 1998-2006</vt:lpstr>
      <vt:lpstr>First Use - 1985-1998</vt:lpstr>
      <vt:lpstr>Aluminum Iron &amp; Steel 2002-2006</vt:lpstr>
      <vt:lpstr>Refining 1949-2010</vt:lpstr>
      <vt:lpstr>USGS Aluminum</vt:lpstr>
      <vt:lpstr>USGS Iron &amp; Steel</vt:lpstr>
      <vt:lpstr>MECS Iron &amp; Steel Intensity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Vladeck</cp:lastModifiedBy>
  <dcterms:created xsi:type="dcterms:W3CDTF">2012-07-16T23:27:50Z</dcterms:created>
  <dcterms:modified xsi:type="dcterms:W3CDTF">2012-07-17T20:31:51Z</dcterms:modified>
</cp:coreProperties>
</file>