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twbir\Downloads\"/>
    </mc:Choice>
  </mc:AlternateContent>
  <xr:revisionPtr revIDLastSave="0" documentId="13_ncr:1_{4C66B13B-2F93-4220-BB42-DFD5CE34F7CA}" xr6:coauthVersionLast="45" xr6:coauthVersionMax="45" xr10:uidLastSave="{00000000-0000-0000-0000-000000000000}"/>
  <bookViews>
    <workbookView xWindow="-110" yWindow="-110" windowWidth="22780" windowHeight="14660" activeTab="3" xr2:uid="{00000000-000D-0000-FFFF-FFFF00000000}"/>
  </bookViews>
  <sheets>
    <sheet name="Income" sheetId="3" r:id="rId1"/>
    <sheet name="Expenses" sheetId="4" r:id="rId2"/>
    <sheet name="Retirement Savings" sheetId="7" r:id="rId3"/>
    <sheet name="Debt Payoff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7" l="1"/>
  <c r="M84" i="6" l="1"/>
  <c r="F84" i="6"/>
  <c r="E11" i="6" l="1"/>
  <c r="L11" i="6"/>
  <c r="I12" i="6" s="1"/>
  <c r="F5" i="6" l="1"/>
  <c r="G5" i="6"/>
  <c r="F4" i="6"/>
  <c r="G3" i="6"/>
  <c r="G4" i="6"/>
  <c r="F3" i="6"/>
  <c r="G2" i="6"/>
  <c r="J12" i="6" s="1"/>
  <c r="K12" i="6" s="1"/>
  <c r="L12" i="6" s="1"/>
  <c r="I13" i="6" s="1"/>
  <c r="F2" i="6"/>
  <c r="C15" i="7"/>
  <c r="C14" i="7"/>
  <c r="C8" i="7"/>
  <c r="C7" i="7"/>
  <c r="B2" i="7"/>
  <c r="H3" i="7" s="1"/>
  <c r="H4" i="7" s="1"/>
  <c r="H5" i="7" s="1"/>
  <c r="H6" i="7" s="1"/>
  <c r="H7" i="7" s="1"/>
  <c r="H8" i="7" s="1"/>
  <c r="H9" i="7" s="1"/>
  <c r="H10" i="7" s="1"/>
  <c r="H11" i="7" s="1"/>
  <c r="H12" i="7" s="1"/>
  <c r="B12" i="6" l="1"/>
  <c r="C12" i="6"/>
  <c r="J13" i="6"/>
  <c r="K13" i="6" s="1"/>
  <c r="C10" i="7"/>
  <c r="C23" i="4"/>
  <c r="C10" i="4"/>
  <c r="C16" i="4"/>
  <c r="C19" i="4" s="1"/>
  <c r="H7" i="3"/>
  <c r="H6" i="3"/>
  <c r="D1" i="3"/>
  <c r="D15" i="3" s="1"/>
  <c r="C17" i="3"/>
  <c r="D12" i="6" l="1"/>
  <c r="E12" i="6" s="1"/>
  <c r="L13" i="6"/>
  <c r="J14" i="6" s="1"/>
  <c r="C27" i="4"/>
  <c r="C28" i="4" s="1"/>
  <c r="C16" i="7"/>
  <c r="D10" i="3"/>
  <c r="D7" i="3"/>
  <c r="D11" i="3"/>
  <c r="D5" i="3"/>
  <c r="D8" i="3"/>
  <c r="D14" i="3"/>
  <c r="D6" i="3"/>
  <c r="D16" i="3"/>
  <c r="D9" i="3"/>
  <c r="G3" i="7" l="1"/>
  <c r="G4" i="7" s="1"/>
  <c r="G5" i="7" s="1"/>
  <c r="G6" i="7" s="1"/>
  <c r="G7" i="7" s="1"/>
  <c r="G8" i="7" s="1"/>
  <c r="G9" i="7" s="1"/>
  <c r="G10" i="7" s="1"/>
  <c r="G11" i="7" s="1"/>
  <c r="G12" i="7" s="1"/>
  <c r="I12" i="7" s="1"/>
  <c r="C13" i="6"/>
  <c r="B13" i="6"/>
  <c r="I14" i="6"/>
  <c r="D17" i="3"/>
  <c r="D22" i="3" s="1"/>
  <c r="D19" i="3"/>
  <c r="M5" i="7" l="1"/>
  <c r="P5" i="7"/>
  <c r="I3" i="7"/>
  <c r="D13" i="6"/>
  <c r="K14" i="6"/>
  <c r="L14" i="6" s="1"/>
  <c r="I4" i="7"/>
  <c r="I5" i="7"/>
  <c r="D25" i="3"/>
  <c r="D23" i="3"/>
  <c r="D33" i="3"/>
  <c r="E13" i="6" l="1"/>
  <c r="J15" i="6"/>
  <c r="I15" i="6"/>
  <c r="I6" i="7"/>
  <c r="D35" i="3"/>
  <c r="D36" i="3" s="1"/>
  <c r="G5" i="3" s="1"/>
  <c r="H5" i="3" s="1"/>
  <c r="H8" i="3" s="1"/>
  <c r="C29" i="4" l="1"/>
  <c r="B20" i="7"/>
  <c r="C14" i="6"/>
  <c r="B14" i="6"/>
  <c r="K15" i="6"/>
  <c r="I7" i="7"/>
  <c r="D14" i="6" l="1"/>
  <c r="E14" i="6" s="1"/>
  <c r="B15" i="6" s="1"/>
  <c r="L15" i="6"/>
  <c r="I8" i="7"/>
  <c r="C15" i="6" l="1"/>
  <c r="D15" i="6" s="1"/>
  <c r="J16" i="6"/>
  <c r="I16" i="6"/>
  <c r="I9" i="7"/>
  <c r="E15" i="6" l="1"/>
  <c r="B16" i="6" s="1"/>
  <c r="K16" i="6"/>
  <c r="I10" i="7"/>
  <c r="C16" i="6" l="1"/>
  <c r="D16" i="6" s="1"/>
  <c r="L16" i="6"/>
  <c r="I11" i="7"/>
  <c r="J17" i="6" l="1"/>
  <c r="I17" i="6"/>
  <c r="E16" i="6" l="1"/>
  <c r="B17" i="6" s="1"/>
  <c r="K17" i="6"/>
  <c r="L17" i="6" s="1"/>
  <c r="C17" i="6" l="1"/>
  <c r="D17" i="6" s="1"/>
  <c r="J18" i="6"/>
  <c r="I18" i="6"/>
  <c r="E17" i="6" l="1"/>
  <c r="B18" i="6" s="1"/>
  <c r="K18" i="6"/>
  <c r="C18" i="6" l="1"/>
  <c r="D18" i="6" s="1"/>
  <c r="L18" i="6"/>
  <c r="E18" i="6" l="1"/>
  <c r="B19" i="6" s="1"/>
  <c r="J19" i="6"/>
  <c r="I19" i="6"/>
  <c r="C19" i="6" l="1"/>
  <c r="D19" i="6" s="1"/>
  <c r="K19" i="6"/>
  <c r="E19" i="6" l="1"/>
  <c r="B20" i="6" s="1"/>
  <c r="L19" i="6"/>
  <c r="C20" i="6" l="1"/>
  <c r="D20" i="6" s="1"/>
  <c r="J20" i="6"/>
  <c r="I20" i="6"/>
  <c r="K20" i="6" l="1"/>
  <c r="E20" i="6" l="1"/>
  <c r="B21" i="6" s="1"/>
  <c r="L20" i="6"/>
  <c r="C21" i="6" l="1"/>
  <c r="D21" i="6" s="1"/>
  <c r="J21" i="6"/>
  <c r="I21" i="6"/>
  <c r="E21" i="6" l="1"/>
  <c r="B22" i="6" s="1"/>
  <c r="K21" i="6"/>
  <c r="C22" i="6" l="1"/>
  <c r="D22" i="6" s="1"/>
  <c r="L21" i="6"/>
  <c r="E22" i="6" l="1"/>
  <c r="B23" i="6" s="1"/>
  <c r="J22" i="6"/>
  <c r="I22" i="6"/>
  <c r="C23" i="6" l="1"/>
  <c r="D23" i="6" s="1"/>
  <c r="K22" i="6"/>
  <c r="E23" i="6" l="1"/>
  <c r="B24" i="6" s="1"/>
  <c r="L22" i="6"/>
  <c r="C24" i="6" l="1"/>
  <c r="D24" i="6" s="1"/>
  <c r="J23" i="6"/>
  <c r="I23" i="6"/>
  <c r="K23" i="6" l="1"/>
  <c r="E24" i="6" l="1"/>
  <c r="B25" i="6" s="1"/>
  <c r="L23" i="6"/>
  <c r="C25" i="6" l="1"/>
  <c r="D25" i="6" s="1"/>
  <c r="J24" i="6"/>
  <c r="I24" i="6"/>
  <c r="E25" i="6" l="1"/>
  <c r="B26" i="6" s="1"/>
  <c r="K24" i="6"/>
  <c r="L24" i="6" s="1"/>
  <c r="C26" i="6" l="1"/>
  <c r="D26" i="6" s="1"/>
  <c r="J25" i="6"/>
  <c r="I25" i="6"/>
  <c r="E26" i="6" l="1"/>
  <c r="B27" i="6" s="1"/>
  <c r="K25" i="6"/>
  <c r="C27" i="6" l="1"/>
  <c r="D27" i="6" s="1"/>
  <c r="L25" i="6"/>
  <c r="E27" i="6" l="1"/>
  <c r="B28" i="6" s="1"/>
  <c r="J26" i="6"/>
  <c r="I26" i="6"/>
  <c r="C28" i="6" l="1"/>
  <c r="D28" i="6" s="1"/>
  <c r="K26" i="6"/>
  <c r="L26" i="6" s="1"/>
  <c r="J27" i="6" l="1"/>
  <c r="I27" i="6"/>
  <c r="E28" i="6" l="1"/>
  <c r="B29" i="6" s="1"/>
  <c r="K27" i="6"/>
  <c r="L27" i="6" s="1"/>
  <c r="J28" i="6" s="1"/>
  <c r="C29" i="6" l="1"/>
  <c r="D29" i="6" s="1"/>
  <c r="I28" i="6"/>
  <c r="K28" i="6" l="1"/>
  <c r="E29" i="6" l="1"/>
  <c r="B30" i="6" s="1"/>
  <c r="L28" i="6"/>
  <c r="C30" i="6" l="1"/>
  <c r="D30" i="6" s="1"/>
  <c r="J29" i="6"/>
  <c r="I29" i="6"/>
  <c r="E30" i="6" l="1"/>
  <c r="B31" i="6" s="1"/>
  <c r="K29" i="6"/>
  <c r="C31" i="6" l="1"/>
  <c r="D31" i="6" s="1"/>
  <c r="L29" i="6"/>
  <c r="I30" i="6" l="1"/>
  <c r="J30" i="6"/>
  <c r="E31" i="6" l="1"/>
  <c r="B32" i="6" s="1"/>
  <c r="K30" i="6"/>
  <c r="L30" i="6" s="1"/>
  <c r="C32" i="6" l="1"/>
  <c r="D32" i="6" s="1"/>
  <c r="J31" i="6"/>
  <c r="I31" i="6"/>
  <c r="K31" i="6" l="1"/>
  <c r="L31" i="6" s="1"/>
  <c r="E32" i="6" l="1"/>
  <c r="B33" i="6" s="1"/>
  <c r="J32" i="6"/>
  <c r="I32" i="6"/>
  <c r="C33" i="6" l="1"/>
  <c r="D33" i="6" s="1"/>
  <c r="K32" i="6"/>
  <c r="L32" i="6" s="1"/>
  <c r="I33" i="6" l="1"/>
  <c r="J33" i="6"/>
  <c r="E33" i="6" l="1"/>
  <c r="B34" i="6" s="1"/>
  <c r="K33" i="6"/>
  <c r="L33" i="6" s="1"/>
  <c r="C34" i="6" l="1"/>
  <c r="D34" i="6" s="1"/>
  <c r="I34" i="6"/>
  <c r="J34" i="6"/>
  <c r="E34" i="6" l="1"/>
  <c r="B35" i="6" s="1"/>
  <c r="K34" i="6"/>
  <c r="C35" i="6" l="1"/>
  <c r="D35" i="6" s="1"/>
  <c r="E35" i="6" s="1"/>
  <c r="B36" i="6" s="1"/>
  <c r="L34" i="6"/>
  <c r="C36" i="6" l="1"/>
  <c r="D36" i="6" s="1"/>
  <c r="E36" i="6" s="1"/>
  <c r="B37" i="6" s="1"/>
  <c r="J35" i="6"/>
  <c r="I35" i="6"/>
  <c r="C37" i="6" l="1"/>
  <c r="D37" i="6" s="1"/>
  <c r="E37" i="6" s="1"/>
  <c r="B38" i="6" s="1"/>
  <c r="K35" i="6"/>
  <c r="L35" i="6" s="1"/>
  <c r="C38" i="6" l="1"/>
  <c r="D38" i="6" s="1"/>
  <c r="E38" i="6" s="1"/>
  <c r="B39" i="6" s="1"/>
  <c r="J36" i="6"/>
  <c r="I36" i="6"/>
  <c r="C39" i="6" l="1"/>
  <c r="D39" i="6" s="1"/>
  <c r="E39" i="6" s="1"/>
  <c r="B40" i="6" s="1"/>
  <c r="K36" i="6"/>
  <c r="L36" i="6" s="1"/>
  <c r="C40" i="6" l="1"/>
  <c r="D40" i="6" s="1"/>
  <c r="E40" i="6" s="1"/>
  <c r="B41" i="6" s="1"/>
  <c r="I37" i="6"/>
  <c r="J37" i="6"/>
  <c r="C41" i="6" l="1"/>
  <c r="D41" i="6" s="1"/>
  <c r="E41" i="6" s="1"/>
  <c r="B42" i="6" s="1"/>
  <c r="K37" i="6"/>
  <c r="L37" i="6" s="1"/>
  <c r="J38" i="6" s="1"/>
  <c r="C42" i="6" l="1"/>
  <c r="I38" i="6"/>
  <c r="D42" i="6" l="1"/>
  <c r="E42" i="6" s="1"/>
  <c r="B43" i="6" s="1"/>
  <c r="K38" i="6"/>
  <c r="L38" i="6" s="1"/>
  <c r="C43" i="6" l="1"/>
  <c r="D43" i="6" s="1"/>
  <c r="E43" i="6" s="1"/>
  <c r="B44" i="6" s="1"/>
  <c r="J39" i="6"/>
  <c r="I39" i="6"/>
  <c r="C44" i="6" l="1"/>
  <c r="K39" i="6"/>
  <c r="D44" i="6" l="1"/>
  <c r="E44" i="6" s="1"/>
  <c r="L39" i="6"/>
  <c r="B45" i="6" l="1"/>
  <c r="C45" i="6"/>
  <c r="J40" i="6"/>
  <c r="I40" i="6"/>
  <c r="D45" i="6" l="1"/>
  <c r="E45" i="6" s="1"/>
  <c r="K40" i="6"/>
  <c r="L40" i="6" s="1"/>
  <c r="B46" i="6" l="1"/>
  <c r="C46" i="6"/>
  <c r="I41" i="6"/>
  <c r="J41" i="6"/>
  <c r="D46" i="6" l="1"/>
  <c r="E46" i="6" s="1"/>
  <c r="K41" i="6"/>
  <c r="B47" i="6" l="1"/>
  <c r="C47" i="6"/>
  <c r="L41" i="6"/>
  <c r="D47" i="6" l="1"/>
  <c r="E47" i="6" s="1"/>
  <c r="J42" i="6"/>
  <c r="I42" i="6"/>
  <c r="B48" i="6" l="1"/>
  <c r="C48" i="6"/>
  <c r="K42" i="6"/>
  <c r="D48" i="6" l="1"/>
  <c r="E48" i="6" s="1"/>
  <c r="L42" i="6"/>
  <c r="B49" i="6" l="1"/>
  <c r="C49" i="6"/>
  <c r="J43" i="6"/>
  <c r="I43" i="6"/>
  <c r="D49" i="6" l="1"/>
  <c r="E49" i="6" s="1"/>
  <c r="B50" i="6" s="1"/>
  <c r="K43" i="6"/>
  <c r="C50" i="6" l="1"/>
  <c r="D50" i="6" s="1"/>
  <c r="E50" i="6" s="1"/>
  <c r="L43" i="6"/>
  <c r="B51" i="6" l="1"/>
  <c r="C51" i="6"/>
  <c r="J44" i="6"/>
  <c r="I44" i="6"/>
  <c r="D51" i="6" l="1"/>
  <c r="E51" i="6" s="1"/>
  <c r="K44" i="6"/>
  <c r="L44" i="6" s="1"/>
  <c r="I45" i="6" s="1"/>
  <c r="B52" i="6" l="1"/>
  <c r="C52" i="6"/>
  <c r="J45" i="6"/>
  <c r="K45" i="6" s="1"/>
  <c r="L45" i="6" s="1"/>
  <c r="D52" i="6" l="1"/>
  <c r="E52" i="6" s="1"/>
  <c r="J46" i="6"/>
  <c r="I46" i="6"/>
  <c r="B53" i="6" l="1"/>
  <c r="C53" i="6"/>
  <c r="K46" i="6"/>
  <c r="L46" i="6" s="1"/>
  <c r="D53" i="6" l="1"/>
  <c r="E53" i="6" s="1"/>
  <c r="B54" i="6" s="1"/>
  <c r="J47" i="6"/>
  <c r="I47" i="6"/>
  <c r="C54" i="6" l="1"/>
  <c r="D54" i="6"/>
  <c r="E54" i="6" s="1"/>
  <c r="K47" i="6"/>
  <c r="L47" i="6" s="1"/>
  <c r="B55" i="6" l="1"/>
  <c r="C55" i="6"/>
  <c r="J48" i="6"/>
  <c r="I48" i="6"/>
  <c r="D55" i="6" l="1"/>
  <c r="E55" i="6" s="1"/>
  <c r="K48" i="6"/>
  <c r="B56" i="6" l="1"/>
  <c r="C56" i="6"/>
  <c r="L48" i="6"/>
  <c r="D56" i="6" l="1"/>
  <c r="E56" i="6" s="1"/>
  <c r="J49" i="6"/>
  <c r="I49" i="6"/>
  <c r="B57" i="6" l="1"/>
  <c r="C57" i="6"/>
  <c r="K49" i="6"/>
  <c r="D57" i="6" l="1"/>
  <c r="E57" i="6" s="1"/>
  <c r="B58" i="6" s="1"/>
  <c r="L49" i="6"/>
  <c r="C58" i="6" l="1"/>
  <c r="D58" i="6" s="1"/>
  <c r="E58" i="6" s="1"/>
  <c r="B59" i="6" s="1"/>
  <c r="I50" i="6"/>
  <c r="J50" i="6"/>
  <c r="C59" i="6" l="1"/>
  <c r="D59" i="6" s="1"/>
  <c r="E59" i="6" s="1"/>
  <c r="K50" i="6"/>
  <c r="B60" i="6" l="1"/>
  <c r="C60" i="6"/>
  <c r="L50" i="6"/>
  <c r="D60" i="6" l="1"/>
  <c r="E60" i="6" s="1"/>
  <c r="B61" i="6" s="1"/>
  <c r="I51" i="6"/>
  <c r="J51" i="6"/>
  <c r="C61" i="6" l="1"/>
  <c r="D61" i="6"/>
  <c r="E61" i="6" s="1"/>
  <c r="K51" i="6"/>
  <c r="L51" i="6" s="1"/>
  <c r="B62" i="6" l="1"/>
  <c r="C62" i="6"/>
  <c r="J52" i="6"/>
  <c r="I52" i="6"/>
  <c r="D62" i="6" l="1"/>
  <c r="E62" i="6" s="1"/>
  <c r="K52" i="6"/>
  <c r="L52" i="6" s="1"/>
  <c r="B63" i="6" l="1"/>
  <c r="C63" i="6"/>
  <c r="J53" i="6"/>
  <c r="I53" i="6"/>
  <c r="D63" i="6" l="1"/>
  <c r="E63" i="6" s="1"/>
  <c r="K53" i="6"/>
  <c r="L53" i="6" s="1"/>
  <c r="B64" i="6" l="1"/>
  <c r="C64" i="6"/>
  <c r="J54" i="6"/>
  <c r="I54" i="6"/>
  <c r="D64" i="6" l="1"/>
  <c r="E64" i="6" s="1"/>
  <c r="B65" i="6" s="1"/>
  <c r="K54" i="6"/>
  <c r="L54" i="6" s="1"/>
  <c r="C65" i="6" l="1"/>
  <c r="D65" i="6" s="1"/>
  <c r="E65" i="6" s="1"/>
  <c r="B66" i="6" s="1"/>
  <c r="J55" i="6"/>
  <c r="I55" i="6"/>
  <c r="C66" i="6" l="1"/>
  <c r="D66" i="6"/>
  <c r="E66" i="6" s="1"/>
  <c r="K55" i="6"/>
  <c r="L55" i="6" s="1"/>
  <c r="B67" i="6" l="1"/>
  <c r="C67" i="6"/>
  <c r="I56" i="6"/>
  <c r="J56" i="6"/>
  <c r="D67" i="6" l="1"/>
  <c r="E67" i="6" s="1"/>
  <c r="B68" i="6" s="1"/>
  <c r="K56" i="6"/>
  <c r="L56" i="6" s="1"/>
  <c r="C68" i="6" l="1"/>
  <c r="D68" i="6" s="1"/>
  <c r="E68" i="6" s="1"/>
  <c r="B69" i="6" s="1"/>
  <c r="I57" i="6"/>
  <c r="J57" i="6"/>
  <c r="C69" i="6" l="1"/>
  <c r="D69" i="6" s="1"/>
  <c r="E69" i="6" s="1"/>
  <c r="K57" i="6"/>
  <c r="B70" i="6" l="1"/>
  <c r="C70" i="6"/>
  <c r="L57" i="6"/>
  <c r="D70" i="6" l="1"/>
  <c r="E70" i="6" s="1"/>
  <c r="C71" i="6" s="1"/>
  <c r="I58" i="6"/>
  <c r="J58" i="6"/>
  <c r="B71" i="6" l="1"/>
  <c r="D71" i="6" s="1"/>
  <c r="E71" i="6" s="1"/>
  <c r="B72" i="6" s="1"/>
  <c r="K58" i="6"/>
  <c r="L58" i="6" s="1"/>
  <c r="C72" i="6" l="1"/>
  <c r="D72" i="6" s="1"/>
  <c r="E72" i="6" s="1"/>
  <c r="B73" i="6" s="1"/>
  <c r="I59" i="6"/>
  <c r="J59" i="6"/>
  <c r="C73" i="6" l="1"/>
  <c r="D73" i="6" s="1"/>
  <c r="E73" i="6" s="1"/>
  <c r="B74" i="6" s="1"/>
  <c r="K59" i="6"/>
  <c r="C74" i="6" l="1"/>
  <c r="D74" i="6" s="1"/>
  <c r="E74" i="6" s="1"/>
  <c r="L59" i="6"/>
  <c r="B75" i="6" l="1"/>
  <c r="C75" i="6"/>
  <c r="J60" i="6"/>
  <c r="I60" i="6"/>
  <c r="D75" i="6" l="1"/>
  <c r="E75" i="6" s="1"/>
  <c r="K60" i="6"/>
  <c r="L60" i="6" s="1"/>
  <c r="B76" i="6" l="1"/>
  <c r="C76" i="6"/>
  <c r="J61" i="6"/>
  <c r="I61" i="6"/>
  <c r="D76" i="6" l="1"/>
  <c r="E76" i="6" s="1"/>
  <c r="B77" i="6" s="1"/>
  <c r="K61" i="6"/>
  <c r="L61" i="6" s="1"/>
  <c r="C77" i="6" l="1"/>
  <c r="D77" i="6" s="1"/>
  <c r="E77" i="6" s="1"/>
  <c r="J62" i="6"/>
  <c r="I62" i="6"/>
  <c r="B78" i="6" l="1"/>
  <c r="C78" i="6"/>
  <c r="K62" i="6"/>
  <c r="D78" i="6" l="1"/>
  <c r="E78" i="6" s="1"/>
  <c r="L62" i="6"/>
  <c r="B79" i="6" l="1"/>
  <c r="C79" i="6"/>
  <c r="I63" i="6"/>
  <c r="J63" i="6"/>
  <c r="D79" i="6" l="1"/>
  <c r="E79" i="6" s="1"/>
  <c r="B80" i="6" s="1"/>
  <c r="K63" i="6"/>
  <c r="C80" i="6" l="1"/>
  <c r="D80" i="6"/>
  <c r="E80" i="6" s="1"/>
  <c r="C81" i="6" s="1"/>
  <c r="L63" i="6"/>
  <c r="B81" i="6" l="1"/>
  <c r="D81" i="6" s="1"/>
  <c r="E81" i="6" s="1"/>
  <c r="B82" i="6" s="1"/>
  <c r="I64" i="6"/>
  <c r="J64" i="6"/>
  <c r="C82" i="6" l="1"/>
  <c r="D82" i="6" s="1"/>
  <c r="E82" i="6" s="1"/>
  <c r="B83" i="6" s="1"/>
  <c r="K64" i="6"/>
  <c r="L64" i="6" s="1"/>
  <c r="C83" i="6" l="1"/>
  <c r="C84" i="6" s="1"/>
  <c r="D83" i="6"/>
  <c r="E83" i="6" s="1"/>
  <c r="I65" i="6"/>
  <c r="J65" i="6"/>
  <c r="K65" i="6" l="1"/>
  <c r="L65" i="6" l="1"/>
  <c r="I66" i="6" l="1"/>
  <c r="J66" i="6"/>
  <c r="K66" i="6" l="1"/>
  <c r="L66" i="6" l="1"/>
  <c r="J67" i="6" l="1"/>
  <c r="I67" i="6"/>
  <c r="K67" i="6" l="1"/>
  <c r="L67" i="6" l="1"/>
  <c r="J68" i="6" l="1"/>
  <c r="I68" i="6"/>
  <c r="K68" i="6" l="1"/>
  <c r="L68" i="6" l="1"/>
  <c r="I69" i="6" l="1"/>
  <c r="J69" i="6"/>
  <c r="K69" i="6" l="1"/>
  <c r="L69" i="6" s="1"/>
  <c r="J70" i="6" l="1"/>
  <c r="I70" i="6"/>
  <c r="K70" i="6" l="1"/>
  <c r="L70" i="6" l="1"/>
  <c r="I71" i="6" l="1"/>
  <c r="J71" i="6"/>
  <c r="K71" i="6" l="1"/>
  <c r="L71" i="6" s="1"/>
  <c r="J72" i="6" l="1"/>
  <c r="I72" i="6"/>
  <c r="K72" i="6" l="1"/>
  <c r="L72" i="6" s="1"/>
  <c r="I73" i="6" l="1"/>
  <c r="J73" i="6"/>
  <c r="K73" i="6" l="1"/>
  <c r="L73" i="6" l="1"/>
  <c r="J74" i="6" s="1"/>
  <c r="I74" i="6" l="1"/>
  <c r="K74" i="6" l="1"/>
  <c r="L74" i="6" s="1"/>
  <c r="I75" i="6" l="1"/>
  <c r="J75" i="6"/>
  <c r="K75" i="6" l="1"/>
  <c r="L75" i="6" s="1"/>
  <c r="J76" i="6" l="1"/>
  <c r="I76" i="6"/>
  <c r="K76" i="6" l="1"/>
  <c r="L76" i="6" s="1"/>
  <c r="J77" i="6" l="1"/>
  <c r="I77" i="6"/>
  <c r="K77" i="6" l="1"/>
  <c r="L77" i="6" l="1"/>
  <c r="I78" i="6" l="1"/>
  <c r="J78" i="6"/>
  <c r="K78" i="6" l="1"/>
  <c r="L78" i="6" s="1"/>
  <c r="I79" i="6" l="1"/>
  <c r="J79" i="6"/>
  <c r="K79" i="6" l="1"/>
  <c r="L79" i="6" l="1"/>
  <c r="J80" i="6" l="1"/>
  <c r="I80" i="6"/>
  <c r="K80" i="6" l="1"/>
  <c r="L80" i="6" s="1"/>
  <c r="I81" i="6" l="1"/>
  <c r="J81" i="6"/>
  <c r="K81" i="6" l="1"/>
  <c r="L81" i="6" l="1"/>
  <c r="I82" i="6" l="1"/>
  <c r="J82" i="6"/>
  <c r="K82" i="6" l="1"/>
  <c r="L82" i="6" l="1"/>
  <c r="I83" i="6" l="1"/>
  <c r="J83" i="6"/>
  <c r="J84" i="6" s="1"/>
  <c r="K83" i="6" l="1"/>
  <c r="L83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Jennifer Brady</author>
  </authors>
  <commentList>
    <comment ref="H8" authorId="0" shapeId="0" xr:uid="{CBD96450-86FE-4355-B91F-77C0A7C8ADF9}">
      <text>
        <r>
          <rPr>
            <b/>
            <sz val="9"/>
            <color indexed="81"/>
            <rFont val="Tahoma"/>
            <family val="2"/>
          </rPr>
          <t>Jennifer Brady:</t>
        </r>
        <r>
          <rPr>
            <sz val="9"/>
            <color indexed="81"/>
            <rFont val="Tahoma"/>
            <family val="2"/>
          </rPr>
          <t xml:space="preserve">
Does not include OT, bonuses, etc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Jennifer Brady</author>
  </authors>
  <commentList>
    <comment ref="B3" authorId="0" shapeId="0" xr:uid="{EE0D741E-482C-427E-83BB-C1677E2C5055}">
      <text>
        <r>
          <rPr>
            <b/>
            <sz val="9"/>
            <color indexed="81"/>
            <rFont val="Tahoma"/>
            <family val="2"/>
          </rPr>
          <t>Jennifer Brady:</t>
        </r>
        <r>
          <rPr>
            <sz val="9"/>
            <color indexed="81"/>
            <rFont val="Tahoma"/>
            <family val="2"/>
          </rPr>
          <t xml:space="preserve">
Max Expected Amount
</t>
        </r>
      </text>
    </comment>
    <comment ref="B7" authorId="0" shapeId="0" xr:uid="{CE1DD064-9456-4425-9153-5ECB410DCDCC}">
      <text>
        <r>
          <rPr>
            <b/>
            <sz val="9"/>
            <color indexed="81"/>
            <rFont val="Tahoma"/>
            <family val="2"/>
          </rPr>
          <t>Jennifer Brady:</t>
        </r>
        <r>
          <rPr>
            <sz val="9"/>
            <color indexed="81"/>
            <rFont val="Tahoma"/>
            <family val="2"/>
          </rPr>
          <t xml:space="preserve">
Max Expected Amount
</t>
        </r>
      </text>
    </comment>
    <comment ref="B8" authorId="0" shapeId="0" xr:uid="{A7697CDE-D7AF-4EDA-8731-3E6AF76A7C82}">
      <text>
        <r>
          <rPr>
            <b/>
            <sz val="9"/>
            <color indexed="81"/>
            <rFont val="Tahoma"/>
            <family val="2"/>
          </rPr>
          <t>Jennifer Brady:</t>
        </r>
        <r>
          <rPr>
            <sz val="9"/>
            <color indexed="81"/>
            <rFont val="Tahoma"/>
            <family val="2"/>
          </rPr>
          <t xml:space="preserve">
Max Expected Amount</t>
        </r>
      </text>
    </comment>
    <comment ref="B9" authorId="0" shapeId="0" xr:uid="{0B95830F-9125-4961-AC53-F0C5FDF5E89C}">
      <text>
        <r>
          <rPr>
            <b/>
            <sz val="9"/>
            <color indexed="81"/>
            <rFont val="Tahoma"/>
            <family val="2"/>
          </rPr>
          <t>Jennifer Brady:</t>
        </r>
        <r>
          <rPr>
            <sz val="9"/>
            <color indexed="81"/>
            <rFont val="Tahoma"/>
            <family val="2"/>
          </rPr>
          <t xml:space="preserve">
Insurance payment(Auto, Valuable Property &amp; Renters) comes from Car savings account
</t>
        </r>
      </text>
    </comment>
    <comment ref="B14" authorId="0" shapeId="0" xr:uid="{36B621D3-AD35-4263-A442-EF086AA811B3}">
      <text>
        <r>
          <rPr>
            <b/>
            <sz val="9"/>
            <color indexed="81"/>
            <rFont val="Tahoma"/>
            <family val="2"/>
          </rPr>
          <t>Jennifer Brady:</t>
        </r>
        <r>
          <rPr>
            <sz val="9"/>
            <color indexed="81"/>
            <rFont val="Tahoma"/>
            <family val="2"/>
          </rPr>
          <t xml:space="preserve">
Max Expected Amount </t>
        </r>
      </text>
    </comment>
  </commentList>
</comments>
</file>

<file path=xl/sharedStrings.xml><?xml version="1.0" encoding="utf-8"?>
<sst xmlns="http://schemas.openxmlformats.org/spreadsheetml/2006/main" count="147" uniqueCount="110">
  <si>
    <t>Description</t>
  </si>
  <si>
    <t>Hours</t>
  </si>
  <si>
    <t>Amount</t>
  </si>
  <si>
    <t>REGULAR TIME</t>
  </si>
  <si>
    <t>SUNDAY DIFFERENTIAL</t>
  </si>
  <si>
    <t>SUN DIFF W/NIGHT DIFF</t>
  </si>
  <si>
    <t>NIGHT DIFFERENTIAL</t>
  </si>
  <si>
    <t>OVERTIME - PREMIUM RATE</t>
  </si>
  <si>
    <t>HOLIDAY WORKED</t>
  </si>
  <si>
    <t>RETENTION ALLOWANCE</t>
  </si>
  <si>
    <t>OTHER LEAVE</t>
  </si>
  <si>
    <t>RETIREMENT</t>
  </si>
  <si>
    <t>TSP-FERS</t>
  </si>
  <si>
    <t>*AMT BASED ON FIXED AMT</t>
  </si>
  <si>
    <t>SOCIAL SECURITY (OASDI)</t>
  </si>
  <si>
    <t>FEDERAL TAX EXEMPTS M02</t>
  </si>
  <si>
    <t>EXTRA FEDERAL TAX</t>
  </si>
  <si>
    <t>ST TAX MD EXEMPTS M00</t>
  </si>
  <si>
    <t>FEGLI- COVERAGE $ $84,000</t>
  </si>
  <si>
    <t>OPT FEGLI-AGE BRACKET 2</t>
  </si>
  <si>
    <t>FEHBA - ENROLL CODE B63</t>
  </si>
  <si>
    <t>DENTAL PLAN</t>
  </si>
  <si>
    <t>VISION PLAN</t>
  </si>
  <si>
    <t>TSP LOAN REPAY (FED)</t>
  </si>
  <si>
    <t>HEALTH SAVINGS ACCOUNTS</t>
  </si>
  <si>
    <t>MEDICARE TAX WITHHELD</t>
  </si>
  <si>
    <t>FLSA</t>
  </si>
  <si>
    <t>PERFORMANCE BONUS</t>
  </si>
  <si>
    <t>ANNUAL LEAVE</t>
  </si>
  <si>
    <t>SICK LEAVE</t>
  </si>
  <si>
    <t>Hourly Wage</t>
  </si>
  <si>
    <t>** TOTAL DEDUCTIONS **</t>
  </si>
  <si>
    <t>** NET PAY **</t>
  </si>
  <si>
    <t>** PAY PERIOD HOURS &amp; GROSS PAY **</t>
  </si>
  <si>
    <t xml:space="preserve">Monthly </t>
  </si>
  <si>
    <t>Monthly Net Income</t>
  </si>
  <si>
    <t>Monthly Amount</t>
  </si>
  <si>
    <t>Student Loan</t>
  </si>
  <si>
    <t>Utilities</t>
  </si>
  <si>
    <t>Loan</t>
  </si>
  <si>
    <t>Car payment</t>
  </si>
  <si>
    <t>Rent</t>
  </si>
  <si>
    <t>Groceries</t>
  </si>
  <si>
    <t>Hulu</t>
  </si>
  <si>
    <t>Netflix</t>
  </si>
  <si>
    <t>Google Play</t>
  </si>
  <si>
    <t>Comcast Internet</t>
  </si>
  <si>
    <t>Amazon Prime</t>
  </si>
  <si>
    <t>Restaurants</t>
  </si>
  <si>
    <t>Misc Spending</t>
  </si>
  <si>
    <t>Roth IRA</t>
  </si>
  <si>
    <t>Total</t>
  </si>
  <si>
    <t>Required Spending Total</t>
  </si>
  <si>
    <t xml:space="preserve">Required Saving </t>
  </si>
  <si>
    <t>Expenses Total</t>
  </si>
  <si>
    <t>Gas/Tolls</t>
  </si>
  <si>
    <t>Vacation Savings</t>
  </si>
  <si>
    <t>Car Savings</t>
  </si>
  <si>
    <t>Six Flags Membership</t>
  </si>
  <si>
    <t>Google Fi Phone</t>
  </si>
  <si>
    <t>Verizon Phone</t>
  </si>
  <si>
    <t>Extra Car Payment</t>
  </si>
  <si>
    <t>Cash Flow Extra</t>
  </si>
  <si>
    <t xml:space="preserve">TSP </t>
  </si>
  <si>
    <t>IRA</t>
  </si>
  <si>
    <t>Car Loan</t>
  </si>
  <si>
    <t>Credit Card</t>
  </si>
  <si>
    <t>Category</t>
  </si>
  <si>
    <t>HSA</t>
  </si>
  <si>
    <t>Investments</t>
  </si>
  <si>
    <t>Current Investments</t>
  </si>
  <si>
    <t>Growth Rate</t>
  </si>
  <si>
    <t>Yearly Additions</t>
  </si>
  <si>
    <t>TSP Contributions</t>
  </si>
  <si>
    <t>Employer Contribution</t>
  </si>
  <si>
    <t>Roth</t>
  </si>
  <si>
    <t>Retirement Savings</t>
  </si>
  <si>
    <t>Year</t>
  </si>
  <si>
    <t>Annual Additions</t>
  </si>
  <si>
    <t>HSA Savings</t>
  </si>
  <si>
    <t>Rate</t>
  </si>
  <si>
    <t>Periods per year</t>
  </si>
  <si>
    <t>Total Periods</t>
  </si>
  <si>
    <t>Period Rate</t>
  </si>
  <si>
    <t>Mortgage Payoff</t>
  </si>
  <si>
    <t>~ Years Remaining</t>
  </si>
  <si>
    <t>Name</t>
  </si>
  <si>
    <t>Period</t>
  </si>
  <si>
    <t>PMNT</t>
  </si>
  <si>
    <t>Interest Paid</t>
  </si>
  <si>
    <t>Balance</t>
  </si>
  <si>
    <t>Extra Payment</t>
  </si>
  <si>
    <t>Prinicipal paid</t>
  </si>
  <si>
    <t>Required</t>
  </si>
  <si>
    <t>Entertainment</t>
  </si>
  <si>
    <t>Flexible</t>
  </si>
  <si>
    <t>Savings</t>
  </si>
  <si>
    <t>Entertainment Spending Total</t>
  </si>
  <si>
    <t>Flexible Spending Total</t>
  </si>
  <si>
    <t>What if growth rate is higher or lower?</t>
  </si>
  <si>
    <t>10 year Total</t>
  </si>
  <si>
    <t>What is Total Investments are higher or lower?</t>
  </si>
  <si>
    <t>Insurance</t>
  </si>
  <si>
    <t>Roth IRA's</t>
  </si>
  <si>
    <t>Target</t>
  </si>
  <si>
    <t>Savings Rate</t>
  </si>
  <si>
    <t>Sample Salary</t>
  </si>
  <si>
    <t>Biweekly net pay</t>
  </si>
  <si>
    <t>Monthly Payment</t>
  </si>
  <si>
    <t>Second BiMonthly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</si>
</sst>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0.000"/>
    <numFmt numFmtId="166" formatCode="0.0000"/>
    <numFmt numFmtId="167" formatCode="#,##0.00;\-#,##0.00;;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  <font>
      <sz val="14"/>
      <color theme="0"/>
      <name val="Times New Roman"/>
      <family val="1"/>
    </font>
    <font>
      <sz val="14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/>
    <xf numFmtId="44" fontId="0" fillId="0" borderId="0" xfId="0" applyNumberFormat="1"/>
    <xf numFmtId="0" fontId="18" fillId="0" borderId="0" xfId="0" applyFont="1"/>
    <xf numFmtId="44" fontId="18" fillId="0" borderId="0" xfId="1" applyFont="1"/>
    <xf numFmtId="44" fontId="18" fillId="0" borderId="0" xfId="0" applyNumberFormat="1" applyFont="1"/>
    <xf numFmtId="164" fontId="18" fillId="0" borderId="0" xfId="0" applyNumberFormat="1" applyFont="1"/>
    <xf numFmtId="0" fontId="18" fillId="0" borderId="10" xfId="0" applyFont="1" applyBorder="1"/>
    <xf numFmtId="44" fontId="18" fillId="0" borderId="10" xfId="1" applyFont="1" applyBorder="1"/>
    <xf numFmtId="0" fontId="18" fillId="0" borderId="10" xfId="0" applyFont="1" applyBorder="1" applyAlignment="1">
      <alignment horizontal="right" vertical="top"/>
    </xf>
    <xf numFmtId="44" fontId="18" fillId="0" borderId="10" xfId="1" applyFont="1" applyBorder="1" applyAlignment="1">
      <alignment horizontal="right" vertical="top"/>
    </xf>
    <xf numFmtId="44" fontId="18" fillId="0" borderId="10" xfId="0" applyNumberFormat="1" applyFont="1" applyBorder="1"/>
    <xf numFmtId="0" fontId="20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1" fillId="33" borderId="10" xfId="0" applyFont="1" applyFill="1" applyBorder="1"/>
    <xf numFmtId="44" fontId="22" fillId="33" borderId="10" xfId="1" applyFont="1" applyFill="1" applyBorder="1"/>
    <xf numFmtId="0" fontId="18" fillId="35" borderId="13" xfId="0" applyFont="1" applyFill="1" applyBorder="1" applyAlignment="1"/>
    <xf numFmtId="0" fontId="18" fillId="35" borderId="15" xfId="0" applyFont="1" applyFill="1" applyBorder="1" applyAlignment="1"/>
    <xf numFmtId="0" fontId="18" fillId="35" borderId="10" xfId="0" applyFont="1" applyFill="1" applyBorder="1"/>
    <xf numFmtId="44" fontId="18" fillId="35" borderId="10" xfId="1" applyFont="1" applyFill="1" applyBorder="1"/>
    <xf numFmtId="0" fontId="19" fillId="0" borderId="10" xfId="0" applyFont="1" applyBorder="1"/>
    <xf numFmtId="44" fontId="19" fillId="0" borderId="10" xfId="1" applyFont="1" applyBorder="1"/>
    <xf numFmtId="44" fontId="18" fillId="0" borderId="0" xfId="1" applyFont="1" applyAlignment="1">
      <alignment horizontal="center"/>
    </xf>
    <xf numFmtId="44" fontId="18" fillId="0" borderId="0" xfId="0" applyNumberFormat="1" applyFont="1" applyAlignment="1">
      <alignment horizontal="center"/>
    </xf>
    <xf numFmtId="0" fontId="20" fillId="34" borderId="0" xfId="0" applyFont="1" applyFill="1" applyAlignment="1">
      <alignment horizontal="center"/>
    </xf>
    <xf numFmtId="0" fontId="19" fillId="0" borderId="0" xfId="0" applyFont="1" applyAlignment="1">
      <alignment horizontal="left"/>
    </xf>
    <xf numFmtId="44" fontId="19" fillId="0" borderId="0" xfId="1" applyFont="1"/>
    <xf numFmtId="0" fontId="23" fillId="36" borderId="0" xfId="0" applyFont="1" applyFill="1" applyAlignment="1">
      <alignment horizontal="center"/>
    </xf>
    <xf numFmtId="8" fontId="18" fillId="0" borderId="0" xfId="0" applyNumberFormat="1" applyFont="1"/>
    <xf numFmtId="9" fontId="18" fillId="0" borderId="10" xfId="0" applyNumberFormat="1" applyFont="1" applyBorder="1"/>
    <xf numFmtId="0" fontId="23" fillId="36" borderId="0" xfId="0" applyFont="1" applyFill="1" applyAlignment="1">
      <alignment horizontal="center"/>
    </xf>
    <xf numFmtId="0" fontId="24" fillId="0" borderId="0" xfId="0" applyFont="1"/>
    <xf numFmtId="167" fontId="18" fillId="0" borderId="0" xfId="0" applyNumberFormat="1" applyFont="1"/>
    <xf numFmtId="167" fontId="18" fillId="0" borderId="0" xfId="1" applyNumberFormat="1" applyFont="1"/>
    <xf numFmtId="0" fontId="18" fillId="0" borderId="0" xfId="0" applyNumberFormat="1" applyFont="1"/>
    <xf numFmtId="6" fontId="18" fillId="0" borderId="10" xfId="0" applyNumberFormat="1" applyFont="1" applyBorder="1"/>
    <xf numFmtId="6" fontId="18" fillId="0" borderId="0" xfId="1" applyNumberFormat="1" applyFont="1"/>
    <xf numFmtId="0" fontId="22" fillId="33" borderId="0" xfId="0" applyFont="1" applyFill="1"/>
    <xf numFmtId="9" fontId="22" fillId="33" borderId="0" xfId="43" applyFont="1" applyFill="1"/>
    <xf numFmtId="44" fontId="24" fillId="0" borderId="0" xfId="1" applyFont="1"/>
    <xf numFmtId="165" fontId="18" fillId="0" borderId="0" xfId="43" applyNumberFormat="1" applyFont="1"/>
    <xf numFmtId="166" fontId="18" fillId="0" borderId="0" xfId="43" applyNumberFormat="1" applyFont="1"/>
    <xf numFmtId="10" fontId="18" fillId="0" borderId="0" xfId="0" applyNumberFormat="1" applyFont="1"/>
    <xf numFmtId="0" fontId="18" fillId="0" borderId="13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35" borderId="13" xfId="0" applyFont="1" applyFill="1" applyBorder="1" applyAlignment="1">
      <alignment horizontal="left"/>
    </xf>
    <xf numFmtId="0" fontId="18" fillId="35" borderId="15" xfId="0" applyFont="1" applyFill="1" applyBorder="1" applyAlignment="1">
      <alignment horizontal="left"/>
    </xf>
    <xf numFmtId="0" fontId="19" fillId="0" borderId="13" xfId="0" applyFont="1" applyBorder="1" applyAlignment="1">
      <alignment horizontal="left" wrapText="1"/>
    </xf>
    <xf numFmtId="0" fontId="19" fillId="0" borderId="15" xfId="0" applyFont="1" applyBorder="1" applyAlignment="1">
      <alignment horizontal="left" wrapText="1"/>
    </xf>
    <xf numFmtId="0" fontId="18" fillId="35" borderId="13" xfId="0" applyFont="1" applyFill="1" applyBorder="1" applyAlignment="1">
      <alignment horizontal="center"/>
    </xf>
    <xf numFmtId="0" fontId="18" fillId="35" borderId="14" xfId="0" applyFont="1" applyFill="1" applyBorder="1" applyAlignment="1">
      <alignment horizontal="center"/>
    </xf>
    <xf numFmtId="0" fontId="18" fillId="35" borderId="15" xfId="0" applyFont="1" applyFill="1" applyBorder="1" applyAlignment="1">
      <alignment horizontal="center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8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44" fontId="18" fillId="0" borderId="11" xfId="1" applyFont="1" applyBorder="1" applyAlignment="1">
      <alignment horizontal="right" vertical="top"/>
    </xf>
    <xf numFmtId="44" fontId="18" fillId="0" borderId="12" xfId="1" applyFont="1" applyBorder="1" applyAlignment="1">
      <alignment horizontal="right" vertical="top"/>
    </xf>
    <xf numFmtId="0" fontId="21" fillId="34" borderId="11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44" fontId="21" fillId="34" borderId="11" xfId="1" applyFont="1" applyFill="1" applyBorder="1" applyAlignment="1">
      <alignment horizontal="center" vertical="center"/>
    </xf>
    <xf numFmtId="44" fontId="21" fillId="34" borderId="12" xfId="1" applyFont="1" applyFill="1" applyBorder="1" applyAlignment="1">
      <alignment horizontal="center" vertical="center"/>
    </xf>
    <xf numFmtId="0" fontId="23" fillId="36" borderId="0" xfId="0" applyFont="1" applyFill="1" applyAlignment="1">
      <alignment horizontal="center"/>
    </xf>
    <xf numFmtId="0" fontId="18" fillId="0" borderId="0" xfId="0" applyFont="1" applyAlignment="1">
      <alignment horizontal="center" wrapText="1"/>
    </xf>
    <xf numFmtId="0" fontId="22" fillId="38" borderId="20" xfId="0" applyFont="1" applyFill="1" applyBorder="1" applyAlignment="1">
      <alignment horizontal="center"/>
    </xf>
    <xf numFmtId="0" fontId="18" fillId="0" borderId="21" xfId="0" applyFont="1" applyBorder="1" applyAlignment="1">
      <alignment horizontal="center" wrapText="1"/>
    </xf>
    <xf numFmtId="0" fontId="23" fillId="37" borderId="0" xfId="0" applyFont="1" applyFill="1" applyAlignment="1">
      <alignment horizontal="center"/>
    </xf>
    <xf numFmtId="0" fontId="23" fillId="38" borderId="0" xfId="0" applyFont="1" applyFill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58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6" formatCode="0.000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0.00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7" formatCode="#,##0.00;\-#,##0.00;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7" formatCode="#,##0.00;\-#,##0.00;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7" formatCode="#,##0.00;\-#,##0.00;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7" formatCode="#,##0.00;\-#,##0.00;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7" formatCode="#,##0.00;\-#,##0.00;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7" formatCode="#,##0.00;\-#,##0.00;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7" formatCode="#,##0.00;\-#,##0.00;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7" formatCode="#,##0.00;\-#,##0.00;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7" formatCode="#,##0.00;\-#,##0.00;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7" formatCode="#,##0.00;\-#,##0.00;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numFmt numFmtId="12" formatCode="&quot;$&quot;#,##0.00_);[Red]\(&quot;$&quot;#,##0.00\)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numFmt numFmtId="12" formatCode="&quot;$&quot;#,##0.00_);[Red]\(&quot;$&quot;#,##0.00\)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</a:t>
            </a:r>
            <a:r>
              <a:rPr lang="en-US" baseline="0"/>
              <a:t> vs.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Income!$F$8</c:f>
              <c:strCache>
                <c:ptCount val="1"/>
                <c:pt idx="0">
                  <c:v>Monthly Net Income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8115942028985839E-3"/>
                  <c:y val="0.106481481481481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E40-4F89-A314-153744F8A6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Income!$H$8</c:f>
              <c:numCache>
                <c:formatCode>_("$"* #,##0.00_);_("$"* \(#,##0.00\);_("$"* "-"??_);_(@_)</c:formatCode>
                <c:ptCount val="1"/>
                <c:pt idx="0">
                  <c:v>6976.7459626666669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40-4F89-A314-153744F8A6AB}"/>
            </c:ext>
          </c:extLst>
        </c:ser>
        <c:ser>
          <c:idx val="1"/>
          <c:order val="1"/>
          <c:tx>
            <c:strRef>
              <c:f>Expenses!$A$28</c:f>
              <c:strCache>
                <c:ptCount val="1"/>
                <c:pt idx="0">
                  <c:v>Expenses Total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Expenses!$C$28</c:f>
              <c:numCache>
                <c:formatCode>_("$"* #,##0.00_);_("$"* \(#,##0.00\);_("$"* "-"??_);_(@_)</c:formatCode>
                <c:ptCount val="1"/>
                <c:pt idx="0">
                  <c:v>6861.8366666666661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40-4F89-A314-153744F8A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84980912"/>
        <c:axId val="584983864"/>
      </c:barChart>
      <c:catAx>
        <c:axId val="5849809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4983864"/>
        <c:crosses val="autoZero"/>
        <c:auto val="0"/>
        <c:lblAlgn val="ctr"/>
        <c:lblOffset val="100"/>
        <c:noMultiLvlLbl val="0"/>
      </c:catAx>
      <c:valAx>
        <c:axId val="5849838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8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Monthly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ACB-4003-B9D0-88C34BB5171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ACB-4003-B9D0-88C34BB5171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ACB-4003-B9D0-88C34BB5171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ACB-4003-B9D0-88C34BB5171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BACB-4003-B9D0-88C34BB5171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BACB-4003-B9D0-88C34BB5171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BACB-4003-B9D0-88C34BB5171A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BACB-4003-B9D0-88C34BB5171A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BACB-4003-B9D0-88C34BB5171A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BACB-4003-B9D0-88C34BB5171A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BACB-4003-B9D0-88C34BB5171A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BACB-4003-B9D0-88C34BB5171A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BACB-4003-B9D0-88C34BB5171A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BACB-4003-B9D0-88C34BB5171A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BACB-4003-B9D0-88C34BB5171A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BACB-4003-B9D0-88C34BB5171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BACB-4003-B9D0-88C34BB5171A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BACB-4003-B9D0-88C34BB5171A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BACB-4003-B9D0-88C34BB5171A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BACB-4003-B9D0-88C34BB5171A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BACB-4003-B9D0-88C34BB5171A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BACB-4003-B9D0-88C34BB5171A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D-BACB-4003-B9D0-88C34BB517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Expenses!$B$2:$B$26</c15:sqref>
                  </c15:fullRef>
                </c:ext>
              </c:extLst>
              <c:f>(Expenses!$B$2:$B$9,Expenses!$B$11:$B$18,Expenses!$B$20:$B$22,Expenses!$B$24:$B$26)</c:f>
              <c:strCache>
                <c:ptCount val="22"/>
                <c:pt idx="0">
                  <c:v>Student Loan</c:v>
                </c:pt>
                <c:pt idx="1">
                  <c:v>Utilities</c:v>
                </c:pt>
                <c:pt idx="2">
                  <c:v>Loan</c:v>
                </c:pt>
                <c:pt idx="3">
                  <c:v>Car payment</c:v>
                </c:pt>
                <c:pt idx="4">
                  <c:v>Rent</c:v>
                </c:pt>
                <c:pt idx="5">
                  <c:v>Gas/Tolls</c:v>
                </c:pt>
                <c:pt idx="6">
                  <c:v>Groceries</c:v>
                </c:pt>
                <c:pt idx="7">
                  <c:v>Insurance</c:v>
                </c:pt>
                <c:pt idx="8">
                  <c:v>Hulu</c:v>
                </c:pt>
                <c:pt idx="9">
                  <c:v>Netflix</c:v>
                </c:pt>
                <c:pt idx="10">
                  <c:v>Google Play</c:v>
                </c:pt>
                <c:pt idx="11">
                  <c:v>Google Fi Phone</c:v>
                </c:pt>
                <c:pt idx="12">
                  <c:v>Comcast Internet</c:v>
                </c:pt>
                <c:pt idx="13">
                  <c:v>Amazon Prime</c:v>
                </c:pt>
                <c:pt idx="14">
                  <c:v>Six Flags Membership</c:v>
                </c:pt>
                <c:pt idx="15">
                  <c:v>Verizon Phone</c:v>
                </c:pt>
                <c:pt idx="16">
                  <c:v>Restaurants</c:v>
                </c:pt>
                <c:pt idx="17">
                  <c:v>Extra Car Payment</c:v>
                </c:pt>
                <c:pt idx="18">
                  <c:v>Misc Spending</c:v>
                </c:pt>
                <c:pt idx="19">
                  <c:v>Vacation Savings</c:v>
                </c:pt>
                <c:pt idx="20">
                  <c:v>Car Savings</c:v>
                </c:pt>
                <c:pt idx="21">
                  <c:v>Roth IRA's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Expenses!$C$2:$C$26</c15:sqref>
                  </c15:fullRef>
                </c:ext>
              </c:extLst>
              <c:f>(Expenses!$C$2:$C$9,Expenses!$C$11:$C$18,Expenses!$C$20:$C$22,Expenses!$C$24:$C$26)</c:f>
              <c:numCache>
                <c:formatCode>_("$"* #,##0.00_);_("$"* \(#,##0.00\);_("$"* "-"??_);_(@_)</c:formatCode>
                <c:ptCount val="22"/>
                <c:pt idx="0">
                  <c:v>124.72</c:v>
                </c:pt>
                <c:pt idx="1">
                  <c:v>200</c:v>
                </c:pt>
                <c:pt idx="2">
                  <c:v>633.30999999999995</c:v>
                </c:pt>
                <c:pt idx="3">
                  <c:v>280</c:v>
                </c:pt>
                <c:pt idx="4">
                  <c:v>2250</c:v>
                </c:pt>
                <c:pt idx="5">
                  <c:v>200</c:v>
                </c:pt>
                <c:pt idx="6">
                  <c:v>500</c:v>
                </c:pt>
                <c:pt idx="7">
                  <c:v>137.1</c:v>
                </c:pt>
                <c:pt idx="8">
                  <c:v>14.99</c:v>
                </c:pt>
                <c:pt idx="9">
                  <c:v>12.99</c:v>
                </c:pt>
                <c:pt idx="10">
                  <c:v>9.99</c:v>
                </c:pt>
                <c:pt idx="11">
                  <c:v>45</c:v>
                </c:pt>
                <c:pt idx="12">
                  <c:v>82</c:v>
                </c:pt>
                <c:pt idx="13">
                  <c:v>9.9166666666666661</c:v>
                </c:pt>
                <c:pt idx="14">
                  <c:v>19</c:v>
                </c:pt>
                <c:pt idx="15">
                  <c:v>99.92</c:v>
                </c:pt>
                <c:pt idx="16">
                  <c:v>400</c:v>
                </c:pt>
                <c:pt idx="17">
                  <c:v>80</c:v>
                </c:pt>
                <c:pt idx="18">
                  <c:v>400</c:v>
                </c:pt>
                <c:pt idx="19">
                  <c:v>250</c:v>
                </c:pt>
                <c:pt idx="20">
                  <c:v>250</c:v>
                </c:pt>
                <c:pt idx="21">
                  <c:v>1000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3164-49ED-B685-B710630C840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Retirement Savings Growth</a:t>
            </a: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'Retirement Savings'!$G$2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'Retirement Savings'!$F$3:$F$12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'Retirement Savings'!$G$3:$G$12</c:f>
              <c:numCache>
                <c:formatCode>"$"#,##0.00_);[Red]\("$"#,##0.00\)</c:formatCode>
                <c:ptCount val="10"/>
                <c:pt idx="0">
                  <c:v>242387.86765000003</c:v>
                </c:pt>
                <c:pt idx="1">
                  <c:v>296949.32471200009</c:v>
                </c:pt>
                <c:pt idx="2">
                  <c:v>355875.69833896012</c:v>
                </c:pt>
                <c:pt idx="3">
                  <c:v>419516.18185607699</c:v>
                </c:pt>
                <c:pt idx="4">
                  <c:v>488247.9040545632</c:v>
                </c:pt>
                <c:pt idx="5">
                  <c:v>562478.16402892838</c:v>
                </c:pt>
                <c:pt idx="6">
                  <c:v>642646.8448012427</c:v>
                </c:pt>
                <c:pt idx="7">
                  <c:v>729229.02003534208</c:v>
                </c:pt>
                <c:pt idx="8">
                  <c:v>822737.76928816945</c:v>
                </c:pt>
                <c:pt idx="9">
                  <c:v>923727.2184812231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BD-4AD4-972C-28C957E760FD}"/>
            </c:ext>
          </c:extLst>
        </c:ser>
        <c:ser>
          <c:idx val="1"/>
          <c:order val="1"/>
          <c:tx>
            <c:strRef>
              <c:f>'Retirement Savings'!$H$2</c:f>
              <c:strCache>
                <c:ptCount val="1"/>
                <c:pt idx="0">
                  <c:v>HSA Savings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'Retirement Savings'!$F$3:$F$12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'Retirement Savings'!$H$3:$H$12</c:f>
              <c:numCache>
                <c:formatCode>"$"#,##0.00_);[Red]\("$"#,##0.00\)</c:formatCode>
                <c:ptCount val="10"/>
                <c:pt idx="0">
                  <c:v>13759.438400000006</c:v>
                </c:pt>
                <c:pt idx="1">
                  <c:v>21309.815936000014</c:v>
                </c:pt>
                <c:pt idx="2">
                  <c:v>29162.208573440021</c:v>
                </c:pt>
                <c:pt idx="3">
                  <c:v>37328.69691637763</c:v>
                </c:pt>
                <c:pt idx="4">
                  <c:v>45821.844793032746</c:v>
                </c:pt>
                <c:pt idx="5">
                  <c:v>54654.718584754068</c:v>
                </c:pt>
                <c:pt idx="6">
                  <c:v>63840.90732814424</c:v>
                </c:pt>
                <c:pt idx="7">
                  <c:v>73394.543621270015</c:v>
                </c:pt>
                <c:pt idx="8">
                  <c:v>83330.325366120815</c:v>
                </c:pt>
                <c:pt idx="9">
                  <c:v>93663.538380765647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BD-4AD4-972C-28C957E76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461064"/>
        <c:axId val="529461392"/>
      </c:barChart>
      <c:lineChart>
        <c:grouping val="standard"/>
        <c:varyColors val="0"/>
        <c:ser>
          <c:idx val="2"/>
          <c:order val="2"/>
          <c:tx>
            <c:strRef>
              <c:f>'Retirement Savings'!$I$2</c:f>
              <c:strCache>
                <c:ptCount val="1"/>
                <c:pt idx="0">
                  <c:v> Total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'Retirement Savings'!$F$3:$F$12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'Retirement Savings'!$I$3:$I$12</c:f>
              <c:numCache>
                <c:formatCode>_("$"* #,##0.00_);_("$"* \(#,##0.00\);_("$"* "-"??_);_(@_)</c:formatCode>
                <c:ptCount val="10"/>
                <c:pt idx="0">
                  <c:v>256147.30605000004</c:v>
                </c:pt>
                <c:pt idx="1">
                  <c:v>318259.14064800012</c:v>
                </c:pt>
                <c:pt idx="2">
                  <c:v>385037.90691240015</c:v>
                </c:pt>
                <c:pt idx="3">
                  <c:v>456844.87877245463</c:v>
                </c:pt>
                <c:pt idx="4">
                  <c:v>534069.748847596</c:v>
                </c:pt>
                <c:pt idx="5">
                  <c:v>617132.88261368242</c:v>
                </c:pt>
                <c:pt idx="6">
                  <c:v>706487.75212938688</c:v>
                </c:pt>
                <c:pt idx="7">
                  <c:v>802623.56365661207</c:v>
                </c:pt>
                <c:pt idx="8">
                  <c:v>906068.09465429024</c:v>
                </c:pt>
                <c:pt idx="9">
                  <c:v>1017390.7568619887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BD-4AD4-972C-28C957E760FD}"/>
            </c:ext>
          </c:extLst>
        </c:ser>
        <c:ser>
          <c:idx val="3"/>
          <c:order val="3"/>
          <c:tx>
            <c:strRef>
              <c:f>'Retirement Savings'!$J$2</c:f>
              <c:strCache>
                <c:ptCount val="1"/>
                <c:pt idx="0">
                  <c:v> Target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'Retirement Savings'!$F$3:$F$12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'Retirement Savings'!$J$3:$J$12</c:f>
              <c:numCache>
                <c:formatCode>"$"#,##0_);[Red]\("$"#,##0\)</c:formatCode>
                <c:ptCount val="10"/>
                <c:pt idx="0">
                  <c:v>1000000</c:v>
                </c:pt>
                <c:pt idx="1">
                  <c:v>1000000</c:v>
                </c:pt>
                <c:pt idx="2">
                  <c:v>1000000</c:v>
                </c:pt>
                <c:pt idx="3">
                  <c:v>1000000</c:v>
                </c:pt>
                <c:pt idx="4">
                  <c:v>1000000</c:v>
                </c:pt>
                <c:pt idx="5">
                  <c:v>1000000</c:v>
                </c:pt>
                <c:pt idx="6">
                  <c:v>1000000</c:v>
                </c:pt>
                <c:pt idx="7">
                  <c:v>1000000</c:v>
                </c:pt>
                <c:pt idx="8">
                  <c:v>1000000</c:v>
                </c:pt>
                <c:pt idx="9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C5-4EF2-BBA6-F28650556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461064"/>
        <c:axId val="529461392"/>
      </c:lineChart>
      <c:catAx>
        <c:axId val="52946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461392"/>
        <c:crosses val="autoZero"/>
        <c:auto val="1"/>
        <c:lblAlgn val="ctr"/>
        <c:lblOffset val="100"/>
        <c:noMultiLvlLbl val="0"/>
      </c:catAx>
      <c:valAx>
        <c:axId val="52946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46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937260</xdr:colOff>
      <xdr:row>10</xdr:row>
      <xdr:rowOff>7620</xdr:rowOff>
    </xdr:from>
    <xdr:to>
      <xdr:col>8</xdr:col>
      <xdr:colOff>45720</xdr:colOff>
      <xdr:row>23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0EE054-F853-4C6E-889B-3B66D6D21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</xdr:row>
      <xdr:rowOff>182880</xdr:rowOff>
    </xdr:from>
    <xdr:to>
      <xdr:col>14</xdr:col>
      <xdr:colOff>22860</xdr:colOff>
      <xdr:row>25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931B5C-09B3-4C1A-9CA4-8320C8205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12</xdr:row>
      <xdr:rowOff>167640</xdr:rowOff>
    </xdr:from>
    <xdr:to>
      <xdr:col>14</xdr:col>
      <xdr:colOff>662940</xdr:colOff>
      <xdr:row>33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655FF9-2961-4343-8034-1CC424619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CEDEE2-F39A-42B1-A3CC-0E4C1769CF98}" name="Income" displayName="Income" ref="F3:H8" totalsRowShown="0" headerRowDxfId="57">
  <tableColumns count="3">
    <tableColumn id="1" xr3:uid="{51A32C74-1652-44C3-A9E1-9A04FD70A36E}" name="Description" dataDxfId="56"/>
    <tableColumn id="4" xr3:uid="{6F2C4F55-9512-406F-BDE8-D50EA84FA0D2}" name="Amount" dataDxfId="55" dataCellStyle="Currency"/>
    <tableColumn id="6" xr3:uid="{6EC44D0D-8E71-48E0-A9BA-8A154014C465}" name="Monthly " dataDxf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37729E-753C-49F0-8601-733E50800CFB}" name="BudgetExpenses" displayName="BudgetExpenses" ref="A1:C29" headerRowCount="0" totalsRowShown="0" headerRowDxfId="53" dataDxfId="52">
  <tableColumns count="3">
    <tableColumn id="1" xr3:uid="{851440EA-E9FA-4EC3-8D8E-E862C9B6CAE7}" name="Column1" headerRowDxfId="51" dataDxfId="50"/>
    <tableColumn id="2" xr3:uid="{12C67D6C-80E5-4E24-8773-098F62327898}" name="Column2" headerRowDxfId="49" dataDxfId="48"/>
    <tableColumn id="3" xr3:uid="{2A253E4D-C585-4CFD-AC70-2B9F9981A263}" name="Column3" headerRowDxfId="47" dataDxfId="46" dataCellStyle="Currency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7D587E-4A92-436A-A7DE-5C3A0D685624}" name="RetirementSavings" displayName="RetirementSavings" ref="F2:J12" totalsRowShown="0" headerRowDxfId="45" dataDxfId="44">
  <tableColumns count="5">
    <tableColumn id="1" xr3:uid="{8A244625-06A6-41DD-AB7C-BEF6C95BCB3F}" name="Year" dataDxfId="43"/>
    <tableColumn id="2" xr3:uid="{BF9BF3C6-2C13-45FD-A2C1-DD758A75BB13}" name="Investments" dataDxfId="42">
      <calculatedColumnFormula>-FV($C$12,1,$C$17,G2,0)</calculatedColumnFormula>
    </tableColumn>
    <tableColumn id="4" xr3:uid="{D77D6670-A3CC-4B94-9AF7-8308C278B4F6}" name="HSA Savings" dataDxfId="41">
      <calculatedColumnFormula>-FV($B$4,1,$B$3,H2,0)</calculatedColumnFormula>
    </tableColumn>
    <tableColumn id="5" xr3:uid="{365B48D0-D1CB-4C29-93B5-EC144CFFD483}" name="Total" dataDxfId="40" dataCellStyle="Currency">
      <calculatedColumnFormula>SUM(RetirementSavings[[#This Row],[Investments]:[HSA Savings]])</calculatedColumnFormula>
    </tableColumn>
    <tableColumn id="3" xr3:uid="{52F156BC-1EE3-404C-9284-BE76C846CD7A}" name="Target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EDB2D-3AF3-48D1-B79D-931D096E67EE}" name="Car" displayName="Car" ref="H10:M84" totalsRowCount="1" headerRowDxfId="39" dataDxfId="38" totalsRowDxfId="37">
  <autoFilter ref="H10:M83" xr:uid="{C7DD63CD-B126-410D-AEAB-8FF8884CAE8A}"/>
  <tableColumns count="6">
    <tableColumn id="1" xr3:uid="{596E8CBE-869D-4D01-8951-A63F6CCB3AF1}" name="Period" totalsRowLabel="Total" dataDxfId="36" totalsRowDxfId="35"/>
    <tableColumn id="2" xr3:uid="{23A5984C-B259-4858-A597-7364F911FF3C}" name="PMNT" dataDxfId="34" totalsRowDxfId="33" dataCellStyle="Currency">
      <calculatedColumnFormula>IF(L10&lt;270, L10*(1+G$2), 270)</calculatedColumnFormula>
    </tableColumn>
    <tableColumn id="3" xr3:uid="{E118BD77-7B93-461B-87CE-B80FDD2F2262}" name="Interest Paid" totalsRowFunction="sum" dataDxfId="32" totalsRowDxfId="31" totalsRowCellStyle="Currency">
      <calculatedColumnFormula>G$2*L10</calculatedColumnFormula>
    </tableColumn>
    <tableColumn id="4" xr3:uid="{5E457469-F5AF-479F-A389-91E4C2D1CF38}" name="Prinicipal paid" dataDxfId="30" totalsRowDxfId="29">
      <calculatedColumnFormula>I11-J11</calculatedColumnFormula>
    </tableColumn>
    <tableColumn id="5" xr3:uid="{B0E68E2A-E479-4C83-9629-E0BDEE16DCE5}" name="Balance" dataDxfId="28" totalsRowDxfId="27">
      <calculatedColumnFormula>L10-K11-M11</calculatedColumnFormula>
    </tableColumn>
    <tableColumn id="6" xr3:uid="{7CB5FF91-8B17-4E5C-8CB1-EE3A8D5C5F1B}" name="Extra Payment" totalsRowFunction="sum" dataDxfId="26" totalsRowDxfId="25" totalsRowCellStyle="Currency">
      <calculatedColumnFormula>IF(I11&lt;270, 0,80)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630FB1-7388-4613-B485-DF092F410285}" name="Mortgage" displayName="Mortgage" ref="A10:F84" totalsRowCount="1" headerRowDxfId="24" dataDxfId="23" totalsRowDxfId="22">
  <autoFilter ref="A10:F83" xr:uid="{B5DCD904-36B0-49F0-9860-2BFBB9789FC0}"/>
  <tableColumns count="6">
    <tableColumn id="1" xr3:uid="{092E4D0B-C71D-4F5C-9316-1253FA25290D}" name="Period" totalsRowLabel="Total" dataDxfId="21" totalsRowDxfId="20"/>
    <tableColumn id="2" xr3:uid="{E2785149-1D4A-46E2-8127-C6C8B57879FB}" name="PMNT" dataDxfId="19" totalsRowDxfId="18" dataCellStyle="Currency">
      <calculatedColumnFormula>IF(E10&lt;270, E10*(1+#REF!), 270)</calculatedColumnFormula>
    </tableColumn>
    <tableColumn id="3" xr3:uid="{302475DB-9B31-4F72-B182-2D6CE4876F10}" name="Interest Paid" totalsRowFunction="sum" dataDxfId="17" totalsRowDxfId="16" totalsRowCellStyle="Currency">
      <calculatedColumnFormula>#REF!*E10</calculatedColumnFormula>
    </tableColumn>
    <tableColumn id="4" xr3:uid="{98358244-5F0C-4354-B1C9-6AA2627D7CB2}" name="Prinicipal paid" dataDxfId="15" totalsRowDxfId="14">
      <calculatedColumnFormula>B11-C11</calculatedColumnFormula>
    </tableColumn>
    <tableColumn id="5" xr3:uid="{FD6667B1-EEA5-4F9E-8617-24FBC2FDCD01}" name="Balance" dataDxfId="13" totalsRowDxfId="12">
      <calculatedColumnFormula>E10-D11-F11</calculatedColumnFormula>
    </tableColumn>
    <tableColumn id="6" xr3:uid="{69D4A59B-8D67-4326-BA14-9D6B7C779925}" name="Extra Payment" totalsRowFunction="sum" dataDxfId="11" totalsRowDxfId="10" totalsRowCellStyle="Currency">
      <calculatedColumnFormula>IF(B11&lt;270, 0,80)</calculatedColumnFormula>
    </tableColumn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3CE8CF-712D-49D9-BB62-4FB608B81CD0}" name="Table2" displayName="Table2" ref="A1:G5" totalsRowShown="0" headerRowDxfId="9" dataDxfId="8">
  <autoFilter ref="A1:G5" xr:uid="{E502109E-469B-49B2-9BE5-B2F7205A9581}"/>
  <tableColumns count="7">
    <tableColumn id="1" xr3:uid="{B26C0AB1-EED6-4C6E-AC6A-CD32E8455CC6}" name="Name" dataDxfId="7"/>
    <tableColumn id="2" xr3:uid="{26A82DD3-5ED7-4223-B1A7-0DC045AE49A4}" name="Amount" dataDxfId="6" dataCellStyle="Currency"/>
    <tableColumn id="3" xr3:uid="{D1A9F6B3-5B35-46CF-A2EF-51CF34C541D6}" name="~ Years Remaining" dataDxfId="5"/>
    <tableColumn id="4" xr3:uid="{5B9EBD41-33F6-4C35-8EA3-E07E259E1D16}" name="Rate" dataDxfId="4" dataCellStyle="Percent"/>
    <tableColumn id="5" xr3:uid="{25694B50-F9D7-49C4-9577-61051182CD87}" name="Periods per year" dataDxfId="3"/>
    <tableColumn id="6" xr3:uid="{AD958987-A662-4DD4-8ED3-84DCDA567024}" name="Total Periods" dataDxfId="2">
      <calculatedColumnFormula>E2*C2</calculatedColumnFormula>
    </tableColumn>
    <tableColumn id="7" xr3:uid="{E42BEDB7-21A1-4386-9D4F-E3AAABB2BCA9}" name="Period Rate" dataDxfId="1" dataCellStyle="Percent">
      <calculatedColumnFormula>D2/E2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opLeftCell="A3" workbookViewId="0">
      <selection activeCell="J19" sqref="J19"/>
    </sheetView>
  </sheetViews>
  <sheetFormatPr defaultColWidth="8.90625" defaultRowHeight="15.5" x14ac:dyDescent="0.35"/>
  <cols>
    <col min="1" max="1" width="26.453125" style="3" customWidth="1"/>
    <col min="2" max="2" width="15.90625" style="3" customWidth="1"/>
    <col min="3" max="3" width="15.81640625" style="3" bestFit="1" customWidth="1"/>
    <col min="4" max="4" width="15.81640625" style="4" bestFit="1" customWidth="1"/>
    <col min="5" max="5" width="13.81640625" style="3" bestFit="1" customWidth="1"/>
    <col min="6" max="6" width="25.453125" style="3" bestFit="1" customWidth="1"/>
    <col min="7" max="7" width="14.453125" style="3" bestFit="1" customWidth="1"/>
    <col min="8" max="8" width="15.54296875" style="3" bestFit="1" customWidth="1"/>
    <col min="9" max="16384" width="8.90625" style="3"/>
  </cols>
  <sheetData>
    <row r="1" spans="1:8" ht="17.5" x14ac:dyDescent="0.35">
      <c r="A1" s="16" t="s">
        <v>106</v>
      </c>
      <c r="B1" s="17">
        <v>83408.552999999985</v>
      </c>
      <c r="C1" s="16" t="s">
        <v>30</v>
      </c>
      <c r="D1" s="17">
        <f>ROUND(B1/2087, 2)</f>
        <v>39.97</v>
      </c>
    </row>
    <row r="2" spans="1:8" x14ac:dyDescent="0.35">
      <c r="A2" s="51"/>
      <c r="B2" s="52"/>
      <c r="C2" s="52"/>
      <c r="D2" s="53"/>
    </row>
    <row r="3" spans="1:8" s="12" customFormat="1" ht="17.5" x14ac:dyDescent="0.35">
      <c r="A3" s="54" t="s">
        <v>0</v>
      </c>
      <c r="B3" s="55"/>
      <c r="C3" s="60" t="s">
        <v>1</v>
      </c>
      <c r="D3" s="62" t="s">
        <v>2</v>
      </c>
      <c r="F3" s="26" t="s">
        <v>0</v>
      </c>
      <c r="G3" s="26" t="s">
        <v>2</v>
      </c>
      <c r="H3" s="26" t="s">
        <v>34</v>
      </c>
    </row>
    <row r="4" spans="1:8" s="12" customFormat="1" ht="17.5" x14ac:dyDescent="0.35">
      <c r="A4" s="56"/>
      <c r="B4" s="57"/>
      <c r="C4" s="61"/>
      <c r="D4" s="63"/>
      <c r="F4" s="14"/>
      <c r="G4" s="14"/>
      <c r="H4" s="14"/>
    </row>
    <row r="5" spans="1:8" x14ac:dyDescent="0.35">
      <c r="A5" s="45" t="s">
        <v>3</v>
      </c>
      <c r="B5" s="46"/>
      <c r="C5" s="9">
        <v>72</v>
      </c>
      <c r="D5" s="8">
        <f>ROUND($D$1*C5, 2)</f>
        <v>2877.84</v>
      </c>
      <c r="F5" s="15" t="s">
        <v>107</v>
      </c>
      <c r="G5" s="25">
        <f>D36</f>
        <v>1896.4227519999999</v>
      </c>
      <c r="H5" s="24">
        <f>(G5*26)/12</f>
        <v>4108.9159626666669</v>
      </c>
    </row>
    <row r="6" spans="1:8" x14ac:dyDescent="0.35">
      <c r="A6" s="45" t="s">
        <v>4</v>
      </c>
      <c r="B6" s="46"/>
      <c r="C6" s="9">
        <v>10</v>
      </c>
      <c r="D6" s="8">
        <f>ROUND($D$1*0.25,2)*C6</f>
        <v>99.9</v>
      </c>
      <c r="F6" s="15" t="s">
        <v>108</v>
      </c>
      <c r="G6" s="24">
        <v>479.83</v>
      </c>
      <c r="H6" s="25">
        <f>G6</f>
        <v>479.83</v>
      </c>
    </row>
    <row r="7" spans="1:8" x14ac:dyDescent="0.35">
      <c r="A7" s="45" t="s">
        <v>5</v>
      </c>
      <c r="B7" s="46"/>
      <c r="C7" s="9">
        <v>13</v>
      </c>
      <c r="D7" s="8">
        <f>ROUND($D$1*0.35,2)*C7</f>
        <v>181.87</v>
      </c>
      <c r="F7" s="15" t="s">
        <v>109</v>
      </c>
      <c r="G7" s="24">
        <v>1194</v>
      </c>
      <c r="H7" s="25">
        <f>G7*2</f>
        <v>2388</v>
      </c>
    </row>
    <row r="8" spans="1:8" x14ac:dyDescent="0.35">
      <c r="A8" s="45" t="s">
        <v>6</v>
      </c>
      <c r="B8" s="46"/>
      <c r="C8" s="9">
        <v>14</v>
      </c>
      <c r="D8" s="8">
        <f>ROUND($D$1*0.1,2)*C8</f>
        <v>56</v>
      </c>
      <c r="F8" s="15" t="s">
        <v>35</v>
      </c>
      <c r="H8" s="25">
        <f>SUM(H5:H7)</f>
        <v>6976.7459626666669</v>
      </c>
    </row>
    <row r="9" spans="1:8" x14ac:dyDescent="0.35">
      <c r="A9" s="45" t="s">
        <v>7</v>
      </c>
      <c r="B9" s="46"/>
      <c r="C9" s="9"/>
      <c r="D9" s="8">
        <f>ROUND($D$1*1.145,2)*C9</f>
        <v>0</v>
      </c>
    </row>
    <row r="10" spans="1:8" x14ac:dyDescent="0.35">
      <c r="A10" s="45" t="s">
        <v>8</v>
      </c>
      <c r="B10" s="46"/>
      <c r="C10" s="9">
        <v>8</v>
      </c>
      <c r="D10" s="8">
        <f>ROUND($D$1*C10, 2)</f>
        <v>319.76</v>
      </c>
    </row>
    <row r="11" spans="1:8" x14ac:dyDescent="0.35">
      <c r="A11" s="45" t="s">
        <v>26</v>
      </c>
      <c r="B11" s="46"/>
      <c r="C11" s="9"/>
      <c r="D11" s="8">
        <f>ROUND($D$1*C11, 2)</f>
        <v>0</v>
      </c>
    </row>
    <row r="12" spans="1:8" x14ac:dyDescent="0.35">
      <c r="A12" s="45" t="s">
        <v>27</v>
      </c>
      <c r="B12" s="46"/>
      <c r="C12" s="9"/>
      <c r="D12" s="8"/>
    </row>
    <row r="13" spans="1:8" x14ac:dyDescent="0.35">
      <c r="A13" s="45" t="s">
        <v>9</v>
      </c>
      <c r="B13" s="46"/>
      <c r="C13" s="9"/>
      <c r="D13" s="8">
        <v>250.4</v>
      </c>
    </row>
    <row r="14" spans="1:8" x14ac:dyDescent="0.35">
      <c r="A14" s="45" t="s">
        <v>28</v>
      </c>
      <c r="B14" s="46"/>
      <c r="C14" s="9"/>
      <c r="D14" s="8">
        <f>ROUND($D$1*C14, 2)</f>
        <v>0</v>
      </c>
    </row>
    <row r="15" spans="1:8" x14ac:dyDescent="0.35">
      <c r="A15" s="45" t="s">
        <v>29</v>
      </c>
      <c r="B15" s="46"/>
      <c r="C15" s="9"/>
      <c r="D15" s="8">
        <f>ROUND($D$1*C15, 2)</f>
        <v>0</v>
      </c>
    </row>
    <row r="16" spans="1:8" x14ac:dyDescent="0.35">
      <c r="A16" s="45" t="s">
        <v>10</v>
      </c>
      <c r="B16" s="46"/>
      <c r="C16" s="9">
        <v>8</v>
      </c>
      <c r="D16" s="8">
        <f>ROUND($D$1*C16, 2)</f>
        <v>319.76</v>
      </c>
      <c r="F16" s="5"/>
    </row>
    <row r="17" spans="1:5" x14ac:dyDescent="0.35">
      <c r="A17" s="49" t="s">
        <v>33</v>
      </c>
      <c r="B17" s="50"/>
      <c r="C17" s="22">
        <f>C5+C9+C10+C11+C14+C15+C16</f>
        <v>88</v>
      </c>
      <c r="D17" s="23">
        <f>SUM(D5:D16)</f>
        <v>4105.53</v>
      </c>
      <c r="E17" s="5"/>
    </row>
    <row r="18" spans="1:5" x14ac:dyDescent="0.35">
      <c r="A18" s="18"/>
      <c r="B18" s="19"/>
      <c r="C18" s="20"/>
      <c r="D18" s="21"/>
    </row>
    <row r="19" spans="1:5" x14ac:dyDescent="0.35">
      <c r="A19" s="45" t="s">
        <v>11</v>
      </c>
      <c r="B19" s="46"/>
      <c r="C19" s="7"/>
      <c r="D19" s="10">
        <f>0.044*(D5+D10+D14+D15+D11)</f>
        <v>140.6944</v>
      </c>
      <c r="E19" s="6"/>
    </row>
    <row r="20" spans="1:5" x14ac:dyDescent="0.35">
      <c r="A20" s="45" t="s">
        <v>12</v>
      </c>
      <c r="B20" s="46"/>
      <c r="C20" s="7"/>
      <c r="D20" s="58">
        <v>731</v>
      </c>
    </row>
    <row r="21" spans="1:5" x14ac:dyDescent="0.35">
      <c r="A21" s="45" t="s">
        <v>13</v>
      </c>
      <c r="B21" s="46"/>
      <c r="C21" s="7"/>
      <c r="D21" s="59"/>
    </row>
    <row r="22" spans="1:5" x14ac:dyDescent="0.35">
      <c r="A22" s="45" t="s">
        <v>14</v>
      </c>
      <c r="B22" s="46"/>
      <c r="C22" s="7"/>
      <c r="D22" s="10">
        <f>($D$17-$D$28-$D$29-$D$30-$D$32)*6.2%</f>
        <v>230.85947999999996</v>
      </c>
      <c r="E22" s="5"/>
    </row>
    <row r="23" spans="1:5" x14ac:dyDescent="0.35">
      <c r="A23" s="45" t="s">
        <v>15</v>
      </c>
      <c r="B23" s="46"/>
      <c r="C23" s="7"/>
      <c r="D23" s="11">
        <f>((($D$17-$D$28-$D$29-$D$30-$D$32-$D$20)-(161.5*2)-1200)*12%)+74.6</f>
        <v>250.94479999999993</v>
      </c>
      <c r="E23" s="6"/>
    </row>
    <row r="24" spans="1:5" x14ac:dyDescent="0.35">
      <c r="A24" s="45" t="s">
        <v>16</v>
      </c>
      <c r="B24" s="46"/>
      <c r="C24" s="7"/>
      <c r="D24" s="10">
        <v>100</v>
      </c>
    </row>
    <row r="25" spans="1:5" x14ac:dyDescent="0.35">
      <c r="A25" s="45" t="s">
        <v>17</v>
      </c>
      <c r="B25" s="46"/>
      <c r="C25" s="7"/>
      <c r="D25" s="11">
        <f>($D$17*0.85)*7.6%</f>
        <v>265.21723799999995</v>
      </c>
      <c r="E25" s="5"/>
    </row>
    <row r="26" spans="1:5" x14ac:dyDescent="0.35">
      <c r="A26" s="45" t="s">
        <v>18</v>
      </c>
      <c r="B26" s="46"/>
      <c r="C26" s="7"/>
      <c r="D26" s="10">
        <v>12.6</v>
      </c>
    </row>
    <row r="27" spans="1:5" x14ac:dyDescent="0.35">
      <c r="A27" s="45" t="s">
        <v>19</v>
      </c>
      <c r="B27" s="46"/>
      <c r="C27" s="7"/>
      <c r="D27" s="10">
        <v>7.38</v>
      </c>
    </row>
    <row r="28" spans="1:5" x14ac:dyDescent="0.35">
      <c r="A28" s="45" t="s">
        <v>20</v>
      </c>
      <c r="B28" s="46"/>
      <c r="C28" s="7"/>
      <c r="D28" s="10">
        <v>160.07</v>
      </c>
    </row>
    <row r="29" spans="1:5" x14ac:dyDescent="0.35">
      <c r="A29" s="45" t="s">
        <v>21</v>
      </c>
      <c r="B29" s="46"/>
      <c r="C29" s="7"/>
      <c r="D29" s="10">
        <v>35.29</v>
      </c>
    </row>
    <row r="30" spans="1:5" x14ac:dyDescent="0.35">
      <c r="A30" s="45" t="s">
        <v>22</v>
      </c>
      <c r="B30" s="46"/>
      <c r="C30" s="7"/>
      <c r="D30" s="10">
        <v>11.63</v>
      </c>
    </row>
    <row r="31" spans="1:5" x14ac:dyDescent="0.35">
      <c r="A31" s="45" t="s">
        <v>23</v>
      </c>
      <c r="B31" s="46"/>
      <c r="C31" s="7"/>
      <c r="D31" s="10">
        <v>34.43</v>
      </c>
    </row>
    <row r="32" spans="1:5" x14ac:dyDescent="0.35">
      <c r="A32" s="45" t="s">
        <v>24</v>
      </c>
      <c r="B32" s="46"/>
      <c r="C32" s="7"/>
      <c r="D32" s="10">
        <v>175</v>
      </c>
    </row>
    <row r="33" spans="1:4" x14ac:dyDescent="0.35">
      <c r="A33" s="45" t="s">
        <v>25</v>
      </c>
      <c r="B33" s="46"/>
      <c r="C33" s="7"/>
      <c r="D33" s="10">
        <f>($D$17-$D$28-$D$29-$D$30-$D$32)*1.45%</f>
        <v>53.991329999999991</v>
      </c>
    </row>
    <row r="34" spans="1:4" x14ac:dyDescent="0.35">
      <c r="A34" s="47"/>
      <c r="B34" s="48"/>
      <c r="C34" s="20"/>
      <c r="D34" s="21"/>
    </row>
    <row r="35" spans="1:4" x14ac:dyDescent="0.35">
      <c r="A35" s="49" t="s">
        <v>31</v>
      </c>
      <c r="B35" s="50"/>
      <c r="C35" s="22"/>
      <c r="D35" s="23">
        <f>SUM(D19:D33)</f>
        <v>2209.1072479999998</v>
      </c>
    </row>
    <row r="36" spans="1:4" x14ac:dyDescent="0.35">
      <c r="A36" s="49" t="s">
        <v>32</v>
      </c>
      <c r="B36" s="50"/>
      <c r="C36" s="22"/>
      <c r="D36" s="23">
        <f>D17-D35</f>
        <v>1896.4227519999999</v>
      </c>
    </row>
  </sheetData>
  <mergeCells count="36">
    <mergeCell ref="A3:B4"/>
    <mergeCell ref="D20:D21"/>
    <mergeCell ref="C3:C4"/>
    <mergeCell ref="D3:D4"/>
    <mergeCell ref="A14:B14"/>
    <mergeCell ref="A15:B15"/>
    <mergeCell ref="A16:B16"/>
    <mergeCell ref="A17:B17"/>
    <mergeCell ref="A9:B9"/>
    <mergeCell ref="A10:B10"/>
    <mergeCell ref="A11:B11"/>
    <mergeCell ref="A12:B12"/>
    <mergeCell ref="A13:B13"/>
    <mergeCell ref="A25:B25"/>
    <mergeCell ref="A26:B26"/>
    <mergeCell ref="A27:B27"/>
    <mergeCell ref="A19:B19"/>
    <mergeCell ref="A20:B20"/>
    <mergeCell ref="A21:B21"/>
    <mergeCell ref="A22:B22"/>
    <mergeCell ref="A33:B33"/>
    <mergeCell ref="A34:B34"/>
    <mergeCell ref="A35:B35"/>
    <mergeCell ref="A36:B36"/>
    <mergeCell ref="A2:D2"/>
    <mergeCell ref="A8:B8"/>
    <mergeCell ref="A7:B7"/>
    <mergeCell ref="A6:B6"/>
    <mergeCell ref="A5:B5"/>
    <mergeCell ref="A28:B28"/>
    <mergeCell ref="A29:B29"/>
    <mergeCell ref="A30:B30"/>
    <mergeCell ref="A31:B31"/>
    <mergeCell ref="A32:B32"/>
    <mergeCell ref="A23:B23"/>
    <mergeCell ref="A24:B24"/>
  </mergeCells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CE8F-BE67-4767-9DF2-2B5D86ED3C24}">
  <dimension ref="A1:F30"/>
  <sheetViews>
    <sheetView workbookViewId="0">
      <selection activeCell="B14" sqref="B14"/>
    </sheetView>
  </sheetViews>
  <sheetFormatPr defaultRowHeight="14.5" x14ac:dyDescent="0.35"/>
  <cols>
    <col min="1" max="1" width="16" style="1" bestFit="1" customWidth="1"/>
    <col min="2" max="2" width="27.08984375" customWidth="1"/>
    <col min="3" max="3" width="20" customWidth="1"/>
    <col min="6" max="6" width="13.6328125" bestFit="1" customWidth="1"/>
  </cols>
  <sheetData>
    <row r="1" spans="1:3" ht="18" x14ac:dyDescent="0.4">
      <c r="A1" s="29" t="s">
        <v>67</v>
      </c>
      <c r="B1" s="29" t="s">
        <v>0</v>
      </c>
      <c r="C1" s="29" t="s">
        <v>36</v>
      </c>
    </row>
    <row r="2" spans="1:3" ht="15.5" x14ac:dyDescent="0.35">
      <c r="A2" s="3" t="s">
        <v>93</v>
      </c>
      <c r="B2" s="3" t="s">
        <v>37</v>
      </c>
      <c r="C2" s="4">
        <v>124.72</v>
      </c>
    </row>
    <row r="3" spans="1:3" ht="15.5" x14ac:dyDescent="0.35">
      <c r="A3" s="3" t="s">
        <v>93</v>
      </c>
      <c r="B3" s="3" t="s">
        <v>38</v>
      </c>
      <c r="C3" s="4">
        <v>200</v>
      </c>
    </row>
    <row r="4" spans="1:3" ht="15.5" x14ac:dyDescent="0.35">
      <c r="A4" s="3" t="s">
        <v>93</v>
      </c>
      <c r="B4" s="3" t="s">
        <v>39</v>
      </c>
      <c r="C4" s="4">
        <v>633.30999999999995</v>
      </c>
    </row>
    <row r="5" spans="1:3" ht="15.5" x14ac:dyDescent="0.35">
      <c r="A5" s="3" t="s">
        <v>93</v>
      </c>
      <c r="B5" s="3" t="s">
        <v>40</v>
      </c>
      <c r="C5" s="4">
        <v>280</v>
      </c>
    </row>
    <row r="6" spans="1:3" ht="15.5" x14ac:dyDescent="0.35">
      <c r="A6" s="3" t="s">
        <v>93</v>
      </c>
      <c r="B6" s="3" t="s">
        <v>41</v>
      </c>
      <c r="C6" s="4">
        <v>2250</v>
      </c>
    </row>
    <row r="7" spans="1:3" ht="15.5" x14ac:dyDescent="0.35">
      <c r="A7" s="3" t="s">
        <v>93</v>
      </c>
      <c r="B7" s="3" t="s">
        <v>55</v>
      </c>
      <c r="C7" s="4">
        <v>200</v>
      </c>
    </row>
    <row r="8" spans="1:3" ht="15.5" x14ac:dyDescent="0.35">
      <c r="A8" s="3" t="s">
        <v>93</v>
      </c>
      <c r="B8" s="3" t="s">
        <v>42</v>
      </c>
      <c r="C8" s="4">
        <v>500</v>
      </c>
    </row>
    <row r="9" spans="1:3" ht="15.5" x14ac:dyDescent="0.35">
      <c r="A9" s="3" t="s">
        <v>93</v>
      </c>
      <c r="B9" s="3" t="s">
        <v>102</v>
      </c>
      <c r="C9" s="4">
        <v>137.1</v>
      </c>
    </row>
    <row r="10" spans="1:3" ht="15.5" x14ac:dyDescent="0.35">
      <c r="A10" s="27" t="s">
        <v>52</v>
      </c>
      <c r="B10" s="27"/>
      <c r="C10" s="28">
        <f>SUM(C2:C9)</f>
        <v>4325.13</v>
      </c>
    </row>
    <row r="11" spans="1:3" s="1" customFormat="1" ht="15.5" x14ac:dyDescent="0.35">
      <c r="A11" s="3" t="s">
        <v>94</v>
      </c>
      <c r="B11" s="3" t="s">
        <v>43</v>
      </c>
      <c r="C11" s="4">
        <v>14.99</v>
      </c>
    </row>
    <row r="12" spans="1:3" ht="15.5" x14ac:dyDescent="0.35">
      <c r="A12" s="3" t="s">
        <v>94</v>
      </c>
      <c r="B12" s="3" t="s">
        <v>44</v>
      </c>
      <c r="C12" s="4">
        <v>12.99</v>
      </c>
    </row>
    <row r="13" spans="1:3" ht="15.5" x14ac:dyDescent="0.35">
      <c r="A13" s="3" t="s">
        <v>94</v>
      </c>
      <c r="B13" s="3" t="s">
        <v>45</v>
      </c>
      <c r="C13" s="4">
        <v>9.99</v>
      </c>
    </row>
    <row r="14" spans="1:3" ht="15.5" x14ac:dyDescent="0.35">
      <c r="A14" s="3" t="s">
        <v>94</v>
      </c>
      <c r="B14" s="3" t="s">
        <v>59</v>
      </c>
      <c r="C14" s="4">
        <v>45</v>
      </c>
    </row>
    <row r="15" spans="1:3" ht="15.5" x14ac:dyDescent="0.35">
      <c r="A15" s="3" t="s">
        <v>94</v>
      </c>
      <c r="B15" s="3" t="s">
        <v>46</v>
      </c>
      <c r="C15" s="4">
        <v>82</v>
      </c>
    </row>
    <row r="16" spans="1:3" ht="15.5" x14ac:dyDescent="0.35">
      <c r="A16" s="3" t="s">
        <v>94</v>
      </c>
      <c r="B16" s="3" t="s">
        <v>47</v>
      </c>
      <c r="C16" s="4">
        <f>(119/12)</f>
        <v>9.9166666666666661</v>
      </c>
    </row>
    <row r="17" spans="1:6" s="1" customFormat="1" ht="15.5" x14ac:dyDescent="0.35">
      <c r="A17" s="3" t="s">
        <v>94</v>
      </c>
      <c r="B17" s="3" t="s">
        <v>58</v>
      </c>
      <c r="C17" s="4">
        <v>19</v>
      </c>
    </row>
    <row r="18" spans="1:6" ht="15.5" x14ac:dyDescent="0.35">
      <c r="A18" s="3" t="s">
        <v>94</v>
      </c>
      <c r="B18" s="3" t="s">
        <v>60</v>
      </c>
      <c r="C18" s="4">
        <v>99.92</v>
      </c>
    </row>
    <row r="19" spans="1:6" ht="15.5" x14ac:dyDescent="0.35">
      <c r="A19" s="27" t="s">
        <v>97</v>
      </c>
      <c r="B19" s="27"/>
      <c r="C19" s="28">
        <f>SUM(C11:C18)</f>
        <v>293.80666666666667</v>
      </c>
    </row>
    <row r="20" spans="1:6" ht="15.5" x14ac:dyDescent="0.35">
      <c r="A20" s="3" t="s">
        <v>95</v>
      </c>
      <c r="B20" s="3" t="s">
        <v>48</v>
      </c>
      <c r="C20" s="4">
        <v>400</v>
      </c>
    </row>
    <row r="21" spans="1:6" s="1" customFormat="1" ht="15.5" x14ac:dyDescent="0.35">
      <c r="A21" s="3" t="s">
        <v>95</v>
      </c>
      <c r="B21" s="3" t="s">
        <v>61</v>
      </c>
      <c r="C21" s="4">
        <v>80</v>
      </c>
    </row>
    <row r="22" spans="1:6" ht="15.5" x14ac:dyDescent="0.35">
      <c r="A22" s="3" t="s">
        <v>95</v>
      </c>
      <c r="B22" s="3" t="s">
        <v>49</v>
      </c>
      <c r="C22" s="4">
        <v>400</v>
      </c>
    </row>
    <row r="23" spans="1:6" ht="15.5" x14ac:dyDescent="0.35">
      <c r="A23" s="27" t="s">
        <v>98</v>
      </c>
      <c r="B23" s="27"/>
      <c r="C23" s="28">
        <f>SUM(C20:C22)</f>
        <v>880</v>
      </c>
    </row>
    <row r="24" spans="1:6" ht="15.5" x14ac:dyDescent="0.35">
      <c r="A24" s="3" t="s">
        <v>96</v>
      </c>
      <c r="B24" s="3" t="s">
        <v>56</v>
      </c>
      <c r="C24" s="4">
        <v>250</v>
      </c>
    </row>
    <row r="25" spans="1:6" ht="15.5" x14ac:dyDescent="0.35">
      <c r="A25" s="3" t="s">
        <v>96</v>
      </c>
      <c r="B25" s="3" t="s">
        <v>57</v>
      </c>
      <c r="C25" s="4">
        <v>250</v>
      </c>
    </row>
    <row r="26" spans="1:6" ht="15.5" x14ac:dyDescent="0.35">
      <c r="A26" s="3" t="s">
        <v>96</v>
      </c>
      <c r="B26" s="3" t="s">
        <v>103</v>
      </c>
      <c r="C26" s="4">
        <v>1000</v>
      </c>
    </row>
    <row r="27" spans="1:6" ht="15.5" x14ac:dyDescent="0.35">
      <c r="A27" s="27" t="s">
        <v>53</v>
      </c>
      <c r="B27" s="27"/>
      <c r="C27" s="28">
        <f>SUM(C24:C26)</f>
        <v>1500</v>
      </c>
    </row>
    <row r="28" spans="1:6" ht="15.5" x14ac:dyDescent="0.35">
      <c r="A28" s="27" t="s">
        <v>54</v>
      </c>
      <c r="B28" s="27"/>
      <c r="C28" s="28">
        <f>SUM(C27,C23,C19,C10-C9)</f>
        <v>6861.8366666666661</v>
      </c>
      <c r="F28" s="2"/>
    </row>
    <row r="29" spans="1:6" ht="15.5" x14ac:dyDescent="0.35">
      <c r="A29" s="13" t="s">
        <v>62</v>
      </c>
      <c r="B29" s="3"/>
      <c r="C29" s="4">
        <f>Income!H8-Expenses!C28</f>
        <v>114.90929600000072</v>
      </c>
      <c r="F29" s="2"/>
    </row>
    <row r="30" spans="1:6" x14ac:dyDescent="0.35">
      <c r="F30" s="2"/>
    </row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F5E3-49EF-464A-8A1A-1804246FD3E5}">
  <dimension ref="A1:P20"/>
  <sheetViews>
    <sheetView zoomScale="70" workbookViewId="0">
      <selection activeCell="J1" sqref="J1:J1048576"/>
    </sheetView>
  </sheetViews>
  <sheetFormatPr defaultColWidth="8.90625" defaultRowHeight="15.5" x14ac:dyDescent="0.35"/>
  <cols>
    <col min="1" max="1" width="18.54296875" style="3" bestFit="1" customWidth="1"/>
    <col min="2" max="2" width="19.81640625" style="3" customWidth="1"/>
    <col min="3" max="3" width="13.81640625" style="3" customWidth="1"/>
    <col min="4" max="4" width="8.90625" style="3" customWidth="1"/>
    <col min="5" max="5" width="12" style="3" customWidth="1"/>
    <col min="6" max="6" width="17.54296875" style="3" bestFit="1" customWidth="1"/>
    <col min="7" max="7" width="14.54296875" style="3" bestFit="1" customWidth="1"/>
    <col min="8" max="8" width="15.36328125" style="3" bestFit="1" customWidth="1"/>
    <col min="9" max="9" width="15.453125" style="4" bestFit="1" customWidth="1"/>
    <col min="10" max="10" width="15.453125" style="4" customWidth="1"/>
    <col min="11" max="12" width="12" style="3" bestFit="1" customWidth="1"/>
    <col min="13" max="13" width="16.1796875" style="3" bestFit="1" customWidth="1"/>
    <col min="14" max="14" width="4.6328125" style="3" bestFit="1" customWidth="1"/>
    <col min="15" max="15" width="12" style="3" bestFit="1" customWidth="1"/>
    <col min="16" max="16" width="16.1796875" style="3" bestFit="1" customWidth="1"/>
    <col min="17" max="17" width="6.6328125" style="3" bestFit="1" customWidth="1"/>
    <col min="18" max="18" width="12" style="3" bestFit="1" customWidth="1"/>
    <col min="19" max="19" width="6.6328125" style="3" bestFit="1" customWidth="1"/>
    <col min="20" max="20" width="12" style="3" bestFit="1" customWidth="1"/>
    <col min="21" max="21" width="6.6328125" style="3" bestFit="1" customWidth="1"/>
    <col min="22" max="22" width="12" style="3" bestFit="1" customWidth="1"/>
    <col min="23" max="23" width="7.6328125" style="3" bestFit="1" customWidth="1"/>
    <col min="24" max="24" width="7" style="3" bestFit="1" customWidth="1"/>
    <col min="25" max="25" width="9.36328125" style="3" bestFit="1" customWidth="1"/>
    <col min="26" max="26" width="10.81640625" style="3" bestFit="1" customWidth="1"/>
    <col min="27" max="16384" width="8.90625" style="3"/>
  </cols>
  <sheetData>
    <row r="1" spans="1:16" ht="18" x14ac:dyDescent="0.4">
      <c r="F1" s="64" t="s">
        <v>76</v>
      </c>
      <c r="G1" s="64"/>
      <c r="H1" s="64"/>
      <c r="I1" s="64"/>
      <c r="J1" s="32"/>
    </row>
    <row r="2" spans="1:16" ht="18" x14ac:dyDescent="0.4">
      <c r="A2" s="7" t="s">
        <v>68</v>
      </c>
      <c r="B2" s="8">
        <f>1440.75+4258.71+800</f>
        <v>6499.46</v>
      </c>
      <c r="F2" s="33" t="s">
        <v>77</v>
      </c>
      <c r="G2" s="33" t="s">
        <v>69</v>
      </c>
      <c r="H2" s="33" t="s">
        <v>79</v>
      </c>
      <c r="I2" s="41" t="s">
        <v>51</v>
      </c>
      <c r="J2" s="41" t="s">
        <v>104</v>
      </c>
    </row>
    <row r="3" spans="1:16" x14ac:dyDescent="0.35">
      <c r="A3" s="7" t="s">
        <v>78</v>
      </c>
      <c r="B3" s="8">
        <v>7000</v>
      </c>
      <c r="F3" s="3">
        <v>1</v>
      </c>
      <c r="G3" s="30">
        <f>-FV(C$12,1,C$17,C$10,0)</f>
        <v>242387.86765000003</v>
      </c>
      <c r="H3" s="30">
        <f>-FV($B$4,1,$B$3,B2,0)</f>
        <v>13759.438400000006</v>
      </c>
      <c r="I3" s="4">
        <f>SUM(RetirementSavings[[#This Row],[Investments]:[HSA Savings]])</f>
        <v>256147.30605000004</v>
      </c>
      <c r="J3" s="38">
        <v>1000000</v>
      </c>
      <c r="L3" s="65" t="s">
        <v>99</v>
      </c>
      <c r="M3" s="65"/>
      <c r="O3" s="65" t="s">
        <v>101</v>
      </c>
      <c r="P3" s="65"/>
    </row>
    <row r="4" spans="1:16" x14ac:dyDescent="0.35">
      <c r="A4" s="7" t="s">
        <v>71</v>
      </c>
      <c r="B4" s="31">
        <v>0.04</v>
      </c>
      <c r="F4" s="3">
        <v>2</v>
      </c>
      <c r="G4" s="30">
        <f t="shared" ref="G4:G12" si="0">-FV($C$12,1,$C$17,G3,0)</f>
        <v>296949.32471200009</v>
      </c>
      <c r="H4" s="30">
        <f>-FV($B$4,1,$B$3,H3,0)</f>
        <v>21309.815936000014</v>
      </c>
      <c r="I4" s="4">
        <f>SUM(RetirementSavings[[#This Row],[Investments]:[HSA Savings]])</f>
        <v>318259.14064800012</v>
      </c>
      <c r="J4" s="38">
        <v>1000000</v>
      </c>
      <c r="L4" s="65"/>
      <c r="M4" s="65"/>
      <c r="O4" s="67"/>
      <c r="P4" s="67"/>
    </row>
    <row r="5" spans="1:16" x14ac:dyDescent="0.35">
      <c r="F5" s="3">
        <v>3</v>
      </c>
      <c r="G5" s="30">
        <f t="shared" si="0"/>
        <v>355875.69833896012</v>
      </c>
      <c r="H5" s="30">
        <f t="shared" ref="H5:H12" si="1">-FV($B$4,1,$B$3,H4,0)</f>
        <v>29162.208573440021</v>
      </c>
      <c r="I5" s="4">
        <f>SUM(RetirementSavings[[#This Row],[Investments]:[HSA Savings]])</f>
        <v>385037.90691240015</v>
      </c>
      <c r="J5" s="38">
        <v>1000000</v>
      </c>
      <c r="L5" s="7"/>
      <c r="M5" s="11">
        <f>I12</f>
        <v>1017390.7568619887</v>
      </c>
      <c r="O5" s="7"/>
      <c r="P5" s="11">
        <f>I12</f>
        <v>1017390.7568619887</v>
      </c>
    </row>
    <row r="6" spans="1:16" x14ac:dyDescent="0.35">
      <c r="A6" s="7" t="s">
        <v>70</v>
      </c>
      <c r="B6" s="7"/>
      <c r="C6" s="7"/>
      <c r="F6" s="3">
        <v>4</v>
      </c>
      <c r="G6" s="30">
        <f t="shared" si="0"/>
        <v>419516.18185607699</v>
      </c>
      <c r="H6" s="30">
        <f t="shared" si="1"/>
        <v>37328.69691637763</v>
      </c>
      <c r="I6" s="4">
        <f>SUM(RetirementSavings[[#This Row],[Investments]:[HSA Savings]])</f>
        <v>456844.87877245463</v>
      </c>
      <c r="J6" s="38">
        <v>1000000</v>
      </c>
      <c r="L6" s="31">
        <v>0.06</v>
      </c>
      <c r="M6" s="8">
        <f t="dataTable" ref="M6:M10" dt2D="0" dtr="0" r1="C12" ca="1"/>
        <v>900844.0991115435</v>
      </c>
      <c r="O6" s="37">
        <v>20000</v>
      </c>
      <c r="P6" s="8">
        <f t="dataTable" ref="P6:P10" dt2D="0" dtr="0" r1="C17"/>
        <v>797623.40907569788</v>
      </c>
    </row>
    <row r="7" spans="1:16" x14ac:dyDescent="0.35">
      <c r="A7" s="7"/>
      <c r="B7" s="7" t="s">
        <v>63</v>
      </c>
      <c r="C7" s="8">
        <f>19000+32362</f>
        <v>51362</v>
      </c>
      <c r="F7" s="3">
        <v>5</v>
      </c>
      <c r="G7" s="30">
        <f t="shared" si="0"/>
        <v>488247.9040545632</v>
      </c>
      <c r="H7" s="30">
        <f t="shared" si="1"/>
        <v>45821.844793032746</v>
      </c>
      <c r="I7" s="4">
        <f>SUM(RetirementSavings[[#This Row],[Investments]:[HSA Savings]])</f>
        <v>534069.748847596</v>
      </c>
      <c r="J7" s="38">
        <v>1000000</v>
      </c>
      <c r="L7" s="31">
        <v>7.0000000000000007E-2</v>
      </c>
      <c r="M7" s="8">
        <v>957027.31840337138</v>
      </c>
      <c r="O7" s="37">
        <v>25000</v>
      </c>
      <c r="P7" s="8">
        <v>870056.22140524699</v>
      </c>
    </row>
    <row r="8" spans="1:16" x14ac:dyDescent="0.35">
      <c r="A8" s="7"/>
      <c r="B8" s="7" t="s">
        <v>50</v>
      </c>
      <c r="C8" s="8">
        <f>182+14855+7838</f>
        <v>22875</v>
      </c>
      <c r="F8" s="3">
        <v>6</v>
      </c>
      <c r="G8" s="30">
        <f t="shared" si="0"/>
        <v>562478.16402892838</v>
      </c>
      <c r="H8" s="30">
        <f t="shared" si="1"/>
        <v>54654.718584754068</v>
      </c>
      <c r="I8" s="4">
        <f>SUM(RetirementSavings[[#This Row],[Investments]:[HSA Savings]])</f>
        <v>617132.88261368242</v>
      </c>
      <c r="J8" s="38">
        <v>1000000</v>
      </c>
      <c r="L8" s="31">
        <v>0.04</v>
      </c>
      <c r="M8" s="8">
        <v>799934.97076564422</v>
      </c>
      <c r="O8" s="37">
        <v>30000</v>
      </c>
      <c r="P8" s="8">
        <v>942489.03373479634</v>
      </c>
    </row>
    <row r="9" spans="1:16" x14ac:dyDescent="0.35">
      <c r="A9" s="7"/>
      <c r="B9" s="7" t="s">
        <v>64</v>
      </c>
      <c r="C9" s="8">
        <v>117631</v>
      </c>
      <c r="F9" s="3">
        <v>7</v>
      </c>
      <c r="G9" s="30">
        <f t="shared" si="0"/>
        <v>642646.8448012427</v>
      </c>
      <c r="H9" s="30">
        <f t="shared" si="1"/>
        <v>63840.90732814424</v>
      </c>
      <c r="I9" s="4">
        <f>SUM(RetirementSavings[[#This Row],[Investments]:[HSA Savings]])</f>
        <v>706487.75212938688</v>
      </c>
      <c r="J9" s="38">
        <v>1000000</v>
      </c>
      <c r="L9" s="31">
        <v>0.09</v>
      </c>
      <c r="M9" s="8">
        <v>1082226.7073249649</v>
      </c>
      <c r="O9" s="37">
        <v>40000</v>
      </c>
      <c r="P9" s="8">
        <v>1087354.6583938948</v>
      </c>
    </row>
    <row r="10" spans="1:16" x14ac:dyDescent="0.35">
      <c r="A10" s="7"/>
      <c r="B10" s="7" t="s">
        <v>51</v>
      </c>
      <c r="C10" s="8">
        <f>SUM(C7:C9)</f>
        <v>191868</v>
      </c>
      <c r="F10" s="3">
        <v>8</v>
      </c>
      <c r="G10" s="30">
        <f t="shared" si="0"/>
        <v>729229.02003534208</v>
      </c>
      <c r="H10" s="30">
        <f t="shared" si="1"/>
        <v>73394.543621270015</v>
      </c>
      <c r="I10" s="4">
        <f>SUM(RetirementSavings[[#This Row],[Investments]:[HSA Savings]])</f>
        <v>802623.56365661207</v>
      </c>
      <c r="J10" s="38">
        <v>1000000</v>
      </c>
      <c r="L10" s="31">
        <v>0.1</v>
      </c>
      <c r="M10" s="8">
        <v>1151845.755572034</v>
      </c>
      <c r="O10" s="37">
        <v>10000</v>
      </c>
      <c r="P10" s="8">
        <v>652757.7844165992</v>
      </c>
    </row>
    <row r="11" spans="1:16" x14ac:dyDescent="0.35">
      <c r="A11" s="7"/>
      <c r="B11" s="7"/>
      <c r="C11" s="7"/>
      <c r="F11" s="3">
        <v>9</v>
      </c>
      <c r="G11" s="30">
        <f t="shared" si="0"/>
        <v>822737.76928816945</v>
      </c>
      <c r="H11" s="30">
        <f t="shared" si="1"/>
        <v>83330.325366120815</v>
      </c>
      <c r="I11" s="4">
        <f>SUM(RetirementSavings[[#This Row],[Investments]:[HSA Savings]])</f>
        <v>906068.09465429024</v>
      </c>
      <c r="J11" s="38">
        <v>1000000</v>
      </c>
      <c r="L11" s="66" t="s">
        <v>100</v>
      </c>
      <c r="M11" s="66"/>
      <c r="O11" s="66" t="s">
        <v>100</v>
      </c>
      <c r="P11" s="66"/>
    </row>
    <row r="12" spans="1:16" x14ac:dyDescent="0.35">
      <c r="A12" s="7"/>
      <c r="B12" s="7" t="s">
        <v>71</v>
      </c>
      <c r="C12" s="31">
        <v>0.08</v>
      </c>
      <c r="F12" s="3">
        <v>10</v>
      </c>
      <c r="G12" s="30">
        <f t="shared" si="0"/>
        <v>923727.2184812231</v>
      </c>
      <c r="H12" s="30">
        <f t="shared" si="1"/>
        <v>93663.538380765647</v>
      </c>
      <c r="I12" s="4">
        <f>SUM(RetirementSavings[[#This Row],[Investments]:[HSA Savings]])</f>
        <v>1017390.7568619887</v>
      </c>
      <c r="J12" s="38">
        <v>1000000</v>
      </c>
    </row>
    <row r="13" spans="1:16" x14ac:dyDescent="0.35">
      <c r="A13" s="7" t="s">
        <v>72</v>
      </c>
      <c r="B13" s="7"/>
      <c r="C13" s="7"/>
    </row>
    <row r="14" spans="1:16" x14ac:dyDescent="0.35">
      <c r="A14" s="7"/>
      <c r="B14" s="7" t="s">
        <v>73</v>
      </c>
      <c r="C14" s="11">
        <f>MIN(19000,Income!D20*26)</f>
        <v>19000</v>
      </c>
    </row>
    <row r="15" spans="1:16" x14ac:dyDescent="0.35">
      <c r="A15" s="7"/>
      <c r="B15" s="7" t="s">
        <v>74</v>
      </c>
      <c r="C15" s="11">
        <f>5%*Income!B1</f>
        <v>4170.4276499999996</v>
      </c>
    </row>
    <row r="16" spans="1:16" x14ac:dyDescent="0.35">
      <c r="A16" s="7"/>
      <c r="B16" s="7" t="s">
        <v>75</v>
      </c>
      <c r="C16" s="11">
        <f>Expenses!C26*12</f>
        <v>12000</v>
      </c>
    </row>
    <row r="17" spans="1:3" x14ac:dyDescent="0.35">
      <c r="A17" s="7"/>
      <c r="B17" s="7" t="s">
        <v>51</v>
      </c>
      <c r="C17" s="11">
        <f>SUM(C14:C16)</f>
        <v>35170.427649999998</v>
      </c>
    </row>
    <row r="20" spans="1:3" x14ac:dyDescent="0.35">
      <c r="A20" s="39" t="s">
        <v>105</v>
      </c>
      <c r="B20" s="40">
        <f>('Retirement Savings'!C17)/(Income!H8*12)</f>
        <v>0.42009111217704281</v>
      </c>
    </row>
  </sheetData>
  <scenarios current="0" show="0">
    <scenario name="Interest Changes" locked="1" count="2" user="Jennifer Brady" comment="Growth Rate Change Effects_x000a_Modified by Jennifer Brady on 3/6/2019">
      <inputCells r="I12" val="1000000"/>
      <inputCells r="C12" val="0.08" numFmtId="9"/>
    </scenario>
  </scenarios>
  <mergeCells count="5">
    <mergeCell ref="F1:I1"/>
    <mergeCell ref="L3:M4"/>
    <mergeCell ref="L11:M11"/>
    <mergeCell ref="O3:P4"/>
    <mergeCell ref="O11:P11"/>
  </mergeCells>
  <conditionalFormatting sqref="F3:H1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{0E16060D-9D8D-4B60-AEF2-5A02E06D57F9}</x14:id>
        </ext>
      </extLst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16060D-9D8D-4B60-AEF2-5A02E06D57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F3:H12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03C3-91C6-4F3D-BCAF-E3996B2DF865}">
  <dimension ref="A1:M84"/>
  <sheetViews>
    <sheetView showZeros="0" tabSelected="1" workbookViewId="0">
      <selection activeCell="G6" sqref="G6"/>
    </sheetView>
  </sheetViews>
  <sheetFormatPr defaultColWidth="8.90625" defaultRowHeight="15.5" x14ac:dyDescent="0.35"/>
  <cols>
    <col min="1" max="1" width="22.1796875" style="3" customWidth="1"/>
    <col min="2" max="2" width="12.54296875" style="3" bestFit="1" customWidth="1"/>
    <col min="3" max="3" width="22" style="3" customWidth="1"/>
    <col min="4" max="4" width="18.90625" style="3" bestFit="1" customWidth="1"/>
    <col min="5" max="5" width="18.81640625" style="3" customWidth="1"/>
    <col min="6" max="6" width="20.453125" style="3" bestFit="1" customWidth="1"/>
    <col min="7" max="7" width="14.81640625" style="3" customWidth="1"/>
    <col min="8" max="8" width="16.08984375" style="3" bestFit="1" customWidth="1"/>
    <col min="9" max="9" width="10.81640625" style="3" bestFit="1" customWidth="1"/>
    <col min="10" max="10" width="17.81640625" style="3" bestFit="1" customWidth="1"/>
    <col min="11" max="11" width="19.1796875" style="3" bestFit="1" customWidth="1"/>
    <col min="12" max="12" width="18.90625" style="3" bestFit="1" customWidth="1"/>
    <col min="13" max="13" width="12.36328125" style="3" bestFit="1" customWidth="1"/>
    <col min="14" max="14" width="20.1796875" style="3" bestFit="1" customWidth="1"/>
    <col min="15" max="16384" width="8.90625" style="3"/>
  </cols>
  <sheetData>
    <row r="1" spans="1:13" x14ac:dyDescent="0.35">
      <c r="A1" s="3" t="s">
        <v>86</v>
      </c>
      <c r="B1" s="3" t="s">
        <v>2</v>
      </c>
      <c r="C1" s="3" t="s">
        <v>85</v>
      </c>
      <c r="D1" s="3" t="s">
        <v>80</v>
      </c>
      <c r="E1" s="3" t="s">
        <v>81</v>
      </c>
      <c r="F1" s="3" t="s">
        <v>82</v>
      </c>
      <c r="G1" s="3" t="s">
        <v>83</v>
      </c>
    </row>
    <row r="2" spans="1:13" x14ac:dyDescent="0.35">
      <c r="A2" s="3" t="s">
        <v>65</v>
      </c>
      <c r="B2" s="4">
        <v>10000</v>
      </c>
      <c r="C2" s="3">
        <v>5</v>
      </c>
      <c r="D2" s="42">
        <v>2.75E-2</v>
      </c>
      <c r="E2" s="3">
        <v>12</v>
      </c>
      <c r="F2" s="3">
        <f>E2*C2</f>
        <v>60</v>
      </c>
      <c r="G2" s="43">
        <f>D2/E2</f>
        <v>2.2916666666666667E-3</v>
      </c>
    </row>
    <row r="3" spans="1:13" x14ac:dyDescent="0.35">
      <c r="A3" s="3" t="s">
        <v>84</v>
      </c>
      <c r="B3" s="4">
        <v>25000</v>
      </c>
      <c r="C3" s="3">
        <v>5</v>
      </c>
      <c r="D3" s="42">
        <v>0.18</v>
      </c>
      <c r="E3" s="3">
        <v>12</v>
      </c>
      <c r="F3" s="3">
        <f>E3*C3</f>
        <v>60</v>
      </c>
      <c r="G3" s="43">
        <f>D3/E3</f>
        <v>1.4999999999999999E-2</v>
      </c>
    </row>
    <row r="4" spans="1:13" x14ac:dyDescent="0.35">
      <c r="A4" s="3" t="s">
        <v>66</v>
      </c>
      <c r="B4" s="4">
        <v>10000</v>
      </c>
      <c r="C4" s="3">
        <v>5</v>
      </c>
      <c r="D4" s="42">
        <v>8.9899999999999994E-2</v>
      </c>
      <c r="E4" s="3">
        <v>12</v>
      </c>
      <c r="F4" s="3">
        <f>E4*C4</f>
        <v>60</v>
      </c>
      <c r="G4" s="43">
        <f>D4/E4</f>
        <v>7.4916666666666664E-3</v>
      </c>
    </row>
    <row r="5" spans="1:13" x14ac:dyDescent="0.35">
      <c r="A5" s="3" t="s">
        <v>37</v>
      </c>
      <c r="B5" s="4">
        <v>9528</v>
      </c>
      <c r="C5" s="3">
        <v>7.25</v>
      </c>
      <c r="D5" s="42">
        <v>2.35E-2</v>
      </c>
      <c r="E5" s="3">
        <v>12</v>
      </c>
      <c r="F5" s="3">
        <f>E5*C5</f>
        <v>87</v>
      </c>
      <c r="G5" s="43">
        <f>D5/E5</f>
        <v>1.9583333333333332E-3</v>
      </c>
    </row>
    <row r="6" spans="1:13" x14ac:dyDescent="0.35">
      <c r="C6" s="44"/>
    </row>
    <row r="7" spans="1:13" x14ac:dyDescent="0.35">
      <c r="C7" s="44"/>
    </row>
    <row r="9" spans="1:13" ht="18" x14ac:dyDescent="0.4">
      <c r="A9" s="69" t="s">
        <v>84</v>
      </c>
      <c r="B9" s="69"/>
      <c r="C9" s="69"/>
      <c r="D9" s="69"/>
      <c r="E9" s="69"/>
      <c r="F9" s="69"/>
      <c r="H9" s="68" t="s">
        <v>65</v>
      </c>
      <c r="I9" s="68"/>
      <c r="J9" s="68"/>
      <c r="K9" s="68"/>
      <c r="L9" s="68"/>
      <c r="M9" s="68"/>
    </row>
    <row r="10" spans="1:13" ht="18" x14ac:dyDescent="0.4">
      <c r="A10" s="33" t="s">
        <v>87</v>
      </c>
      <c r="B10" s="33" t="s">
        <v>88</v>
      </c>
      <c r="C10" s="33" t="s">
        <v>89</v>
      </c>
      <c r="D10" s="33" t="s">
        <v>92</v>
      </c>
      <c r="E10" s="33" t="s">
        <v>90</v>
      </c>
      <c r="F10" s="33" t="s">
        <v>91</v>
      </c>
      <c r="H10" s="33" t="s">
        <v>87</v>
      </c>
      <c r="I10" s="33" t="s">
        <v>88</v>
      </c>
      <c r="J10" s="33" t="s">
        <v>89</v>
      </c>
      <c r="K10" s="33" t="s">
        <v>92</v>
      </c>
      <c r="L10" s="33" t="s">
        <v>90</v>
      </c>
      <c r="M10" s="33" t="s">
        <v>91</v>
      </c>
    </row>
    <row r="11" spans="1:13" x14ac:dyDescent="0.35">
      <c r="A11" s="3">
        <v>0</v>
      </c>
      <c r="B11" s="34"/>
      <c r="C11" s="34"/>
      <c r="D11" s="34"/>
      <c r="E11" s="34">
        <f>B3</f>
        <v>25000</v>
      </c>
      <c r="F11" s="34"/>
      <c r="H11" s="3">
        <v>0</v>
      </c>
      <c r="I11" s="34"/>
      <c r="J11" s="34"/>
      <c r="K11" s="34"/>
      <c r="L11" s="34">
        <f>B2</f>
        <v>10000</v>
      </c>
      <c r="M11" s="34"/>
    </row>
    <row r="12" spans="1:13" x14ac:dyDescent="0.35">
      <c r="A12" s="3">
        <v>1</v>
      </c>
      <c r="B12" s="35">
        <f t="shared" ref="B12:B70" si="0">IF(E11&lt;-PMT(G$3,F$3,B$3), E11*(1+G$3), -PMT(G$3,F$3,B$3))</f>
        <v>634.83568567772704</v>
      </c>
      <c r="C12" s="34">
        <f>E11*G$3</f>
        <v>375</v>
      </c>
      <c r="D12" s="34">
        <f>B12-C12</f>
        <v>259.83568567772704</v>
      </c>
      <c r="E12" s="35">
        <f t="shared" ref="E12:E13" si="1">ROUNDDOWN(E11-D12-F12,2)</f>
        <v>24740.16</v>
      </c>
      <c r="F12" s="34"/>
      <c r="H12" s="3">
        <v>1</v>
      </c>
      <c r="I12" s="35">
        <f t="shared" ref="I12:I43" si="2">IF(L11&lt;270, L11*(1+G$2), 270)</f>
        <v>270</v>
      </c>
      <c r="J12" s="34">
        <f t="shared" ref="J12:J43" si="3">G$2*L11</f>
        <v>22.916666666666668</v>
      </c>
      <c r="K12" s="34">
        <f>I12-J12</f>
        <v>247.08333333333334</v>
      </c>
      <c r="L12" s="35">
        <f t="shared" ref="L12:L75" si="4">ROUNDDOWN(L11-K12-M12,2)</f>
        <v>9672.91</v>
      </c>
      <c r="M12" s="34">
        <v>80</v>
      </c>
    </row>
    <row r="13" spans="1:13" x14ac:dyDescent="0.35">
      <c r="A13" s="3">
        <v>2</v>
      </c>
      <c r="B13" s="35">
        <f t="shared" si="0"/>
        <v>634.83568567772704</v>
      </c>
      <c r="C13" s="34">
        <f>E12*G$3</f>
        <v>371.10239999999999</v>
      </c>
      <c r="D13" s="34">
        <f t="shared" ref="D13" si="5">B13-C13</f>
        <v>263.73328567772705</v>
      </c>
      <c r="E13" s="35">
        <f t="shared" si="1"/>
        <v>24476.42</v>
      </c>
      <c r="F13" s="34"/>
      <c r="H13" s="3">
        <v>2</v>
      </c>
      <c r="I13" s="35">
        <f t="shared" si="2"/>
        <v>270</v>
      </c>
      <c r="J13" s="34">
        <f t="shared" si="3"/>
        <v>22.167085416666666</v>
      </c>
      <c r="K13" s="34">
        <f t="shared" ref="K13:K40" si="6">I13-J13</f>
        <v>247.83291458333332</v>
      </c>
      <c r="L13" s="35">
        <f t="shared" si="4"/>
        <v>9345.07</v>
      </c>
      <c r="M13" s="34">
        <v>80</v>
      </c>
    </row>
    <row r="14" spans="1:13" x14ac:dyDescent="0.35">
      <c r="A14" s="3">
        <v>3</v>
      </c>
      <c r="B14" s="35">
        <f t="shared" si="0"/>
        <v>634.83568567772704</v>
      </c>
      <c r="C14" s="34">
        <f t="shared" ref="C14:C77" si="7">E13*G$3</f>
        <v>367.14629999999994</v>
      </c>
      <c r="D14" s="34">
        <f t="shared" ref="D14:D77" si="8">B14-C14</f>
        <v>267.6893856777271</v>
      </c>
      <c r="E14" s="35">
        <f t="shared" ref="E14:E77" si="9">ROUNDDOWN(E13-D14-F14,2)</f>
        <v>24208.73</v>
      </c>
      <c r="F14" s="34"/>
      <c r="H14" s="3">
        <v>3</v>
      </c>
      <c r="I14" s="35">
        <f t="shared" si="2"/>
        <v>270</v>
      </c>
      <c r="J14" s="34">
        <f t="shared" si="3"/>
        <v>21.415785416666665</v>
      </c>
      <c r="K14" s="34">
        <f t="shared" si="6"/>
        <v>248.58421458333333</v>
      </c>
      <c r="L14" s="35">
        <f t="shared" si="4"/>
        <v>9016.48</v>
      </c>
      <c r="M14" s="34">
        <v>80</v>
      </c>
    </row>
    <row r="15" spans="1:13" x14ac:dyDescent="0.35">
      <c r="A15" s="3">
        <v>4</v>
      </c>
      <c r="B15" s="35">
        <f t="shared" si="0"/>
        <v>634.83568567772704</v>
      </c>
      <c r="C15" s="34">
        <f t="shared" si="7"/>
        <v>363.13094999999998</v>
      </c>
      <c r="D15" s="34">
        <f t="shared" si="8"/>
        <v>271.70473567772706</v>
      </c>
      <c r="E15" s="35">
        <f t="shared" si="9"/>
        <v>23937.02</v>
      </c>
      <c r="F15" s="34"/>
      <c r="H15" s="3">
        <v>4</v>
      </c>
      <c r="I15" s="35">
        <f t="shared" si="2"/>
        <v>270</v>
      </c>
      <c r="J15" s="34">
        <f t="shared" si="3"/>
        <v>20.662766666666666</v>
      </c>
      <c r="K15" s="34">
        <f t="shared" si="6"/>
        <v>249.33723333333333</v>
      </c>
      <c r="L15" s="35">
        <f t="shared" si="4"/>
        <v>8687.14</v>
      </c>
      <c r="M15" s="34">
        <v>80</v>
      </c>
    </row>
    <row r="16" spans="1:13" x14ac:dyDescent="0.35">
      <c r="A16" s="3">
        <v>5</v>
      </c>
      <c r="B16" s="35">
        <f t="shared" si="0"/>
        <v>634.83568567772704</v>
      </c>
      <c r="C16" s="34">
        <f t="shared" si="7"/>
        <v>359.05529999999999</v>
      </c>
      <c r="D16" s="34">
        <f t="shared" si="8"/>
        <v>275.78038567772705</v>
      </c>
      <c r="E16" s="35">
        <f t="shared" si="9"/>
        <v>23661.23</v>
      </c>
      <c r="F16" s="34"/>
      <c r="H16" s="3">
        <v>5</v>
      </c>
      <c r="I16" s="35">
        <f t="shared" si="2"/>
        <v>270</v>
      </c>
      <c r="J16" s="34">
        <f t="shared" si="3"/>
        <v>19.908029166666665</v>
      </c>
      <c r="K16" s="34">
        <f t="shared" si="6"/>
        <v>250.09197083333333</v>
      </c>
      <c r="L16" s="35">
        <f t="shared" si="4"/>
        <v>8357.0400000000009</v>
      </c>
      <c r="M16" s="34">
        <v>80</v>
      </c>
    </row>
    <row r="17" spans="1:13" x14ac:dyDescent="0.35">
      <c r="A17" s="3">
        <v>6</v>
      </c>
      <c r="B17" s="35">
        <f t="shared" si="0"/>
        <v>634.83568567772704</v>
      </c>
      <c r="C17" s="34">
        <f t="shared" si="7"/>
        <v>354.91845000000001</v>
      </c>
      <c r="D17" s="34">
        <f t="shared" si="8"/>
        <v>279.91723567772704</v>
      </c>
      <c r="E17" s="35">
        <f t="shared" si="9"/>
        <v>23381.31</v>
      </c>
      <c r="F17" s="34"/>
      <c r="H17" s="3">
        <v>6</v>
      </c>
      <c r="I17" s="35">
        <f t="shared" si="2"/>
        <v>270</v>
      </c>
      <c r="J17" s="34">
        <f t="shared" si="3"/>
        <v>19.151550000000004</v>
      </c>
      <c r="K17" s="34">
        <f t="shared" si="6"/>
        <v>250.84844999999999</v>
      </c>
      <c r="L17" s="35">
        <f t="shared" si="4"/>
        <v>8026.19</v>
      </c>
      <c r="M17" s="34">
        <v>80</v>
      </c>
    </row>
    <row r="18" spans="1:13" x14ac:dyDescent="0.35">
      <c r="A18" s="3">
        <v>7</v>
      </c>
      <c r="B18" s="35">
        <f t="shared" si="0"/>
        <v>634.83568567772704</v>
      </c>
      <c r="C18" s="34">
        <f t="shared" si="7"/>
        <v>350.71965</v>
      </c>
      <c r="D18" s="34">
        <f t="shared" si="8"/>
        <v>284.11603567772704</v>
      </c>
      <c r="E18" s="35">
        <f t="shared" si="9"/>
        <v>23097.19</v>
      </c>
      <c r="F18" s="34"/>
      <c r="H18" s="3">
        <v>7</v>
      </c>
      <c r="I18" s="35">
        <f t="shared" si="2"/>
        <v>270</v>
      </c>
      <c r="J18" s="34">
        <f t="shared" si="3"/>
        <v>18.393352083333333</v>
      </c>
      <c r="K18" s="34">
        <f t="shared" si="6"/>
        <v>251.60664791666667</v>
      </c>
      <c r="L18" s="35">
        <f t="shared" si="4"/>
        <v>7694.58</v>
      </c>
      <c r="M18" s="34">
        <v>80</v>
      </c>
    </row>
    <row r="19" spans="1:13" x14ac:dyDescent="0.35">
      <c r="A19" s="3">
        <v>8</v>
      </c>
      <c r="B19" s="35">
        <f t="shared" si="0"/>
        <v>634.83568567772704</v>
      </c>
      <c r="C19" s="34">
        <f t="shared" si="7"/>
        <v>346.45784999999995</v>
      </c>
      <c r="D19" s="34">
        <f t="shared" si="8"/>
        <v>288.37783567772709</v>
      </c>
      <c r="E19" s="35">
        <f t="shared" si="9"/>
        <v>22808.81</v>
      </c>
      <c r="F19" s="34"/>
      <c r="H19" s="3">
        <v>8</v>
      </c>
      <c r="I19" s="35">
        <f t="shared" si="2"/>
        <v>270</v>
      </c>
      <c r="J19" s="34">
        <f t="shared" si="3"/>
        <v>17.633412499999999</v>
      </c>
      <c r="K19" s="34">
        <f t="shared" si="6"/>
        <v>252.36658750000001</v>
      </c>
      <c r="L19" s="35">
        <f t="shared" si="4"/>
        <v>7362.21</v>
      </c>
      <c r="M19" s="34">
        <v>80</v>
      </c>
    </row>
    <row r="20" spans="1:13" x14ac:dyDescent="0.35">
      <c r="A20" s="3">
        <v>9</v>
      </c>
      <c r="B20" s="35">
        <f t="shared" si="0"/>
        <v>634.83568567772704</v>
      </c>
      <c r="C20" s="34">
        <f t="shared" si="7"/>
        <v>342.13215000000002</v>
      </c>
      <c r="D20" s="34">
        <f t="shared" si="8"/>
        <v>292.70353567772702</v>
      </c>
      <c r="E20" s="35">
        <f t="shared" si="9"/>
        <v>22516.1</v>
      </c>
      <c r="F20" s="34"/>
      <c r="H20" s="3">
        <v>9</v>
      </c>
      <c r="I20" s="35">
        <f t="shared" si="2"/>
        <v>270</v>
      </c>
      <c r="J20" s="34">
        <f t="shared" si="3"/>
        <v>16.87173125</v>
      </c>
      <c r="K20" s="34">
        <f t="shared" si="6"/>
        <v>253.12826874999999</v>
      </c>
      <c r="L20" s="35">
        <f t="shared" si="4"/>
        <v>7029.08</v>
      </c>
      <c r="M20" s="34">
        <v>80</v>
      </c>
    </row>
    <row r="21" spans="1:13" x14ac:dyDescent="0.35">
      <c r="A21" s="3">
        <v>10</v>
      </c>
      <c r="B21" s="35">
        <f t="shared" si="0"/>
        <v>634.83568567772704</v>
      </c>
      <c r="C21" s="34">
        <f t="shared" si="7"/>
        <v>337.74149999999997</v>
      </c>
      <c r="D21" s="34">
        <f t="shared" si="8"/>
        <v>297.09418567772707</v>
      </c>
      <c r="E21" s="35">
        <f t="shared" si="9"/>
        <v>22219</v>
      </c>
      <c r="F21" s="34"/>
      <c r="H21" s="3">
        <v>10</v>
      </c>
      <c r="I21" s="35">
        <f t="shared" si="2"/>
        <v>270</v>
      </c>
      <c r="J21" s="34">
        <f t="shared" si="3"/>
        <v>16.108308333333333</v>
      </c>
      <c r="K21" s="34">
        <f t="shared" si="6"/>
        <v>253.89169166666667</v>
      </c>
      <c r="L21" s="35">
        <f t="shared" si="4"/>
        <v>6695.18</v>
      </c>
      <c r="M21" s="34">
        <v>80</v>
      </c>
    </row>
    <row r="22" spans="1:13" x14ac:dyDescent="0.35">
      <c r="A22" s="3">
        <v>11</v>
      </c>
      <c r="B22" s="35">
        <f t="shared" si="0"/>
        <v>634.83568567772704</v>
      </c>
      <c r="C22" s="34">
        <f t="shared" si="7"/>
        <v>333.28499999999997</v>
      </c>
      <c r="D22" s="34">
        <f t="shared" si="8"/>
        <v>301.55068567772707</v>
      </c>
      <c r="E22" s="35">
        <f t="shared" si="9"/>
        <v>21917.439999999999</v>
      </c>
      <c r="F22" s="34"/>
      <c r="H22" s="3">
        <v>11</v>
      </c>
      <c r="I22" s="35">
        <f t="shared" si="2"/>
        <v>270</v>
      </c>
      <c r="J22" s="34">
        <f t="shared" si="3"/>
        <v>15.343120833333334</v>
      </c>
      <c r="K22" s="34">
        <f t="shared" si="6"/>
        <v>254.65687916666667</v>
      </c>
      <c r="L22" s="35">
        <f t="shared" si="4"/>
        <v>6360.52</v>
      </c>
      <c r="M22" s="34">
        <v>80</v>
      </c>
    </row>
    <row r="23" spans="1:13" x14ac:dyDescent="0.35">
      <c r="A23" s="3">
        <v>12</v>
      </c>
      <c r="B23" s="35">
        <f t="shared" si="0"/>
        <v>634.83568567772704</v>
      </c>
      <c r="C23" s="34">
        <f t="shared" si="7"/>
        <v>328.76159999999999</v>
      </c>
      <c r="D23" s="34">
        <f t="shared" si="8"/>
        <v>306.07408567772706</v>
      </c>
      <c r="E23" s="35">
        <f t="shared" si="9"/>
        <v>21611.360000000001</v>
      </c>
      <c r="F23" s="34"/>
      <c r="H23" s="3">
        <v>12</v>
      </c>
      <c r="I23" s="35">
        <f t="shared" si="2"/>
        <v>270</v>
      </c>
      <c r="J23" s="34">
        <f t="shared" si="3"/>
        <v>14.576191666666668</v>
      </c>
      <c r="K23" s="34">
        <f t="shared" si="6"/>
        <v>255.42380833333334</v>
      </c>
      <c r="L23" s="35">
        <f t="shared" si="4"/>
        <v>6025.09</v>
      </c>
      <c r="M23" s="34">
        <v>80</v>
      </c>
    </row>
    <row r="24" spans="1:13" x14ac:dyDescent="0.35">
      <c r="A24" s="3">
        <v>13</v>
      </c>
      <c r="B24" s="35">
        <f t="shared" si="0"/>
        <v>634.83568567772704</v>
      </c>
      <c r="C24" s="34">
        <f t="shared" si="7"/>
        <v>324.17039999999997</v>
      </c>
      <c r="D24" s="34">
        <f t="shared" si="8"/>
        <v>310.66528567772707</v>
      </c>
      <c r="E24" s="35">
        <f t="shared" si="9"/>
        <v>21300.69</v>
      </c>
      <c r="F24" s="34"/>
      <c r="H24" s="3">
        <v>13</v>
      </c>
      <c r="I24" s="35">
        <f t="shared" si="2"/>
        <v>270</v>
      </c>
      <c r="J24" s="34">
        <f t="shared" si="3"/>
        <v>13.807497916666668</v>
      </c>
      <c r="K24" s="34">
        <f t="shared" si="6"/>
        <v>256.19250208333335</v>
      </c>
      <c r="L24" s="35">
        <f t="shared" si="4"/>
        <v>5688.89</v>
      </c>
      <c r="M24" s="34">
        <v>80</v>
      </c>
    </row>
    <row r="25" spans="1:13" x14ac:dyDescent="0.35">
      <c r="A25" s="3">
        <v>14</v>
      </c>
      <c r="B25" s="35">
        <f t="shared" si="0"/>
        <v>634.83568567772704</v>
      </c>
      <c r="C25" s="34">
        <f t="shared" si="7"/>
        <v>319.51034999999996</v>
      </c>
      <c r="D25" s="34">
        <f t="shared" si="8"/>
        <v>315.32533567772708</v>
      </c>
      <c r="E25" s="35">
        <f t="shared" si="9"/>
        <v>20985.360000000001</v>
      </c>
      <c r="F25" s="34"/>
      <c r="H25" s="3">
        <v>14</v>
      </c>
      <c r="I25" s="35">
        <f t="shared" si="2"/>
        <v>270</v>
      </c>
      <c r="J25" s="34">
        <f t="shared" si="3"/>
        <v>13.037039583333334</v>
      </c>
      <c r="K25" s="34">
        <f t="shared" si="6"/>
        <v>256.96296041666665</v>
      </c>
      <c r="L25" s="35">
        <f t="shared" si="4"/>
        <v>5351.92</v>
      </c>
      <c r="M25" s="34">
        <v>80</v>
      </c>
    </row>
    <row r="26" spans="1:13" x14ac:dyDescent="0.35">
      <c r="A26" s="3">
        <v>15</v>
      </c>
      <c r="B26" s="35">
        <f t="shared" si="0"/>
        <v>634.83568567772704</v>
      </c>
      <c r="C26" s="34">
        <f t="shared" si="7"/>
        <v>314.78039999999999</v>
      </c>
      <c r="D26" s="34">
        <f t="shared" si="8"/>
        <v>320.05528567772706</v>
      </c>
      <c r="E26" s="35">
        <f t="shared" si="9"/>
        <v>20665.3</v>
      </c>
      <c r="F26" s="34"/>
      <c r="H26" s="3">
        <v>15</v>
      </c>
      <c r="I26" s="35">
        <f t="shared" si="2"/>
        <v>270</v>
      </c>
      <c r="J26" s="34">
        <f t="shared" si="3"/>
        <v>12.264816666666666</v>
      </c>
      <c r="K26" s="34">
        <f t="shared" si="6"/>
        <v>257.73518333333334</v>
      </c>
      <c r="L26" s="35">
        <f t="shared" si="4"/>
        <v>5014.18</v>
      </c>
      <c r="M26" s="34">
        <v>80</v>
      </c>
    </row>
    <row r="27" spans="1:13" x14ac:dyDescent="0.35">
      <c r="A27" s="3">
        <v>16</v>
      </c>
      <c r="B27" s="35">
        <f t="shared" si="0"/>
        <v>634.83568567772704</v>
      </c>
      <c r="C27" s="34">
        <f t="shared" si="7"/>
        <v>309.97949999999997</v>
      </c>
      <c r="D27" s="34">
        <f t="shared" si="8"/>
        <v>324.85618567772707</v>
      </c>
      <c r="E27" s="35">
        <f t="shared" si="9"/>
        <v>20340.439999999999</v>
      </c>
      <c r="F27" s="34"/>
      <c r="H27" s="3">
        <v>16</v>
      </c>
      <c r="I27" s="35">
        <f t="shared" si="2"/>
        <v>270</v>
      </c>
      <c r="J27" s="34">
        <f t="shared" si="3"/>
        <v>11.490829166666668</v>
      </c>
      <c r="K27" s="34">
        <f t="shared" si="6"/>
        <v>258.50917083333331</v>
      </c>
      <c r="L27" s="35">
        <f t="shared" si="4"/>
        <v>4675.67</v>
      </c>
      <c r="M27" s="34">
        <v>80</v>
      </c>
    </row>
    <row r="28" spans="1:13" x14ac:dyDescent="0.35">
      <c r="A28" s="3">
        <v>17</v>
      </c>
      <c r="B28" s="35">
        <f t="shared" si="0"/>
        <v>634.83568567772704</v>
      </c>
      <c r="C28" s="34">
        <f t="shared" si="7"/>
        <v>305.10659999999996</v>
      </c>
      <c r="D28" s="34">
        <f t="shared" si="8"/>
        <v>329.72908567772708</v>
      </c>
      <c r="E28" s="35">
        <f t="shared" si="9"/>
        <v>20010.71</v>
      </c>
      <c r="F28" s="34"/>
      <c r="H28" s="3">
        <v>17</v>
      </c>
      <c r="I28" s="35">
        <f t="shared" si="2"/>
        <v>270</v>
      </c>
      <c r="J28" s="34">
        <f t="shared" si="3"/>
        <v>10.715077083333334</v>
      </c>
      <c r="K28" s="34">
        <f t="shared" si="6"/>
        <v>259.28492291666669</v>
      </c>
      <c r="L28" s="35">
        <f t="shared" si="4"/>
        <v>4336.38</v>
      </c>
      <c r="M28" s="34">
        <v>80</v>
      </c>
    </row>
    <row r="29" spans="1:13" x14ac:dyDescent="0.35">
      <c r="A29" s="3">
        <v>18</v>
      </c>
      <c r="B29" s="35">
        <f t="shared" si="0"/>
        <v>634.83568567772704</v>
      </c>
      <c r="C29" s="34">
        <f t="shared" si="7"/>
        <v>300.16064999999998</v>
      </c>
      <c r="D29" s="34">
        <f t="shared" si="8"/>
        <v>334.67503567772707</v>
      </c>
      <c r="E29" s="35">
        <f t="shared" si="9"/>
        <v>19676.03</v>
      </c>
      <c r="F29" s="34"/>
      <c r="H29" s="3">
        <v>18</v>
      </c>
      <c r="I29" s="35">
        <f t="shared" si="2"/>
        <v>270</v>
      </c>
      <c r="J29" s="34">
        <f t="shared" si="3"/>
        <v>9.9375374999999995</v>
      </c>
      <c r="K29" s="34">
        <f t="shared" si="6"/>
        <v>260.06246249999998</v>
      </c>
      <c r="L29" s="35">
        <f t="shared" si="4"/>
        <v>3996.31</v>
      </c>
      <c r="M29" s="34">
        <v>80</v>
      </c>
    </row>
    <row r="30" spans="1:13" x14ac:dyDescent="0.35">
      <c r="A30" s="3">
        <v>19</v>
      </c>
      <c r="B30" s="35">
        <f t="shared" si="0"/>
        <v>634.83568567772704</v>
      </c>
      <c r="C30" s="34">
        <f t="shared" si="7"/>
        <v>295.14044999999999</v>
      </c>
      <c r="D30" s="34">
        <f t="shared" si="8"/>
        <v>339.69523567772706</v>
      </c>
      <c r="E30" s="35">
        <f t="shared" si="9"/>
        <v>19336.330000000002</v>
      </c>
      <c r="F30" s="34"/>
      <c r="H30" s="3">
        <v>19</v>
      </c>
      <c r="I30" s="35">
        <f t="shared" si="2"/>
        <v>270</v>
      </c>
      <c r="J30" s="34">
        <f t="shared" si="3"/>
        <v>9.158210416666666</v>
      </c>
      <c r="K30" s="34">
        <f t="shared" si="6"/>
        <v>260.84178958333331</v>
      </c>
      <c r="L30" s="35">
        <f t="shared" si="4"/>
        <v>3655.46</v>
      </c>
      <c r="M30" s="34">
        <v>80</v>
      </c>
    </row>
    <row r="31" spans="1:13" x14ac:dyDescent="0.35">
      <c r="A31" s="3">
        <v>20</v>
      </c>
      <c r="B31" s="35">
        <f t="shared" si="0"/>
        <v>634.83568567772704</v>
      </c>
      <c r="C31" s="34">
        <f t="shared" si="7"/>
        <v>290.04495000000003</v>
      </c>
      <c r="D31" s="34">
        <f t="shared" si="8"/>
        <v>344.79073567772701</v>
      </c>
      <c r="E31" s="35">
        <f t="shared" si="9"/>
        <v>18991.53</v>
      </c>
      <c r="F31" s="34"/>
      <c r="H31" s="3">
        <v>20</v>
      </c>
      <c r="I31" s="35">
        <f t="shared" si="2"/>
        <v>270</v>
      </c>
      <c r="J31" s="34">
        <f t="shared" si="3"/>
        <v>8.3770958333333336</v>
      </c>
      <c r="K31" s="34">
        <f t="shared" si="6"/>
        <v>261.62290416666667</v>
      </c>
      <c r="L31" s="35">
        <f t="shared" si="4"/>
        <v>3313.83</v>
      </c>
      <c r="M31" s="34">
        <v>80</v>
      </c>
    </row>
    <row r="32" spans="1:13" x14ac:dyDescent="0.35">
      <c r="A32" s="3">
        <v>21</v>
      </c>
      <c r="B32" s="35">
        <f t="shared" si="0"/>
        <v>634.83568567772704</v>
      </c>
      <c r="C32" s="34">
        <f t="shared" si="7"/>
        <v>284.87294999999995</v>
      </c>
      <c r="D32" s="34">
        <f t="shared" si="8"/>
        <v>349.9627356777271</v>
      </c>
      <c r="E32" s="35">
        <f t="shared" si="9"/>
        <v>18641.560000000001</v>
      </c>
      <c r="F32" s="34"/>
      <c r="H32" s="3">
        <v>21</v>
      </c>
      <c r="I32" s="35">
        <f t="shared" si="2"/>
        <v>270</v>
      </c>
      <c r="J32" s="34">
        <f t="shared" si="3"/>
        <v>7.5941937499999996</v>
      </c>
      <c r="K32" s="34">
        <f t="shared" si="6"/>
        <v>262.40580625000001</v>
      </c>
      <c r="L32" s="35">
        <f t="shared" si="4"/>
        <v>2971.42</v>
      </c>
      <c r="M32" s="34">
        <v>80</v>
      </c>
    </row>
    <row r="33" spans="1:13" x14ac:dyDescent="0.35">
      <c r="A33" s="3">
        <v>22</v>
      </c>
      <c r="B33" s="35">
        <f t="shared" si="0"/>
        <v>634.83568567772704</v>
      </c>
      <c r="C33" s="34">
        <f t="shared" si="7"/>
        <v>279.6234</v>
      </c>
      <c r="D33" s="34">
        <f t="shared" si="8"/>
        <v>355.21228567772704</v>
      </c>
      <c r="E33" s="35">
        <f t="shared" si="9"/>
        <v>18286.34</v>
      </c>
      <c r="F33" s="34"/>
      <c r="H33" s="3">
        <v>22</v>
      </c>
      <c r="I33" s="35">
        <f t="shared" si="2"/>
        <v>270</v>
      </c>
      <c r="J33" s="34">
        <f t="shared" si="3"/>
        <v>6.8095041666666667</v>
      </c>
      <c r="K33" s="34">
        <f t="shared" si="6"/>
        <v>263.19049583333333</v>
      </c>
      <c r="L33" s="35">
        <f t="shared" si="4"/>
        <v>2628.22</v>
      </c>
      <c r="M33" s="34">
        <v>80</v>
      </c>
    </row>
    <row r="34" spans="1:13" x14ac:dyDescent="0.35">
      <c r="A34" s="3">
        <v>23</v>
      </c>
      <c r="B34" s="35">
        <f t="shared" si="0"/>
        <v>634.83568567772704</v>
      </c>
      <c r="C34" s="34">
        <f t="shared" si="7"/>
        <v>274.29509999999999</v>
      </c>
      <c r="D34" s="34">
        <f t="shared" si="8"/>
        <v>360.54058567772705</v>
      </c>
      <c r="E34" s="35">
        <f t="shared" si="9"/>
        <v>17925.79</v>
      </c>
      <c r="F34" s="34"/>
      <c r="H34" s="3">
        <v>23</v>
      </c>
      <c r="I34" s="35">
        <f t="shared" si="2"/>
        <v>270</v>
      </c>
      <c r="J34" s="34">
        <f t="shared" si="3"/>
        <v>6.0230041666666665</v>
      </c>
      <c r="K34" s="34">
        <f t="shared" si="6"/>
        <v>263.97699583333332</v>
      </c>
      <c r="L34" s="35">
        <f t="shared" si="4"/>
        <v>2284.2399999999998</v>
      </c>
      <c r="M34" s="34">
        <v>80</v>
      </c>
    </row>
    <row r="35" spans="1:13" x14ac:dyDescent="0.35">
      <c r="A35" s="3">
        <v>24</v>
      </c>
      <c r="B35" s="35">
        <f t="shared" si="0"/>
        <v>634.83568567772704</v>
      </c>
      <c r="C35" s="34">
        <f t="shared" si="7"/>
        <v>268.88684999999998</v>
      </c>
      <c r="D35" s="34">
        <f t="shared" si="8"/>
        <v>365.94883567772706</v>
      </c>
      <c r="E35" s="35">
        <f t="shared" si="9"/>
        <v>17559.84</v>
      </c>
      <c r="F35" s="34"/>
      <c r="H35" s="3">
        <v>24</v>
      </c>
      <c r="I35" s="35">
        <f t="shared" si="2"/>
        <v>270</v>
      </c>
      <c r="J35" s="34">
        <f t="shared" si="3"/>
        <v>5.2347166666666665</v>
      </c>
      <c r="K35" s="34">
        <f t="shared" si="6"/>
        <v>264.76528333333334</v>
      </c>
      <c r="L35" s="35">
        <f t="shared" si="4"/>
        <v>1939.47</v>
      </c>
      <c r="M35" s="34">
        <v>80</v>
      </c>
    </row>
    <row r="36" spans="1:13" x14ac:dyDescent="0.35">
      <c r="A36" s="3">
        <v>25</v>
      </c>
      <c r="B36" s="35">
        <f t="shared" si="0"/>
        <v>634.83568567772704</v>
      </c>
      <c r="C36" s="34">
        <f t="shared" si="7"/>
        <v>263.39760000000001</v>
      </c>
      <c r="D36" s="34">
        <f t="shared" si="8"/>
        <v>371.43808567772703</v>
      </c>
      <c r="E36" s="35">
        <f t="shared" si="9"/>
        <v>17188.400000000001</v>
      </c>
      <c r="F36" s="34"/>
      <c r="H36" s="3">
        <v>25</v>
      </c>
      <c r="I36" s="35">
        <f t="shared" si="2"/>
        <v>270</v>
      </c>
      <c r="J36" s="34">
        <f t="shared" si="3"/>
        <v>4.4446187500000001</v>
      </c>
      <c r="K36" s="34">
        <f t="shared" si="6"/>
        <v>265.55538124999998</v>
      </c>
      <c r="L36" s="35">
        <f t="shared" si="4"/>
        <v>1593.91</v>
      </c>
      <c r="M36" s="34">
        <v>80</v>
      </c>
    </row>
    <row r="37" spans="1:13" x14ac:dyDescent="0.35">
      <c r="A37" s="3">
        <v>26</v>
      </c>
      <c r="B37" s="35">
        <f t="shared" si="0"/>
        <v>634.83568567772704</v>
      </c>
      <c r="C37" s="34">
        <f t="shared" si="7"/>
        <v>257.82600000000002</v>
      </c>
      <c r="D37" s="34">
        <f t="shared" si="8"/>
        <v>377.00968567772702</v>
      </c>
      <c r="E37" s="35">
        <f t="shared" si="9"/>
        <v>16811.39</v>
      </c>
      <c r="F37" s="34"/>
      <c r="H37" s="3">
        <v>26</v>
      </c>
      <c r="I37" s="35">
        <f t="shared" si="2"/>
        <v>270</v>
      </c>
      <c r="J37" s="34">
        <f t="shared" si="3"/>
        <v>3.6527104166666668</v>
      </c>
      <c r="K37" s="34">
        <f t="shared" si="6"/>
        <v>266.34728958333335</v>
      </c>
      <c r="L37" s="35">
        <f t="shared" si="4"/>
        <v>1247.56</v>
      </c>
      <c r="M37" s="34">
        <v>80</v>
      </c>
    </row>
    <row r="38" spans="1:13" x14ac:dyDescent="0.35">
      <c r="A38" s="3">
        <v>27</v>
      </c>
      <c r="B38" s="35">
        <f t="shared" si="0"/>
        <v>634.83568567772704</v>
      </c>
      <c r="C38" s="34">
        <f t="shared" si="7"/>
        <v>252.17084999999997</v>
      </c>
      <c r="D38" s="34">
        <f t="shared" si="8"/>
        <v>382.66483567772707</v>
      </c>
      <c r="E38" s="35">
        <f t="shared" si="9"/>
        <v>16428.72</v>
      </c>
      <c r="F38" s="34"/>
      <c r="H38" s="3">
        <v>27</v>
      </c>
      <c r="I38" s="35">
        <f t="shared" si="2"/>
        <v>270</v>
      </c>
      <c r="J38" s="34">
        <f t="shared" si="3"/>
        <v>2.8589916666666664</v>
      </c>
      <c r="K38" s="34">
        <f t="shared" si="6"/>
        <v>267.14100833333333</v>
      </c>
      <c r="L38" s="35">
        <f t="shared" si="4"/>
        <v>900.41</v>
      </c>
      <c r="M38" s="34">
        <v>80</v>
      </c>
    </row>
    <row r="39" spans="1:13" x14ac:dyDescent="0.35">
      <c r="A39" s="3">
        <v>28</v>
      </c>
      <c r="B39" s="35">
        <f t="shared" si="0"/>
        <v>634.83568567772704</v>
      </c>
      <c r="C39" s="34">
        <f t="shared" si="7"/>
        <v>246.4308</v>
      </c>
      <c r="D39" s="34">
        <f t="shared" si="8"/>
        <v>388.40488567772707</v>
      </c>
      <c r="E39" s="35">
        <f t="shared" si="9"/>
        <v>16040.31</v>
      </c>
      <c r="F39" s="34"/>
      <c r="H39" s="3">
        <v>28</v>
      </c>
      <c r="I39" s="35">
        <f t="shared" si="2"/>
        <v>270</v>
      </c>
      <c r="J39" s="34">
        <f t="shared" si="3"/>
        <v>2.0634395833333334</v>
      </c>
      <c r="K39" s="34">
        <f t="shared" si="6"/>
        <v>267.93656041666668</v>
      </c>
      <c r="L39" s="35">
        <f t="shared" si="4"/>
        <v>552.47</v>
      </c>
      <c r="M39" s="34">
        <v>80</v>
      </c>
    </row>
    <row r="40" spans="1:13" x14ac:dyDescent="0.35">
      <c r="A40" s="3">
        <v>29</v>
      </c>
      <c r="B40" s="35">
        <f t="shared" si="0"/>
        <v>634.83568567772704</v>
      </c>
      <c r="C40" s="34">
        <f t="shared" si="7"/>
        <v>240.60464999999999</v>
      </c>
      <c r="D40" s="34">
        <f t="shared" si="8"/>
        <v>394.23103567772705</v>
      </c>
      <c r="E40" s="35">
        <f t="shared" si="9"/>
        <v>15646.07</v>
      </c>
      <c r="F40" s="34"/>
      <c r="H40" s="3">
        <v>29</v>
      </c>
      <c r="I40" s="35">
        <f t="shared" si="2"/>
        <v>270</v>
      </c>
      <c r="J40" s="34">
        <f t="shared" si="3"/>
        <v>1.2660770833333335</v>
      </c>
      <c r="K40" s="34">
        <f t="shared" si="6"/>
        <v>268.73392291666664</v>
      </c>
      <c r="L40" s="35">
        <f t="shared" si="4"/>
        <v>203.73</v>
      </c>
      <c r="M40" s="34">
        <v>80</v>
      </c>
    </row>
    <row r="41" spans="1:13" x14ac:dyDescent="0.35">
      <c r="A41" s="3">
        <v>30</v>
      </c>
      <c r="B41" s="35">
        <f t="shared" si="0"/>
        <v>634.83568567772704</v>
      </c>
      <c r="C41" s="34">
        <f t="shared" si="7"/>
        <v>234.69104999999999</v>
      </c>
      <c r="D41" s="34">
        <f t="shared" si="8"/>
        <v>400.14463567772702</v>
      </c>
      <c r="E41" s="35">
        <f t="shared" si="9"/>
        <v>14895.92</v>
      </c>
      <c r="F41" s="34">
        <v>350</v>
      </c>
      <c r="H41" s="3">
        <v>30</v>
      </c>
      <c r="I41" s="35">
        <f t="shared" si="2"/>
        <v>204.19688124999996</v>
      </c>
      <c r="J41" s="34">
        <f t="shared" si="3"/>
        <v>0.46688124999999997</v>
      </c>
      <c r="K41" s="34">
        <f t="shared" ref="K41:K49" si="10">I41-J41</f>
        <v>203.72999999999996</v>
      </c>
      <c r="L41" s="35">
        <f t="shared" si="4"/>
        <v>0</v>
      </c>
      <c r="M41" s="34"/>
    </row>
    <row r="42" spans="1:13" x14ac:dyDescent="0.35">
      <c r="A42" s="3">
        <v>31</v>
      </c>
      <c r="B42" s="35">
        <f t="shared" si="0"/>
        <v>634.83568567772704</v>
      </c>
      <c r="C42" s="34">
        <f t="shared" si="7"/>
        <v>223.43879999999999</v>
      </c>
      <c r="D42" s="34">
        <f t="shared" si="8"/>
        <v>411.39688567772703</v>
      </c>
      <c r="E42" s="35">
        <f t="shared" si="9"/>
        <v>14134.52</v>
      </c>
      <c r="F42" s="34">
        <v>350</v>
      </c>
      <c r="H42" s="3">
        <v>31</v>
      </c>
      <c r="I42" s="35">
        <f t="shared" si="2"/>
        <v>0</v>
      </c>
      <c r="J42" s="34">
        <f t="shared" si="3"/>
        <v>0</v>
      </c>
      <c r="K42" s="34">
        <f t="shared" si="10"/>
        <v>0</v>
      </c>
      <c r="L42" s="35">
        <f t="shared" si="4"/>
        <v>0</v>
      </c>
      <c r="M42" s="34"/>
    </row>
    <row r="43" spans="1:13" x14ac:dyDescent="0.35">
      <c r="A43" s="3">
        <v>32</v>
      </c>
      <c r="B43" s="35">
        <f t="shared" si="0"/>
        <v>634.83568567772704</v>
      </c>
      <c r="C43" s="34">
        <f t="shared" si="7"/>
        <v>212.01779999999999</v>
      </c>
      <c r="D43" s="34">
        <f t="shared" si="8"/>
        <v>422.81788567772708</v>
      </c>
      <c r="E43" s="35">
        <f t="shared" si="9"/>
        <v>13361.7</v>
      </c>
      <c r="F43" s="34">
        <v>350</v>
      </c>
      <c r="H43" s="3">
        <v>32</v>
      </c>
      <c r="I43" s="35">
        <f t="shared" si="2"/>
        <v>0</v>
      </c>
      <c r="J43" s="34">
        <f t="shared" si="3"/>
        <v>0</v>
      </c>
      <c r="K43" s="34">
        <f t="shared" si="10"/>
        <v>0</v>
      </c>
      <c r="L43" s="35">
        <f t="shared" si="4"/>
        <v>0</v>
      </c>
      <c r="M43" s="34"/>
    </row>
    <row r="44" spans="1:13" x14ac:dyDescent="0.35">
      <c r="A44" s="3">
        <v>33</v>
      </c>
      <c r="B44" s="35">
        <f t="shared" si="0"/>
        <v>634.83568567772704</v>
      </c>
      <c r="C44" s="34">
        <f t="shared" si="7"/>
        <v>200.4255</v>
      </c>
      <c r="D44" s="34">
        <f t="shared" si="8"/>
        <v>434.41018567772704</v>
      </c>
      <c r="E44" s="35">
        <f t="shared" si="9"/>
        <v>12577.28</v>
      </c>
      <c r="F44" s="34">
        <v>350</v>
      </c>
      <c r="H44" s="3">
        <v>33</v>
      </c>
      <c r="I44" s="35">
        <f t="shared" ref="I44:I75" si="11">IF(L43&lt;270, L43*(1+G$2), 270)</f>
        <v>0</v>
      </c>
      <c r="J44" s="34">
        <f t="shared" ref="J44:J75" si="12">G$2*L43</f>
        <v>0</v>
      </c>
      <c r="K44" s="34">
        <f t="shared" si="10"/>
        <v>0</v>
      </c>
      <c r="L44" s="35">
        <f t="shared" si="4"/>
        <v>0</v>
      </c>
      <c r="M44" s="34"/>
    </row>
    <row r="45" spans="1:13" x14ac:dyDescent="0.35">
      <c r="A45" s="3">
        <v>34</v>
      </c>
      <c r="B45" s="35">
        <f t="shared" si="0"/>
        <v>634.83568567772704</v>
      </c>
      <c r="C45" s="34">
        <f t="shared" si="7"/>
        <v>188.6592</v>
      </c>
      <c r="D45" s="34">
        <f t="shared" si="8"/>
        <v>446.17648567772704</v>
      </c>
      <c r="E45" s="35">
        <f t="shared" si="9"/>
        <v>11781.1</v>
      </c>
      <c r="F45" s="34">
        <v>350</v>
      </c>
      <c r="H45" s="3">
        <v>34</v>
      </c>
      <c r="I45" s="35">
        <f t="shared" si="11"/>
        <v>0</v>
      </c>
      <c r="J45" s="34">
        <f t="shared" si="12"/>
        <v>0</v>
      </c>
      <c r="K45" s="34">
        <f t="shared" si="10"/>
        <v>0</v>
      </c>
      <c r="L45" s="35">
        <f t="shared" si="4"/>
        <v>0</v>
      </c>
      <c r="M45" s="34"/>
    </row>
    <row r="46" spans="1:13" x14ac:dyDescent="0.35">
      <c r="A46" s="3">
        <v>35</v>
      </c>
      <c r="B46" s="35">
        <f t="shared" si="0"/>
        <v>634.83568567772704</v>
      </c>
      <c r="C46" s="34">
        <f t="shared" si="7"/>
        <v>176.7165</v>
      </c>
      <c r="D46" s="34">
        <f t="shared" si="8"/>
        <v>458.11918567772705</v>
      </c>
      <c r="E46" s="35">
        <f t="shared" si="9"/>
        <v>10972.98</v>
      </c>
      <c r="F46" s="34">
        <v>350</v>
      </c>
      <c r="H46" s="3">
        <v>35</v>
      </c>
      <c r="I46" s="35">
        <f t="shared" si="11"/>
        <v>0</v>
      </c>
      <c r="J46" s="34">
        <f t="shared" si="12"/>
        <v>0</v>
      </c>
      <c r="K46" s="34">
        <f t="shared" si="10"/>
        <v>0</v>
      </c>
      <c r="L46" s="35">
        <f t="shared" si="4"/>
        <v>0</v>
      </c>
      <c r="M46" s="34"/>
    </row>
    <row r="47" spans="1:13" x14ac:dyDescent="0.35">
      <c r="A47" s="3">
        <v>36</v>
      </c>
      <c r="B47" s="35">
        <f t="shared" si="0"/>
        <v>634.83568567772704</v>
      </c>
      <c r="C47" s="34">
        <f t="shared" si="7"/>
        <v>164.59469999999999</v>
      </c>
      <c r="D47" s="34">
        <f t="shared" si="8"/>
        <v>470.24098567772705</v>
      </c>
      <c r="E47" s="35">
        <f t="shared" si="9"/>
        <v>10152.73</v>
      </c>
      <c r="F47" s="34">
        <v>350</v>
      </c>
      <c r="H47" s="3">
        <v>36</v>
      </c>
      <c r="I47" s="35">
        <f t="shared" si="11"/>
        <v>0</v>
      </c>
      <c r="J47" s="34">
        <f t="shared" si="12"/>
        <v>0</v>
      </c>
      <c r="K47" s="34">
        <f t="shared" si="10"/>
        <v>0</v>
      </c>
      <c r="L47" s="35">
        <f t="shared" si="4"/>
        <v>0</v>
      </c>
      <c r="M47" s="34"/>
    </row>
    <row r="48" spans="1:13" x14ac:dyDescent="0.35">
      <c r="A48" s="3">
        <v>37</v>
      </c>
      <c r="B48" s="35">
        <f t="shared" si="0"/>
        <v>634.83568567772704</v>
      </c>
      <c r="C48" s="34">
        <f t="shared" si="7"/>
        <v>152.29094999999998</v>
      </c>
      <c r="D48" s="34">
        <f t="shared" si="8"/>
        <v>482.54473567772709</v>
      </c>
      <c r="E48" s="35">
        <f t="shared" si="9"/>
        <v>9320.18</v>
      </c>
      <c r="F48" s="34">
        <v>350</v>
      </c>
      <c r="H48" s="3">
        <v>37</v>
      </c>
      <c r="I48" s="35">
        <f t="shared" si="11"/>
        <v>0</v>
      </c>
      <c r="J48" s="34">
        <f t="shared" si="12"/>
        <v>0</v>
      </c>
      <c r="K48" s="34">
        <f t="shared" si="10"/>
        <v>0</v>
      </c>
      <c r="L48" s="35">
        <f t="shared" si="4"/>
        <v>0</v>
      </c>
      <c r="M48" s="34"/>
    </row>
    <row r="49" spans="1:13" x14ac:dyDescent="0.35">
      <c r="A49" s="3">
        <v>38</v>
      </c>
      <c r="B49" s="35">
        <f t="shared" si="0"/>
        <v>634.83568567772704</v>
      </c>
      <c r="C49" s="34">
        <f t="shared" si="7"/>
        <v>139.80269999999999</v>
      </c>
      <c r="D49" s="34">
        <f t="shared" si="8"/>
        <v>495.03298567772708</v>
      </c>
      <c r="E49" s="35">
        <f t="shared" si="9"/>
        <v>8475.14</v>
      </c>
      <c r="F49" s="34">
        <v>350</v>
      </c>
      <c r="H49" s="3">
        <v>38</v>
      </c>
      <c r="I49" s="35">
        <f t="shared" si="11"/>
        <v>0</v>
      </c>
      <c r="J49" s="34">
        <f t="shared" si="12"/>
        <v>0</v>
      </c>
      <c r="K49" s="34">
        <f t="shared" si="10"/>
        <v>0</v>
      </c>
      <c r="L49" s="35">
        <f t="shared" si="4"/>
        <v>0</v>
      </c>
      <c r="M49" s="34"/>
    </row>
    <row r="50" spans="1:13" x14ac:dyDescent="0.35">
      <c r="A50" s="3">
        <v>39</v>
      </c>
      <c r="B50" s="35">
        <f t="shared" si="0"/>
        <v>634.83568567772704</v>
      </c>
      <c r="C50" s="34">
        <f t="shared" si="7"/>
        <v>127.12709999999998</v>
      </c>
      <c r="D50" s="34">
        <f t="shared" si="8"/>
        <v>507.70858567772706</v>
      </c>
      <c r="E50" s="35">
        <f t="shared" si="9"/>
        <v>7617.43</v>
      </c>
      <c r="F50" s="34">
        <v>350</v>
      </c>
      <c r="H50" s="3">
        <v>39</v>
      </c>
      <c r="I50" s="35">
        <f t="shared" si="11"/>
        <v>0</v>
      </c>
      <c r="J50" s="34">
        <f t="shared" si="12"/>
        <v>0</v>
      </c>
      <c r="K50" s="34">
        <f t="shared" ref="K50:K58" si="13">I50-J50</f>
        <v>0</v>
      </c>
      <c r="L50" s="35">
        <f t="shared" si="4"/>
        <v>0</v>
      </c>
      <c r="M50" s="34"/>
    </row>
    <row r="51" spans="1:13" x14ac:dyDescent="0.35">
      <c r="A51" s="3">
        <v>40</v>
      </c>
      <c r="B51" s="35">
        <f t="shared" si="0"/>
        <v>634.83568567772704</v>
      </c>
      <c r="C51" s="34">
        <f t="shared" si="7"/>
        <v>114.26145</v>
      </c>
      <c r="D51" s="34">
        <f t="shared" si="8"/>
        <v>520.57423567772707</v>
      </c>
      <c r="E51" s="35">
        <f t="shared" si="9"/>
        <v>6746.85</v>
      </c>
      <c r="F51" s="34">
        <v>350</v>
      </c>
      <c r="H51" s="3">
        <v>40</v>
      </c>
      <c r="I51" s="35">
        <f t="shared" si="11"/>
        <v>0</v>
      </c>
      <c r="J51" s="34">
        <f t="shared" si="12"/>
        <v>0</v>
      </c>
      <c r="K51" s="34">
        <f t="shared" si="13"/>
        <v>0</v>
      </c>
      <c r="L51" s="35">
        <f t="shared" si="4"/>
        <v>0</v>
      </c>
      <c r="M51" s="34"/>
    </row>
    <row r="52" spans="1:13" x14ac:dyDescent="0.35">
      <c r="A52" s="3">
        <v>41</v>
      </c>
      <c r="B52" s="35">
        <f t="shared" si="0"/>
        <v>634.83568567772704</v>
      </c>
      <c r="C52" s="34">
        <f t="shared" si="7"/>
        <v>101.20274999999999</v>
      </c>
      <c r="D52" s="34">
        <f t="shared" si="8"/>
        <v>533.632935677727</v>
      </c>
      <c r="E52" s="35">
        <f t="shared" si="9"/>
        <v>5863.21</v>
      </c>
      <c r="F52" s="34">
        <v>350</v>
      </c>
      <c r="H52" s="3">
        <v>41</v>
      </c>
      <c r="I52" s="35">
        <f t="shared" si="11"/>
        <v>0</v>
      </c>
      <c r="J52" s="34">
        <f t="shared" si="12"/>
        <v>0</v>
      </c>
      <c r="K52" s="34">
        <f t="shared" si="13"/>
        <v>0</v>
      </c>
      <c r="L52" s="35">
        <f t="shared" si="4"/>
        <v>0</v>
      </c>
      <c r="M52" s="34"/>
    </row>
    <row r="53" spans="1:13" x14ac:dyDescent="0.35">
      <c r="A53" s="3">
        <v>42</v>
      </c>
      <c r="B53" s="35">
        <f t="shared" si="0"/>
        <v>634.83568567772704</v>
      </c>
      <c r="C53" s="34">
        <f t="shared" si="7"/>
        <v>87.948149999999998</v>
      </c>
      <c r="D53" s="34">
        <f t="shared" si="8"/>
        <v>546.8875356777271</v>
      </c>
      <c r="E53" s="35">
        <f t="shared" si="9"/>
        <v>4966.32</v>
      </c>
      <c r="F53" s="34">
        <v>350</v>
      </c>
      <c r="H53" s="3">
        <v>42</v>
      </c>
      <c r="I53" s="35">
        <f t="shared" si="11"/>
        <v>0</v>
      </c>
      <c r="J53" s="34">
        <f t="shared" si="12"/>
        <v>0</v>
      </c>
      <c r="K53" s="34">
        <f t="shared" si="13"/>
        <v>0</v>
      </c>
      <c r="L53" s="35">
        <f t="shared" si="4"/>
        <v>0</v>
      </c>
      <c r="M53" s="34"/>
    </row>
    <row r="54" spans="1:13" x14ac:dyDescent="0.35">
      <c r="A54" s="3">
        <v>43</v>
      </c>
      <c r="B54" s="35">
        <f t="shared" si="0"/>
        <v>634.83568567772704</v>
      </c>
      <c r="C54" s="34">
        <f t="shared" si="7"/>
        <v>74.494799999999998</v>
      </c>
      <c r="D54" s="34">
        <f t="shared" si="8"/>
        <v>560.3408856777271</v>
      </c>
      <c r="E54" s="35">
        <f t="shared" si="9"/>
        <v>4055.97</v>
      </c>
      <c r="F54" s="34">
        <v>350</v>
      </c>
      <c r="H54" s="3">
        <v>43</v>
      </c>
      <c r="I54" s="35">
        <f t="shared" si="11"/>
        <v>0</v>
      </c>
      <c r="J54" s="34">
        <f t="shared" si="12"/>
        <v>0</v>
      </c>
      <c r="K54" s="34">
        <f t="shared" si="13"/>
        <v>0</v>
      </c>
      <c r="L54" s="35">
        <f t="shared" si="4"/>
        <v>0</v>
      </c>
      <c r="M54" s="34"/>
    </row>
    <row r="55" spans="1:13" x14ac:dyDescent="0.35">
      <c r="A55" s="3">
        <v>44</v>
      </c>
      <c r="B55" s="35">
        <f t="shared" si="0"/>
        <v>634.83568567772704</v>
      </c>
      <c r="C55" s="34">
        <f t="shared" si="7"/>
        <v>60.839549999999996</v>
      </c>
      <c r="D55" s="34">
        <f t="shared" si="8"/>
        <v>573.99613567772701</v>
      </c>
      <c r="E55" s="35">
        <f t="shared" si="9"/>
        <v>3131.97</v>
      </c>
      <c r="F55" s="34">
        <v>350</v>
      </c>
      <c r="H55" s="3">
        <v>44</v>
      </c>
      <c r="I55" s="35">
        <f t="shared" si="11"/>
        <v>0</v>
      </c>
      <c r="J55" s="34">
        <f t="shared" si="12"/>
        <v>0</v>
      </c>
      <c r="K55" s="34">
        <f t="shared" si="13"/>
        <v>0</v>
      </c>
      <c r="L55" s="35">
        <f t="shared" si="4"/>
        <v>0</v>
      </c>
      <c r="M55" s="34"/>
    </row>
    <row r="56" spans="1:13" x14ac:dyDescent="0.35">
      <c r="A56" s="3">
        <v>45</v>
      </c>
      <c r="B56" s="35">
        <f t="shared" si="0"/>
        <v>634.83568567772704</v>
      </c>
      <c r="C56" s="34">
        <f t="shared" si="7"/>
        <v>46.979549999999996</v>
      </c>
      <c r="D56" s="34">
        <f t="shared" si="8"/>
        <v>587.85613567772702</v>
      </c>
      <c r="E56" s="35">
        <f t="shared" si="9"/>
        <v>2194.11</v>
      </c>
      <c r="F56" s="34">
        <v>350</v>
      </c>
      <c r="H56" s="3">
        <v>45</v>
      </c>
      <c r="I56" s="35">
        <f t="shared" si="11"/>
        <v>0</v>
      </c>
      <c r="J56" s="34">
        <f t="shared" si="12"/>
        <v>0</v>
      </c>
      <c r="K56" s="34">
        <f t="shared" si="13"/>
        <v>0</v>
      </c>
      <c r="L56" s="35">
        <f t="shared" si="4"/>
        <v>0</v>
      </c>
      <c r="M56" s="34"/>
    </row>
    <row r="57" spans="1:13" x14ac:dyDescent="0.35">
      <c r="A57" s="3">
        <v>46</v>
      </c>
      <c r="B57" s="35">
        <f t="shared" si="0"/>
        <v>634.83568567772704</v>
      </c>
      <c r="C57" s="34">
        <f t="shared" si="7"/>
        <v>32.911650000000002</v>
      </c>
      <c r="D57" s="34">
        <f t="shared" si="8"/>
        <v>601.92403567772703</v>
      </c>
      <c r="E57" s="35">
        <f t="shared" si="9"/>
        <v>1242.18</v>
      </c>
      <c r="F57" s="34">
        <v>350</v>
      </c>
      <c r="H57" s="3">
        <v>46</v>
      </c>
      <c r="I57" s="35">
        <f t="shared" si="11"/>
        <v>0</v>
      </c>
      <c r="J57" s="34">
        <f t="shared" si="12"/>
        <v>0</v>
      </c>
      <c r="K57" s="34">
        <f t="shared" si="13"/>
        <v>0</v>
      </c>
      <c r="L57" s="35">
        <f t="shared" si="4"/>
        <v>0</v>
      </c>
      <c r="M57" s="34"/>
    </row>
    <row r="58" spans="1:13" x14ac:dyDescent="0.35">
      <c r="A58" s="3">
        <v>47</v>
      </c>
      <c r="B58" s="35">
        <f t="shared" si="0"/>
        <v>634.83568567772704</v>
      </c>
      <c r="C58" s="34">
        <f t="shared" si="7"/>
        <v>18.6327</v>
      </c>
      <c r="D58" s="34">
        <f t="shared" si="8"/>
        <v>616.20298567772704</v>
      </c>
      <c r="E58" s="35">
        <f t="shared" si="9"/>
        <v>275.97000000000003</v>
      </c>
      <c r="F58" s="34">
        <v>350</v>
      </c>
      <c r="H58" s="3">
        <v>47</v>
      </c>
      <c r="I58" s="35">
        <f t="shared" si="11"/>
        <v>0</v>
      </c>
      <c r="J58" s="34">
        <f t="shared" si="12"/>
        <v>0</v>
      </c>
      <c r="K58" s="34">
        <f t="shared" si="13"/>
        <v>0</v>
      </c>
      <c r="L58" s="35">
        <f t="shared" si="4"/>
        <v>0</v>
      </c>
      <c r="M58" s="34"/>
    </row>
    <row r="59" spans="1:13" x14ac:dyDescent="0.35">
      <c r="A59" s="3">
        <v>48</v>
      </c>
      <c r="B59" s="35">
        <f t="shared" si="0"/>
        <v>280.10955000000001</v>
      </c>
      <c r="C59" s="34">
        <f t="shared" si="7"/>
        <v>4.1395499999999998</v>
      </c>
      <c r="D59" s="34">
        <f t="shared" si="8"/>
        <v>275.97000000000003</v>
      </c>
      <c r="E59" s="35">
        <f t="shared" si="9"/>
        <v>0</v>
      </c>
      <c r="F59" s="34"/>
      <c r="H59" s="3">
        <v>48</v>
      </c>
      <c r="I59" s="35">
        <f t="shared" si="11"/>
        <v>0</v>
      </c>
      <c r="J59" s="34">
        <f t="shared" si="12"/>
        <v>0</v>
      </c>
      <c r="K59" s="34">
        <f t="shared" ref="K59:K83" si="14">I59-J59</f>
        <v>0</v>
      </c>
      <c r="L59" s="35">
        <f t="shared" si="4"/>
        <v>0</v>
      </c>
      <c r="M59" s="34"/>
    </row>
    <row r="60" spans="1:13" x14ac:dyDescent="0.35">
      <c r="A60" s="3">
        <v>49</v>
      </c>
      <c r="B60" s="35">
        <f t="shared" si="0"/>
        <v>0</v>
      </c>
      <c r="C60" s="34">
        <f t="shared" si="7"/>
        <v>0</v>
      </c>
      <c r="D60" s="34">
        <f t="shared" si="8"/>
        <v>0</v>
      </c>
      <c r="E60" s="35">
        <f t="shared" si="9"/>
        <v>0</v>
      </c>
      <c r="F60" s="34"/>
      <c r="H60" s="3">
        <v>49</v>
      </c>
      <c r="I60" s="35">
        <f t="shared" si="11"/>
        <v>0</v>
      </c>
      <c r="J60" s="34">
        <f t="shared" si="12"/>
        <v>0</v>
      </c>
      <c r="K60" s="34">
        <f t="shared" si="14"/>
        <v>0</v>
      </c>
      <c r="L60" s="35">
        <f t="shared" si="4"/>
        <v>0</v>
      </c>
      <c r="M60" s="34"/>
    </row>
    <row r="61" spans="1:13" x14ac:dyDescent="0.35">
      <c r="A61" s="3">
        <v>50</v>
      </c>
      <c r="B61" s="35">
        <f t="shared" si="0"/>
        <v>0</v>
      </c>
      <c r="C61" s="34">
        <f t="shared" si="7"/>
        <v>0</v>
      </c>
      <c r="D61" s="34">
        <f t="shared" si="8"/>
        <v>0</v>
      </c>
      <c r="E61" s="35">
        <f t="shared" si="9"/>
        <v>0</v>
      </c>
      <c r="F61" s="34"/>
      <c r="H61" s="3">
        <v>50</v>
      </c>
      <c r="I61" s="35">
        <f t="shared" si="11"/>
        <v>0</v>
      </c>
      <c r="J61" s="34">
        <f t="shared" si="12"/>
        <v>0</v>
      </c>
      <c r="K61" s="34">
        <f t="shared" si="14"/>
        <v>0</v>
      </c>
      <c r="L61" s="35">
        <f t="shared" si="4"/>
        <v>0</v>
      </c>
      <c r="M61" s="34"/>
    </row>
    <row r="62" spans="1:13" x14ac:dyDescent="0.35">
      <c r="A62" s="3">
        <v>51</v>
      </c>
      <c r="B62" s="35">
        <f t="shared" si="0"/>
        <v>0</v>
      </c>
      <c r="C62" s="34">
        <f t="shared" si="7"/>
        <v>0</v>
      </c>
      <c r="D62" s="34">
        <f t="shared" si="8"/>
        <v>0</v>
      </c>
      <c r="E62" s="35">
        <f t="shared" si="9"/>
        <v>0</v>
      </c>
      <c r="F62" s="34"/>
      <c r="H62" s="3">
        <v>51</v>
      </c>
      <c r="I62" s="35">
        <f t="shared" si="11"/>
        <v>0</v>
      </c>
      <c r="J62" s="34">
        <f t="shared" si="12"/>
        <v>0</v>
      </c>
      <c r="K62" s="34">
        <f t="shared" si="14"/>
        <v>0</v>
      </c>
      <c r="L62" s="35">
        <f t="shared" si="4"/>
        <v>0</v>
      </c>
      <c r="M62" s="34"/>
    </row>
    <row r="63" spans="1:13" x14ac:dyDescent="0.35">
      <c r="A63" s="3">
        <v>52</v>
      </c>
      <c r="B63" s="35">
        <f t="shared" si="0"/>
        <v>0</v>
      </c>
      <c r="C63" s="34">
        <f t="shared" si="7"/>
        <v>0</v>
      </c>
      <c r="D63" s="34">
        <f t="shared" si="8"/>
        <v>0</v>
      </c>
      <c r="E63" s="35">
        <f t="shared" si="9"/>
        <v>0</v>
      </c>
      <c r="F63" s="34"/>
      <c r="H63" s="3">
        <v>52</v>
      </c>
      <c r="I63" s="35">
        <f t="shared" si="11"/>
        <v>0</v>
      </c>
      <c r="J63" s="34">
        <f t="shared" si="12"/>
        <v>0</v>
      </c>
      <c r="K63" s="34">
        <f t="shared" si="14"/>
        <v>0</v>
      </c>
      <c r="L63" s="35">
        <f t="shared" si="4"/>
        <v>0</v>
      </c>
      <c r="M63" s="34"/>
    </row>
    <row r="64" spans="1:13" x14ac:dyDescent="0.35">
      <c r="A64" s="3">
        <v>53</v>
      </c>
      <c r="B64" s="35">
        <f t="shared" si="0"/>
        <v>0</v>
      </c>
      <c r="C64" s="34">
        <f t="shared" si="7"/>
        <v>0</v>
      </c>
      <c r="D64" s="34">
        <f t="shared" si="8"/>
        <v>0</v>
      </c>
      <c r="E64" s="35">
        <f t="shared" si="9"/>
        <v>0</v>
      </c>
      <c r="F64" s="34"/>
      <c r="H64" s="3">
        <v>53</v>
      </c>
      <c r="I64" s="35">
        <f t="shared" si="11"/>
        <v>0</v>
      </c>
      <c r="J64" s="34">
        <f t="shared" si="12"/>
        <v>0</v>
      </c>
      <c r="K64" s="34">
        <f t="shared" si="14"/>
        <v>0</v>
      </c>
      <c r="L64" s="35">
        <f t="shared" si="4"/>
        <v>0</v>
      </c>
      <c r="M64" s="34"/>
    </row>
    <row r="65" spans="1:13" x14ac:dyDescent="0.35">
      <c r="A65" s="3">
        <v>54</v>
      </c>
      <c r="B65" s="35">
        <f t="shared" si="0"/>
        <v>0</v>
      </c>
      <c r="C65" s="34">
        <f t="shared" si="7"/>
        <v>0</v>
      </c>
      <c r="D65" s="34">
        <f t="shared" si="8"/>
        <v>0</v>
      </c>
      <c r="E65" s="35">
        <f t="shared" si="9"/>
        <v>0</v>
      </c>
      <c r="F65" s="34"/>
      <c r="H65" s="3">
        <v>54</v>
      </c>
      <c r="I65" s="35">
        <f t="shared" si="11"/>
        <v>0</v>
      </c>
      <c r="J65" s="34">
        <f t="shared" si="12"/>
        <v>0</v>
      </c>
      <c r="K65" s="34">
        <f t="shared" si="14"/>
        <v>0</v>
      </c>
      <c r="L65" s="35">
        <f t="shared" si="4"/>
        <v>0</v>
      </c>
      <c r="M65" s="34"/>
    </row>
    <row r="66" spans="1:13" x14ac:dyDescent="0.35">
      <c r="A66" s="3">
        <v>55</v>
      </c>
      <c r="B66" s="35">
        <f t="shared" si="0"/>
        <v>0</v>
      </c>
      <c r="C66" s="34">
        <f t="shared" si="7"/>
        <v>0</v>
      </c>
      <c r="D66" s="34">
        <f t="shared" si="8"/>
        <v>0</v>
      </c>
      <c r="E66" s="35">
        <f t="shared" si="9"/>
        <v>0</v>
      </c>
      <c r="F66" s="34"/>
      <c r="H66" s="3">
        <v>55</v>
      </c>
      <c r="I66" s="35">
        <f t="shared" si="11"/>
        <v>0</v>
      </c>
      <c r="J66" s="34">
        <f t="shared" si="12"/>
        <v>0</v>
      </c>
      <c r="K66" s="34">
        <f t="shared" si="14"/>
        <v>0</v>
      </c>
      <c r="L66" s="35">
        <f t="shared" si="4"/>
        <v>0</v>
      </c>
      <c r="M66" s="34"/>
    </row>
    <row r="67" spans="1:13" x14ac:dyDescent="0.35">
      <c r="A67" s="3">
        <v>56</v>
      </c>
      <c r="B67" s="35">
        <f t="shared" si="0"/>
        <v>0</v>
      </c>
      <c r="C67" s="34">
        <f t="shared" si="7"/>
        <v>0</v>
      </c>
      <c r="D67" s="34">
        <f t="shared" si="8"/>
        <v>0</v>
      </c>
      <c r="E67" s="35">
        <f t="shared" si="9"/>
        <v>0</v>
      </c>
      <c r="F67" s="34"/>
      <c r="H67" s="3">
        <v>56</v>
      </c>
      <c r="I67" s="35">
        <f t="shared" si="11"/>
        <v>0</v>
      </c>
      <c r="J67" s="34">
        <f t="shared" si="12"/>
        <v>0</v>
      </c>
      <c r="K67" s="34">
        <f t="shared" si="14"/>
        <v>0</v>
      </c>
      <c r="L67" s="35">
        <f t="shared" si="4"/>
        <v>0</v>
      </c>
      <c r="M67" s="34"/>
    </row>
    <row r="68" spans="1:13" x14ac:dyDescent="0.35">
      <c r="A68" s="3">
        <v>57</v>
      </c>
      <c r="B68" s="35">
        <f t="shared" si="0"/>
        <v>0</v>
      </c>
      <c r="C68" s="34">
        <f t="shared" si="7"/>
        <v>0</v>
      </c>
      <c r="D68" s="34">
        <f t="shared" si="8"/>
        <v>0</v>
      </c>
      <c r="E68" s="35">
        <f t="shared" si="9"/>
        <v>0</v>
      </c>
      <c r="F68" s="34"/>
      <c r="H68" s="3">
        <v>57</v>
      </c>
      <c r="I68" s="35">
        <f t="shared" si="11"/>
        <v>0</v>
      </c>
      <c r="J68" s="34">
        <f t="shared" si="12"/>
        <v>0</v>
      </c>
      <c r="K68" s="34">
        <f t="shared" si="14"/>
        <v>0</v>
      </c>
      <c r="L68" s="35">
        <f t="shared" si="4"/>
        <v>0</v>
      </c>
      <c r="M68" s="34"/>
    </row>
    <row r="69" spans="1:13" x14ac:dyDescent="0.35">
      <c r="A69" s="3">
        <v>58</v>
      </c>
      <c r="B69" s="35">
        <f t="shared" si="0"/>
        <v>0</v>
      </c>
      <c r="C69" s="34">
        <f t="shared" si="7"/>
        <v>0</v>
      </c>
      <c r="D69" s="34">
        <f t="shared" si="8"/>
        <v>0</v>
      </c>
      <c r="E69" s="35">
        <f t="shared" si="9"/>
        <v>0</v>
      </c>
      <c r="F69" s="34"/>
      <c r="H69" s="3">
        <v>58</v>
      </c>
      <c r="I69" s="35">
        <f t="shared" si="11"/>
        <v>0</v>
      </c>
      <c r="J69" s="34">
        <f t="shared" si="12"/>
        <v>0</v>
      </c>
      <c r="K69" s="34">
        <f t="shared" si="14"/>
        <v>0</v>
      </c>
      <c r="L69" s="35">
        <f t="shared" si="4"/>
        <v>0</v>
      </c>
      <c r="M69" s="34"/>
    </row>
    <row r="70" spans="1:13" x14ac:dyDescent="0.35">
      <c r="A70" s="3">
        <v>59</v>
      </c>
      <c r="B70" s="35">
        <f t="shared" si="0"/>
        <v>0</v>
      </c>
      <c r="C70" s="34">
        <f t="shared" si="7"/>
        <v>0</v>
      </c>
      <c r="D70" s="34">
        <f t="shared" si="8"/>
        <v>0</v>
      </c>
      <c r="E70" s="35">
        <f t="shared" si="9"/>
        <v>0</v>
      </c>
      <c r="F70" s="34"/>
      <c r="H70" s="3">
        <v>59</v>
      </c>
      <c r="I70" s="35">
        <f t="shared" si="11"/>
        <v>0</v>
      </c>
      <c r="J70" s="34">
        <f t="shared" si="12"/>
        <v>0</v>
      </c>
      <c r="K70" s="34">
        <f t="shared" si="14"/>
        <v>0</v>
      </c>
      <c r="L70" s="35">
        <f t="shared" si="4"/>
        <v>0</v>
      </c>
      <c r="M70" s="34"/>
    </row>
    <row r="71" spans="1:13" x14ac:dyDescent="0.35">
      <c r="A71" s="3">
        <v>60</v>
      </c>
      <c r="B71" s="35">
        <f>IF(E70&lt;-PMT(G$3,F$3,B$3), E70*(1+G$3), -PMT(G$3,F$3,B$3))</f>
        <v>0</v>
      </c>
      <c r="C71" s="34">
        <f t="shared" si="7"/>
        <v>0</v>
      </c>
      <c r="D71" s="34">
        <f t="shared" si="8"/>
        <v>0</v>
      </c>
      <c r="E71" s="35">
        <f t="shared" si="9"/>
        <v>0</v>
      </c>
      <c r="F71" s="34"/>
      <c r="H71" s="3">
        <v>60</v>
      </c>
      <c r="I71" s="35">
        <f t="shared" si="11"/>
        <v>0</v>
      </c>
      <c r="J71" s="34">
        <f t="shared" si="12"/>
        <v>0</v>
      </c>
      <c r="K71" s="34">
        <f t="shared" si="14"/>
        <v>0</v>
      </c>
      <c r="L71" s="35">
        <f t="shared" si="4"/>
        <v>0</v>
      </c>
      <c r="M71" s="34"/>
    </row>
    <row r="72" spans="1:13" x14ac:dyDescent="0.35">
      <c r="A72" s="3">
        <v>61</v>
      </c>
      <c r="B72" s="35">
        <f t="shared" ref="B72:B83" si="15">IF(E71&lt;-PMT(G$3,F$3,B$3), E71*(1+G$3), -PMT(G$3,F$3,B$3))</f>
        <v>0</v>
      </c>
      <c r="C72" s="34">
        <f t="shared" si="7"/>
        <v>0</v>
      </c>
      <c r="D72" s="34">
        <f t="shared" si="8"/>
        <v>0</v>
      </c>
      <c r="E72" s="35">
        <f t="shared" si="9"/>
        <v>0</v>
      </c>
      <c r="F72" s="34"/>
      <c r="H72" s="3">
        <v>61</v>
      </c>
      <c r="I72" s="35">
        <f t="shared" si="11"/>
        <v>0</v>
      </c>
      <c r="J72" s="34">
        <f t="shared" si="12"/>
        <v>0</v>
      </c>
      <c r="K72" s="34">
        <f t="shared" si="14"/>
        <v>0</v>
      </c>
      <c r="L72" s="35">
        <f t="shared" si="4"/>
        <v>0</v>
      </c>
      <c r="M72" s="34"/>
    </row>
    <row r="73" spans="1:13" x14ac:dyDescent="0.35">
      <c r="A73" s="3">
        <v>62</v>
      </c>
      <c r="B73" s="35">
        <f t="shared" si="15"/>
        <v>0</v>
      </c>
      <c r="C73" s="34">
        <f t="shared" si="7"/>
        <v>0</v>
      </c>
      <c r="D73" s="34">
        <f t="shared" si="8"/>
        <v>0</v>
      </c>
      <c r="E73" s="35">
        <f t="shared" si="9"/>
        <v>0</v>
      </c>
      <c r="F73" s="34"/>
      <c r="H73" s="3">
        <v>62</v>
      </c>
      <c r="I73" s="35">
        <f t="shared" si="11"/>
        <v>0</v>
      </c>
      <c r="J73" s="34">
        <f t="shared" si="12"/>
        <v>0</v>
      </c>
      <c r="K73" s="34">
        <f t="shared" si="14"/>
        <v>0</v>
      </c>
      <c r="L73" s="35">
        <f t="shared" si="4"/>
        <v>0</v>
      </c>
      <c r="M73" s="34"/>
    </row>
    <row r="74" spans="1:13" x14ac:dyDescent="0.35">
      <c r="A74" s="3">
        <v>63</v>
      </c>
      <c r="B74" s="35">
        <f t="shared" si="15"/>
        <v>0</v>
      </c>
      <c r="C74" s="34">
        <f t="shared" si="7"/>
        <v>0</v>
      </c>
      <c r="D74" s="34">
        <f t="shared" si="8"/>
        <v>0</v>
      </c>
      <c r="E74" s="35">
        <f t="shared" si="9"/>
        <v>0</v>
      </c>
      <c r="F74" s="34"/>
      <c r="H74" s="3">
        <v>63</v>
      </c>
      <c r="I74" s="35">
        <f t="shared" si="11"/>
        <v>0</v>
      </c>
      <c r="J74" s="34">
        <f t="shared" si="12"/>
        <v>0</v>
      </c>
      <c r="K74" s="34">
        <f t="shared" si="14"/>
        <v>0</v>
      </c>
      <c r="L74" s="35">
        <f t="shared" si="4"/>
        <v>0</v>
      </c>
      <c r="M74" s="34"/>
    </row>
    <row r="75" spans="1:13" x14ac:dyDescent="0.35">
      <c r="A75" s="3">
        <v>64</v>
      </c>
      <c r="B75" s="35">
        <f t="shared" si="15"/>
        <v>0</v>
      </c>
      <c r="C75" s="34">
        <f t="shared" si="7"/>
        <v>0</v>
      </c>
      <c r="D75" s="34">
        <f t="shared" si="8"/>
        <v>0</v>
      </c>
      <c r="E75" s="35">
        <f t="shared" si="9"/>
        <v>0</v>
      </c>
      <c r="F75" s="34"/>
      <c r="H75" s="3">
        <v>64</v>
      </c>
      <c r="I75" s="35">
        <f t="shared" si="11"/>
        <v>0</v>
      </c>
      <c r="J75" s="34">
        <f t="shared" si="12"/>
        <v>0</v>
      </c>
      <c r="K75" s="34">
        <f t="shared" si="14"/>
        <v>0</v>
      </c>
      <c r="L75" s="35">
        <f t="shared" si="4"/>
        <v>0</v>
      </c>
      <c r="M75" s="34"/>
    </row>
    <row r="76" spans="1:13" x14ac:dyDescent="0.35">
      <c r="A76" s="3">
        <v>65</v>
      </c>
      <c r="B76" s="35">
        <f t="shared" si="15"/>
        <v>0</v>
      </c>
      <c r="C76" s="34">
        <f t="shared" si="7"/>
        <v>0</v>
      </c>
      <c r="D76" s="34">
        <f t="shared" si="8"/>
        <v>0</v>
      </c>
      <c r="E76" s="35">
        <f t="shared" si="9"/>
        <v>0</v>
      </c>
      <c r="F76" s="34"/>
      <c r="H76" s="3">
        <v>65</v>
      </c>
      <c r="I76" s="35">
        <f t="shared" ref="I76:I83" si="16">IF(L75&lt;270, L75*(1+G$2), 270)</f>
        <v>0</v>
      </c>
      <c r="J76" s="34">
        <f t="shared" ref="J76:J83" si="17">G$2*L75</f>
        <v>0</v>
      </c>
      <c r="K76" s="34">
        <f t="shared" si="14"/>
        <v>0</v>
      </c>
      <c r="L76" s="35">
        <f t="shared" ref="L76:L83" si="18">ROUNDDOWN(L75-K76-M76,2)</f>
        <v>0</v>
      </c>
      <c r="M76" s="34"/>
    </row>
    <row r="77" spans="1:13" x14ac:dyDescent="0.35">
      <c r="A77" s="3">
        <v>66</v>
      </c>
      <c r="B77" s="35">
        <f t="shared" si="15"/>
        <v>0</v>
      </c>
      <c r="C77" s="34">
        <f t="shared" si="7"/>
        <v>0</v>
      </c>
      <c r="D77" s="34">
        <f t="shared" si="8"/>
        <v>0</v>
      </c>
      <c r="E77" s="35">
        <f t="shared" si="9"/>
        <v>0</v>
      </c>
      <c r="F77" s="34"/>
      <c r="H77" s="3">
        <v>66</v>
      </c>
      <c r="I77" s="35">
        <f t="shared" si="16"/>
        <v>0</v>
      </c>
      <c r="J77" s="34">
        <f t="shared" si="17"/>
        <v>0</v>
      </c>
      <c r="K77" s="34">
        <f t="shared" si="14"/>
        <v>0</v>
      </c>
      <c r="L77" s="35">
        <f t="shared" si="18"/>
        <v>0</v>
      </c>
      <c r="M77" s="34"/>
    </row>
    <row r="78" spans="1:13" x14ac:dyDescent="0.35">
      <c r="A78" s="3">
        <v>67</v>
      </c>
      <c r="B78" s="35">
        <f t="shared" si="15"/>
        <v>0</v>
      </c>
      <c r="C78" s="34">
        <f t="shared" ref="C78:C83" si="19">E77*G$3</f>
        <v>0</v>
      </c>
      <c r="D78" s="34">
        <f t="shared" ref="D78:D83" si="20">B78-C78</f>
        <v>0</v>
      </c>
      <c r="E78" s="35">
        <f t="shared" ref="E78:E83" si="21">ROUNDDOWN(E77-D78-F78,2)</f>
        <v>0</v>
      </c>
      <c r="F78" s="34"/>
      <c r="H78" s="3">
        <v>67</v>
      </c>
      <c r="I78" s="35">
        <f t="shared" si="16"/>
        <v>0</v>
      </c>
      <c r="J78" s="34">
        <f t="shared" si="17"/>
        <v>0</v>
      </c>
      <c r="K78" s="34">
        <f t="shared" si="14"/>
        <v>0</v>
      </c>
      <c r="L78" s="35">
        <f t="shared" si="18"/>
        <v>0</v>
      </c>
      <c r="M78" s="34"/>
    </row>
    <row r="79" spans="1:13" x14ac:dyDescent="0.35">
      <c r="A79" s="3">
        <v>68</v>
      </c>
      <c r="B79" s="35">
        <f t="shared" si="15"/>
        <v>0</v>
      </c>
      <c r="C79" s="34">
        <f t="shared" si="19"/>
        <v>0</v>
      </c>
      <c r="D79" s="34">
        <f t="shared" si="20"/>
        <v>0</v>
      </c>
      <c r="E79" s="35">
        <f t="shared" si="21"/>
        <v>0</v>
      </c>
      <c r="F79" s="34"/>
      <c r="H79" s="3">
        <v>68</v>
      </c>
      <c r="I79" s="35">
        <f t="shared" si="16"/>
        <v>0</v>
      </c>
      <c r="J79" s="34">
        <f t="shared" si="17"/>
        <v>0</v>
      </c>
      <c r="K79" s="34">
        <f t="shared" si="14"/>
        <v>0</v>
      </c>
      <c r="L79" s="35">
        <f t="shared" si="18"/>
        <v>0</v>
      </c>
      <c r="M79" s="34"/>
    </row>
    <row r="80" spans="1:13" x14ac:dyDescent="0.35">
      <c r="A80" s="3">
        <v>69</v>
      </c>
      <c r="B80" s="35">
        <f t="shared" si="15"/>
        <v>0</v>
      </c>
      <c r="C80" s="34">
        <f t="shared" si="19"/>
        <v>0</v>
      </c>
      <c r="D80" s="34">
        <f t="shared" si="20"/>
        <v>0</v>
      </c>
      <c r="E80" s="35">
        <f t="shared" si="21"/>
        <v>0</v>
      </c>
      <c r="F80" s="34"/>
      <c r="H80" s="3">
        <v>69</v>
      </c>
      <c r="I80" s="35">
        <f t="shared" si="16"/>
        <v>0</v>
      </c>
      <c r="J80" s="34">
        <f t="shared" si="17"/>
        <v>0</v>
      </c>
      <c r="K80" s="34">
        <f t="shared" si="14"/>
        <v>0</v>
      </c>
      <c r="L80" s="35">
        <f t="shared" si="18"/>
        <v>0</v>
      </c>
      <c r="M80" s="34"/>
    </row>
    <row r="81" spans="1:13" x14ac:dyDescent="0.35">
      <c r="A81" s="3">
        <v>70</v>
      </c>
      <c r="B81" s="35">
        <f t="shared" si="15"/>
        <v>0</v>
      </c>
      <c r="C81" s="34">
        <f t="shared" si="19"/>
        <v>0</v>
      </c>
      <c r="D81" s="34">
        <f t="shared" si="20"/>
        <v>0</v>
      </c>
      <c r="E81" s="35">
        <f t="shared" si="21"/>
        <v>0</v>
      </c>
      <c r="F81" s="34"/>
      <c r="H81" s="3">
        <v>70</v>
      </c>
      <c r="I81" s="35">
        <f t="shared" si="16"/>
        <v>0</v>
      </c>
      <c r="J81" s="34">
        <f t="shared" si="17"/>
        <v>0</v>
      </c>
      <c r="K81" s="34">
        <f t="shared" si="14"/>
        <v>0</v>
      </c>
      <c r="L81" s="35">
        <f t="shared" si="18"/>
        <v>0</v>
      </c>
      <c r="M81" s="34"/>
    </row>
    <row r="82" spans="1:13" x14ac:dyDescent="0.35">
      <c r="A82" s="3">
        <v>71</v>
      </c>
      <c r="B82" s="35">
        <f t="shared" si="15"/>
        <v>0</v>
      </c>
      <c r="C82" s="34">
        <f t="shared" si="19"/>
        <v>0</v>
      </c>
      <c r="D82" s="34">
        <f t="shared" si="20"/>
        <v>0</v>
      </c>
      <c r="E82" s="35">
        <f t="shared" si="21"/>
        <v>0</v>
      </c>
      <c r="F82" s="34"/>
      <c r="H82" s="3">
        <v>71</v>
      </c>
      <c r="I82" s="35">
        <f t="shared" si="16"/>
        <v>0</v>
      </c>
      <c r="J82" s="34">
        <f t="shared" si="17"/>
        <v>0</v>
      </c>
      <c r="K82" s="34">
        <f t="shared" si="14"/>
        <v>0</v>
      </c>
      <c r="L82" s="35">
        <f t="shared" si="18"/>
        <v>0</v>
      </c>
      <c r="M82" s="34"/>
    </row>
    <row r="83" spans="1:13" x14ac:dyDescent="0.35">
      <c r="A83" s="3">
        <v>72</v>
      </c>
      <c r="B83" s="35">
        <f t="shared" si="15"/>
        <v>0</v>
      </c>
      <c r="C83" s="34">
        <f t="shared" si="19"/>
        <v>0</v>
      </c>
      <c r="D83" s="34">
        <f t="shared" si="20"/>
        <v>0</v>
      </c>
      <c r="E83" s="35">
        <f t="shared" si="21"/>
        <v>0</v>
      </c>
      <c r="F83" s="34"/>
      <c r="H83" s="3">
        <v>72</v>
      </c>
      <c r="I83" s="35">
        <f t="shared" si="16"/>
        <v>0</v>
      </c>
      <c r="J83" s="34">
        <f t="shared" si="17"/>
        <v>0</v>
      </c>
      <c r="K83" s="34">
        <f t="shared" si="14"/>
        <v>0</v>
      </c>
      <c r="L83" s="35">
        <f t="shared" si="18"/>
        <v>0</v>
      </c>
      <c r="M83" s="34"/>
    </row>
    <row r="84" spans="1:13" x14ac:dyDescent="0.35">
      <c r="A84" s="3" t="s">
        <v>51</v>
      </c>
      <c r="B84" s="36"/>
      <c r="C84" s="4">
        <f>SUBTOTAL(109,Mortgage[Interest Paid])</f>
        <v>11417.627100000002</v>
      </c>
      <c r="F84" s="4">
        <f>SUBTOTAL(109,Mortgage[Extra Payment])</f>
        <v>6300</v>
      </c>
      <c r="H84" s="3" t="s">
        <v>51</v>
      </c>
      <c r="I84" s="36"/>
      <c r="J84" s="4">
        <f>SUBTOTAL(109,Car[Interest Paid])</f>
        <v>354.3502416666667</v>
      </c>
      <c r="M84" s="4">
        <f>SUBTOTAL(109,Car[Extra Payment])</f>
        <v>2320</v>
      </c>
    </row>
  </sheetData>
  <mergeCells count="2">
    <mergeCell ref="H9:M9"/>
    <mergeCell ref="A9:F9"/>
  </mergeCells>
  <pageMargins left="0.7" right="0.7" top="0.75" bottom="0.75" header="0.3" footer="0.3"/>
  <pageSetup orientation="portrait" r:id="rId1"/>
  <ignoredErrors>
    <ignoredError sqref="C12" calculatedColumn="1"/>
  </ignoredErrors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Expenses</vt:lpstr>
      <vt:lpstr>Retirement Savings</vt:lpstr>
      <vt:lpstr>Debt Payoff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Brady</dc:creator>
  <cp:lastModifiedBy>Jennifer Brady</cp:lastModifiedBy>
  <dcterms:created xsi:type="dcterms:W3CDTF">2019-02-28T23:56:58Z</dcterms:created>
  <dcterms:modified xsi:type="dcterms:W3CDTF">2019-12-14T22:00:54Z</dcterms:modified>
</cp:coreProperties>
</file>