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4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1.xml" ContentType="application/vnd.openxmlformats-officedocument.themeOverrid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2.xml" ContentType="application/vnd.openxmlformats-officedocument.themeOverrid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theme/themeOverride3.xml" ContentType="application/vnd.openxmlformats-officedocument.themeOverrid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theme/themeOverride4.xml" ContentType="application/vnd.openxmlformats-officedocument.themeOverrid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theme/themeOverride5.xml" ContentType="application/vnd.openxmlformats-officedocument.themeOverrid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theme/themeOverride6.xml" ContentType="application/vnd.openxmlformats-officedocument.themeOverrid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theme/themeOverride7.xml" ContentType="application/vnd.openxmlformats-officedocument.themeOverrid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theme/themeOverride8.xml" ContentType="application/vnd.openxmlformats-officedocument.themeOverrid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theme/themeOverride9.xml" ContentType="application/vnd.openxmlformats-officedocument.themeOverrid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theme/themeOverride10.xml" ContentType="application/vnd.openxmlformats-officedocument.themeOverrid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theme/themeOverride11.xml" ContentType="application/vnd.openxmlformats-officedocument.themeOverrid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theme/themeOverride12.xml" ContentType="application/vnd.openxmlformats-officedocument.themeOverrid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theme/themeOverride13.xml" ContentType="application/vnd.openxmlformats-officedocument.themeOverrid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theme/themeOverride14.xml" ContentType="application/vnd.openxmlformats-officedocument.themeOverrid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theme/themeOverride15.xml" ContentType="application/vnd.openxmlformats-officedocument.themeOverride+xml"/>
  <Override PartName="/xl/drawings/drawing7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theme/themeOverride16.xml" ContentType="application/vnd.openxmlformats-officedocument.themeOverrid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theme/themeOverride17.xml" ContentType="application/vnd.openxmlformats-officedocument.themeOverrid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theme/themeOverride18.xml" ContentType="application/vnd.openxmlformats-officedocument.themeOverrid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theme/themeOverride19.xml" ContentType="application/vnd.openxmlformats-officedocument.themeOverrid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theme/themeOverride20.xml" ContentType="application/vnd.openxmlformats-officedocument.themeOverrid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theme/themeOverride21.xml" ContentType="application/vnd.openxmlformats-officedocument.themeOverrid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theme/themeOverride22.xml" ContentType="application/vnd.openxmlformats-officedocument.themeOverrid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theme/themeOverride23.xml" ContentType="application/vnd.openxmlformats-officedocument.themeOverrid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drawings/drawing8.xml" ContentType="application/vnd.openxmlformats-officedocument.drawing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theme/themeOverride24.xml" ContentType="application/vnd.openxmlformats-officedocument.themeOverrid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theme/themeOverride25.xml" ContentType="application/vnd.openxmlformats-officedocument.themeOverrid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theme/themeOverride26.xml" ContentType="application/vnd.openxmlformats-officedocument.themeOverrid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theme/themeOverride27.xml" ContentType="application/vnd.openxmlformats-officedocument.themeOverrid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theme/themeOverride28.xml" ContentType="application/vnd.openxmlformats-officedocument.themeOverrid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theme/themeOverride29.xml" ContentType="application/vnd.openxmlformats-officedocument.themeOverrid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theme/themeOverride30.xml" ContentType="application/vnd.openxmlformats-officedocument.themeOverrid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theme/themeOverride31.xml" ContentType="application/vnd.openxmlformats-officedocument.themeOverrid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theme/themeOverride32.xml" ContentType="application/vnd.openxmlformats-officedocument.themeOverrid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theme/themeOverride33.xml" ContentType="application/vnd.openxmlformats-officedocument.themeOverrid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theme/themeOverride34.xml" ContentType="application/vnd.openxmlformats-officedocument.themeOverrid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theme/themeOverride35.xml" ContentType="application/vnd.openxmlformats-officedocument.themeOverrid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theme/themeOverride36.xml" ContentType="application/vnd.openxmlformats-officedocument.themeOverrid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theme/themeOverride37.xml" ContentType="application/vnd.openxmlformats-officedocument.themeOverrid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theme/themeOverride38.xml" ContentType="application/vnd.openxmlformats-officedocument.themeOverrid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theme/themeOverride39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yom\OneDrive\デスクトップ\pka_activity\ver_3\"/>
    </mc:Choice>
  </mc:AlternateContent>
  <xr:revisionPtr revIDLastSave="0" documentId="13_ncr:1_{D67277C0-4CC7-41C2-96C5-4238FDEEA2A1}" xr6:coauthVersionLast="47" xr6:coauthVersionMax="47" xr10:uidLastSave="{00000000-0000-0000-0000-000000000000}"/>
  <bookViews>
    <workbookView xWindow="11190" yWindow="0" windowWidth="11460" windowHeight="14410" firstSheet="5" activeTab="7" xr2:uid="{DDBD4B02-AFDB-4576-B56D-50436B4318B4}"/>
  </bookViews>
  <sheets>
    <sheet name="キャリブレーション" sheetId="1" r:id="rId1"/>
    <sheet name="計算" sheetId="2" r:id="rId2"/>
    <sheet name="計算 (2)" sheetId="6" r:id="rId3"/>
    <sheet name="計算 (3)" sheetId="8" r:id="rId4"/>
    <sheet name="計算 (4)" sheetId="9" r:id="rId5"/>
    <sheet name="データベース pH" sheetId="7" r:id="rId6"/>
    <sheet name="○" sheetId="3" r:id="rId7"/>
    <sheet name="データベース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G6" i="5" s="1"/>
  <c r="H3" i="5"/>
  <c r="G38" i="5" s="1"/>
  <c r="Y51" i="1"/>
  <c r="EK3" i="9"/>
  <c r="EJ3" i="9"/>
  <c r="G7" i="5" l="1"/>
  <c r="EH3" i="9"/>
  <c r="G39" i="5"/>
  <c r="EG3" i="9"/>
  <c r="Y54" i="1"/>
  <c r="Y55" i="1" s="1"/>
  <c r="G37" i="5"/>
  <c r="T35" i="3"/>
  <c r="V35" i="9"/>
  <c r="EE3" i="9"/>
  <c r="J15" i="9"/>
  <c r="ED3" i="9"/>
  <c r="T36" i="3"/>
  <c r="T37" i="3"/>
  <c r="T38" i="3"/>
  <c r="S36" i="3"/>
  <c r="S37" i="3"/>
  <c r="S38" i="3"/>
  <c r="S39" i="3"/>
  <c r="S35" i="3"/>
  <c r="R36" i="3"/>
  <c r="R37" i="3"/>
  <c r="R38" i="3"/>
  <c r="R39" i="3"/>
  <c r="R35" i="3"/>
  <c r="Q36" i="3"/>
  <c r="Q37" i="3"/>
  <c r="Q38" i="3"/>
  <c r="Q39" i="3"/>
  <c r="Q35" i="3"/>
  <c r="EC3" i="9"/>
  <c r="EB3" i="9"/>
  <c r="EA3" i="9"/>
  <c r="DZ3" i="9"/>
  <c r="DW3" i="9"/>
  <c r="DY11" i="9"/>
  <c r="DX3" i="9"/>
  <c r="DV3" i="9"/>
  <c r="DU3" i="9"/>
  <c r="DT3" i="9"/>
  <c r="DP3" i="9"/>
  <c r="DQ3" i="9"/>
  <c r="DN3" i="9"/>
  <c r="DO3" i="9"/>
  <c r="A51" i="5"/>
  <c r="A55" i="5" s="1"/>
  <c r="DM3" i="9"/>
  <c r="DL3" i="9"/>
  <c r="DK3" i="9"/>
  <c r="K3" i="5"/>
  <c r="L3" i="5" s="1"/>
  <c r="M3" i="5" s="1"/>
  <c r="N3" i="5" s="1"/>
  <c r="S3" i="5"/>
  <c r="T3" i="5" s="1"/>
  <c r="K4" i="5"/>
  <c r="S4" i="5" s="1"/>
  <c r="T4" i="5" s="1"/>
  <c r="K6" i="5"/>
  <c r="L6" i="5" s="1"/>
  <c r="M6" i="5" s="1"/>
  <c r="N6" i="5" s="1"/>
  <c r="O6" i="5" s="1"/>
  <c r="S6" i="5"/>
  <c r="T6" i="5" s="1"/>
  <c r="K7" i="5"/>
  <c r="S7" i="5"/>
  <c r="T7" i="5" s="1"/>
  <c r="K8" i="5"/>
  <c r="L8" i="5" s="1"/>
  <c r="M8" i="5" s="1"/>
  <c r="N8" i="5" s="1"/>
  <c r="K10" i="5"/>
  <c r="L10" i="5"/>
  <c r="M10" i="5"/>
  <c r="N10" i="5" s="1"/>
  <c r="S10" i="5"/>
  <c r="T10" i="5"/>
  <c r="K11" i="5"/>
  <c r="L11" i="5" s="1"/>
  <c r="M11" i="5" s="1"/>
  <c r="N11" i="5" s="1"/>
  <c r="O11" i="5" s="1"/>
  <c r="S11" i="5"/>
  <c r="T11" i="5" s="1"/>
  <c r="K12" i="5"/>
  <c r="S12" i="5" s="1"/>
  <c r="T12" i="5" s="1"/>
  <c r="K13" i="5"/>
  <c r="L13" i="5"/>
  <c r="M13" i="5" s="1"/>
  <c r="N13" i="5" s="1"/>
  <c r="S13" i="5"/>
  <c r="T13" i="5"/>
  <c r="K16" i="5"/>
  <c r="L16" i="5" s="1"/>
  <c r="M16" i="5" s="1"/>
  <c r="N16" i="5" s="1"/>
  <c r="S16" i="5"/>
  <c r="T16" i="5" s="1"/>
  <c r="K19" i="5"/>
  <c r="L19" i="5" s="1"/>
  <c r="M19" i="5" s="1"/>
  <c r="N19" i="5" s="1"/>
  <c r="O19" i="5" s="1"/>
  <c r="K21" i="5"/>
  <c r="L21" i="5"/>
  <c r="M21" i="5" s="1"/>
  <c r="N21" i="5" s="1"/>
  <c r="S21" i="5"/>
  <c r="T21" i="5" s="1"/>
  <c r="K22" i="5"/>
  <c r="L22" i="5" s="1"/>
  <c r="M22" i="5" s="1"/>
  <c r="N22" i="5" s="1"/>
  <c r="O22" i="5" s="1"/>
  <c r="S22" i="5"/>
  <c r="T22" i="5" s="1"/>
  <c r="K28" i="5"/>
  <c r="S28" i="5" s="1"/>
  <c r="T28" i="5" s="1"/>
  <c r="K30" i="5"/>
  <c r="L30" i="5" s="1"/>
  <c r="M30" i="5" s="1"/>
  <c r="N30" i="5" s="1"/>
  <c r="O30" i="5" s="1"/>
  <c r="K2" i="5"/>
  <c r="L2" i="5" s="1"/>
  <c r="M2" i="5" s="1"/>
  <c r="N2" i="5" s="1"/>
  <c r="O2" i="5" s="1"/>
  <c r="G4" i="5"/>
  <c r="CR3" i="9"/>
  <c r="CX3" i="9"/>
  <c r="CT3" i="9"/>
  <c r="CU3" i="9"/>
  <c r="G19" i="5"/>
  <c r="H2" i="5"/>
  <c r="G8" i="5"/>
  <c r="DB9" i="9"/>
  <c r="DF3" i="9"/>
  <c r="DD3" i="9"/>
  <c r="DE3" i="9"/>
  <c r="DG3" i="9"/>
  <c r="DH3" i="9"/>
  <c r="DI3" i="9"/>
  <c r="DJ3" i="9"/>
  <c r="DR3" i="9"/>
  <c r="DS3" i="9"/>
  <c r="DY3" i="9"/>
  <c r="EF3" i="9"/>
  <c r="EI3" i="9"/>
  <c r="EL3" i="9"/>
  <c r="EM3" i="9"/>
  <c r="EN3" i="9"/>
  <c r="EO3" i="9"/>
  <c r="EP3" i="9"/>
  <c r="EQ3" i="9"/>
  <c r="ER3" i="9"/>
  <c r="ES3" i="9"/>
  <c r="ET3" i="9"/>
  <c r="EU3" i="9"/>
  <c r="EV3" i="9"/>
  <c r="EW3" i="9"/>
  <c r="EX3" i="9"/>
  <c r="EY3" i="9"/>
  <c r="EZ3" i="9"/>
  <c r="FA3" i="9"/>
  <c r="FB3" i="9"/>
  <c r="FC3" i="9"/>
  <c r="FD3" i="9"/>
  <c r="FE3" i="9"/>
  <c r="FF3" i="9"/>
  <c r="DD5" i="9"/>
  <c r="DE5" i="9"/>
  <c r="DF5" i="9"/>
  <c r="DG5" i="9"/>
  <c r="DH5" i="9"/>
  <c r="DI5" i="9"/>
  <c r="DJ5" i="9"/>
  <c r="DK5" i="9"/>
  <c r="DL5" i="9"/>
  <c r="DM5" i="9"/>
  <c r="DN5" i="9"/>
  <c r="DO5" i="9"/>
  <c r="DP5" i="9"/>
  <c r="DQ5" i="9"/>
  <c r="DR5" i="9"/>
  <c r="DS5" i="9"/>
  <c r="DT5" i="9"/>
  <c r="DU5" i="9"/>
  <c r="DV5" i="9"/>
  <c r="V33" i="9" s="1"/>
  <c r="DW5" i="9"/>
  <c r="DX5" i="9"/>
  <c r="DY5" i="9"/>
  <c r="DZ5" i="9"/>
  <c r="EA5" i="9"/>
  <c r="EB5" i="9"/>
  <c r="EC5" i="9"/>
  <c r="ED5" i="9"/>
  <c r="EE5" i="9"/>
  <c r="EF5" i="9"/>
  <c r="EG5" i="9"/>
  <c r="EH5" i="9"/>
  <c r="EI5" i="9"/>
  <c r="EJ5" i="9"/>
  <c r="EK5" i="9"/>
  <c r="EL5" i="9"/>
  <c r="EM5" i="9"/>
  <c r="EN5" i="9"/>
  <c r="EO5" i="9"/>
  <c r="EP5" i="9"/>
  <c r="EQ5" i="9"/>
  <c r="ER5" i="9"/>
  <c r="ES5" i="9"/>
  <c r="ET5" i="9"/>
  <c r="EU5" i="9"/>
  <c r="EV5" i="9"/>
  <c r="EW5" i="9"/>
  <c r="EX5" i="9"/>
  <c r="EY5" i="9"/>
  <c r="EZ5" i="9"/>
  <c r="FA5" i="9"/>
  <c r="FB5" i="9"/>
  <c r="FC5" i="9"/>
  <c r="FD5" i="9"/>
  <c r="FE5" i="9"/>
  <c r="FF5" i="9"/>
  <c r="DD7" i="9"/>
  <c r="DE7" i="9"/>
  <c r="DF7" i="9"/>
  <c r="DG7" i="9"/>
  <c r="DH7" i="9"/>
  <c r="DI7" i="9"/>
  <c r="DJ7" i="9"/>
  <c r="DK7" i="9"/>
  <c r="DL7" i="9"/>
  <c r="DM7" i="9"/>
  <c r="DN7" i="9"/>
  <c r="DO7" i="9"/>
  <c r="DP7" i="9"/>
  <c r="DQ7" i="9"/>
  <c r="DR7" i="9"/>
  <c r="DS7" i="9"/>
  <c r="DT7" i="9"/>
  <c r="DU7" i="9"/>
  <c r="DV7" i="9"/>
  <c r="DW7" i="9"/>
  <c r="DX7" i="9"/>
  <c r="DY7" i="9"/>
  <c r="DZ7" i="9"/>
  <c r="EA7" i="9"/>
  <c r="EB7" i="9"/>
  <c r="EC7" i="9"/>
  <c r="ED7" i="9"/>
  <c r="EE7" i="9"/>
  <c r="EF7" i="9"/>
  <c r="EG7" i="9"/>
  <c r="EH7" i="9"/>
  <c r="EI7" i="9"/>
  <c r="EJ7" i="9"/>
  <c r="EK7" i="9"/>
  <c r="EL7" i="9"/>
  <c r="EM7" i="9"/>
  <c r="EN7" i="9"/>
  <c r="EO7" i="9"/>
  <c r="EP7" i="9"/>
  <c r="EQ7" i="9"/>
  <c r="ER7" i="9"/>
  <c r="ES7" i="9"/>
  <c r="ET7" i="9"/>
  <c r="EU7" i="9"/>
  <c r="EV7" i="9"/>
  <c r="EW7" i="9"/>
  <c r="EX7" i="9"/>
  <c r="EY7" i="9"/>
  <c r="EZ7" i="9"/>
  <c r="FA7" i="9"/>
  <c r="FB7" i="9"/>
  <c r="FC7" i="9"/>
  <c r="FD7" i="9"/>
  <c r="FE7" i="9"/>
  <c r="FF7" i="9"/>
  <c r="DD9" i="9"/>
  <c r="DE9" i="9"/>
  <c r="DF9" i="9"/>
  <c r="DG9" i="9"/>
  <c r="DH9" i="9"/>
  <c r="DI9" i="9"/>
  <c r="DJ9" i="9"/>
  <c r="DK9" i="9"/>
  <c r="DL9" i="9"/>
  <c r="DM9" i="9"/>
  <c r="DN9" i="9"/>
  <c r="DO9" i="9"/>
  <c r="DP9" i="9"/>
  <c r="DQ9" i="9"/>
  <c r="DR9" i="9"/>
  <c r="DS9" i="9"/>
  <c r="DT9" i="9"/>
  <c r="DU9" i="9"/>
  <c r="DV9" i="9"/>
  <c r="DW9" i="9"/>
  <c r="DX9" i="9"/>
  <c r="DY9" i="9"/>
  <c r="DZ9" i="9"/>
  <c r="EA9" i="9"/>
  <c r="EB9" i="9"/>
  <c r="EC9" i="9"/>
  <c r="ED9" i="9"/>
  <c r="EE9" i="9"/>
  <c r="EF9" i="9"/>
  <c r="EG9" i="9"/>
  <c r="EH9" i="9"/>
  <c r="EI9" i="9"/>
  <c r="EJ9" i="9"/>
  <c r="EK9" i="9"/>
  <c r="EL9" i="9"/>
  <c r="EM9" i="9"/>
  <c r="EN9" i="9"/>
  <c r="EO9" i="9"/>
  <c r="EP9" i="9"/>
  <c r="EQ9" i="9"/>
  <c r="ER9" i="9"/>
  <c r="ES9" i="9"/>
  <c r="ET9" i="9"/>
  <c r="EU9" i="9"/>
  <c r="EV9" i="9"/>
  <c r="EW9" i="9"/>
  <c r="EX9" i="9"/>
  <c r="EY9" i="9"/>
  <c r="EZ9" i="9"/>
  <c r="FA9" i="9"/>
  <c r="FB9" i="9"/>
  <c r="FC9" i="9"/>
  <c r="FD9" i="9"/>
  <c r="FE9" i="9"/>
  <c r="FF9" i="9"/>
  <c r="DD11" i="9"/>
  <c r="DE11" i="9"/>
  <c r="DF11" i="9"/>
  <c r="DG11" i="9"/>
  <c r="DH11" i="9"/>
  <c r="DI11" i="9"/>
  <c r="DJ11" i="9"/>
  <c r="DK11" i="9"/>
  <c r="DL11" i="9"/>
  <c r="DM11" i="9"/>
  <c r="DN11" i="9"/>
  <c r="DO11" i="9"/>
  <c r="DP11" i="9"/>
  <c r="DQ11" i="9"/>
  <c r="DR11" i="9"/>
  <c r="DS11" i="9"/>
  <c r="DT11" i="9"/>
  <c r="DU11" i="9"/>
  <c r="DV11" i="9"/>
  <c r="DW11" i="9"/>
  <c r="DX11" i="9"/>
  <c r="DZ11" i="9"/>
  <c r="EA11" i="9"/>
  <c r="EB11" i="9"/>
  <c r="EC11" i="9"/>
  <c r="ED11" i="9"/>
  <c r="EE11" i="9"/>
  <c r="EF11" i="9"/>
  <c r="EG11" i="9"/>
  <c r="EH11" i="9"/>
  <c r="EI11" i="9"/>
  <c r="EJ11" i="9"/>
  <c r="EK11" i="9"/>
  <c r="EL11" i="9"/>
  <c r="EM11" i="9"/>
  <c r="EN11" i="9"/>
  <c r="EO11" i="9"/>
  <c r="EP11" i="9"/>
  <c r="EQ11" i="9"/>
  <c r="ER11" i="9"/>
  <c r="ES11" i="9"/>
  <c r="ET11" i="9"/>
  <c r="EU11" i="9"/>
  <c r="EV11" i="9"/>
  <c r="EW11" i="9"/>
  <c r="EX11" i="9"/>
  <c r="EY11" i="9"/>
  <c r="EZ11" i="9"/>
  <c r="FA11" i="9"/>
  <c r="FB11" i="9"/>
  <c r="FC11" i="9"/>
  <c r="FD11" i="9"/>
  <c r="FE11" i="9"/>
  <c r="FF11" i="9"/>
  <c r="DD15" i="9"/>
  <c r="DE15" i="9"/>
  <c r="DF15" i="9"/>
  <c r="DG15" i="9"/>
  <c r="DH15" i="9"/>
  <c r="DI15" i="9"/>
  <c r="DJ15" i="9"/>
  <c r="DK15" i="9"/>
  <c r="DL15" i="9"/>
  <c r="DM15" i="9"/>
  <c r="DN15" i="9"/>
  <c r="DO15" i="9"/>
  <c r="DP15" i="9"/>
  <c r="DQ15" i="9"/>
  <c r="DR15" i="9"/>
  <c r="DS15" i="9"/>
  <c r="DT15" i="9"/>
  <c r="DU15" i="9"/>
  <c r="DV15" i="9"/>
  <c r="DW15" i="9"/>
  <c r="DX15" i="9"/>
  <c r="DY15" i="9"/>
  <c r="DZ15" i="9"/>
  <c r="EA15" i="9"/>
  <c r="EB15" i="9"/>
  <c r="EC15" i="9"/>
  <c r="ED15" i="9"/>
  <c r="EE15" i="9"/>
  <c r="EF15" i="9"/>
  <c r="EG15" i="9"/>
  <c r="EH15" i="9"/>
  <c r="EI15" i="9"/>
  <c r="EJ15" i="9"/>
  <c r="EK15" i="9"/>
  <c r="EL15" i="9"/>
  <c r="EM15" i="9"/>
  <c r="EN15" i="9"/>
  <c r="EO15" i="9"/>
  <c r="EP15" i="9"/>
  <c r="EQ15" i="9"/>
  <c r="ER15" i="9"/>
  <c r="ES15" i="9"/>
  <c r="ET15" i="9"/>
  <c r="EU15" i="9"/>
  <c r="EV15" i="9"/>
  <c r="EW15" i="9"/>
  <c r="EX15" i="9"/>
  <c r="EY15" i="9"/>
  <c r="EZ15" i="9"/>
  <c r="FA15" i="9"/>
  <c r="FB15" i="9"/>
  <c r="FC15" i="9"/>
  <c r="FD15" i="9"/>
  <c r="FE15" i="9"/>
  <c r="FF15" i="9"/>
  <c r="G2" i="5"/>
  <c r="G10" i="5"/>
  <c r="CH15" i="9"/>
  <c r="O13" i="5" l="1"/>
  <c r="S30" i="5"/>
  <c r="T30" i="5" s="1"/>
  <c r="S19" i="5"/>
  <c r="T19" i="5" s="1"/>
  <c r="A52" i="5"/>
  <c r="A54" i="5"/>
  <c r="A53" i="5"/>
  <c r="P30" i="5"/>
  <c r="Q30" i="5" s="1"/>
  <c r="R30" i="5" s="1"/>
  <c r="P6" i="5"/>
  <c r="Q6" i="5" s="1"/>
  <c r="R6" i="5" s="1"/>
  <c r="U6" i="5" s="1"/>
  <c r="O21" i="5"/>
  <c r="P19" i="5"/>
  <c r="Q19" i="5" s="1"/>
  <c r="R19" i="5" s="1"/>
  <c r="P11" i="5"/>
  <c r="Q11" i="5" s="1"/>
  <c r="R11" i="5" s="1"/>
  <c r="U11" i="5" s="1"/>
  <c r="P22" i="5"/>
  <c r="Q22" i="5" s="1"/>
  <c r="R22" i="5" s="1"/>
  <c r="U22" i="5" s="1"/>
  <c r="P13" i="5"/>
  <c r="Q13" i="5"/>
  <c r="R13" i="5" s="1"/>
  <c r="U13" i="5" s="1"/>
  <c r="O10" i="5"/>
  <c r="S8" i="5"/>
  <c r="T8" i="5" s="1"/>
  <c r="L7" i="5"/>
  <c r="M7" i="5" s="1"/>
  <c r="N7" i="5" s="1"/>
  <c r="O7" i="5" s="1"/>
  <c r="L28" i="5"/>
  <c r="M28" i="5" s="1"/>
  <c r="N28" i="5" s="1"/>
  <c r="O28" i="5" s="1"/>
  <c r="L12" i="5"/>
  <c r="M12" i="5" s="1"/>
  <c r="N12" i="5" s="1"/>
  <c r="O12" i="5" s="1"/>
  <c r="L4" i="5"/>
  <c r="M4" i="5" s="1"/>
  <c r="N4" i="5" s="1"/>
  <c r="O4" i="5" s="1"/>
  <c r="O3" i="5"/>
  <c r="O16" i="5"/>
  <c r="O8" i="5"/>
  <c r="P2" i="5"/>
  <c r="Q2" i="5" s="1"/>
  <c r="R2" i="5" s="1"/>
  <c r="S2" i="5"/>
  <c r="T2" i="5" s="1"/>
  <c r="CU15" i="9"/>
  <c r="V93" i="9"/>
  <c r="V92" i="9"/>
  <c r="P92" i="9"/>
  <c r="R92" i="9" s="1"/>
  <c r="V91" i="9"/>
  <c r="V90" i="9"/>
  <c r="P90" i="9"/>
  <c r="R90" i="9" s="1"/>
  <c r="V89" i="9"/>
  <c r="V88" i="9"/>
  <c r="P88" i="9"/>
  <c r="R88" i="9" s="1"/>
  <c r="V87" i="9"/>
  <c r="P87" i="9"/>
  <c r="R87" i="9" s="1"/>
  <c r="V86" i="9"/>
  <c r="V85" i="9"/>
  <c r="P84" i="9"/>
  <c r="R84" i="9" s="1"/>
  <c r="V83" i="9"/>
  <c r="V82" i="9"/>
  <c r="V81" i="9"/>
  <c r="V80" i="9"/>
  <c r="V79" i="9"/>
  <c r="V78" i="9"/>
  <c r="P78" i="9"/>
  <c r="R78" i="9" s="1"/>
  <c r="V77" i="9"/>
  <c r="V76" i="9"/>
  <c r="V75" i="9"/>
  <c r="P75" i="9"/>
  <c r="R75" i="9" s="1"/>
  <c r="V74" i="9"/>
  <c r="V73" i="9"/>
  <c r="V72" i="9"/>
  <c r="V71" i="9"/>
  <c r="P71" i="9"/>
  <c r="R71" i="9" s="1"/>
  <c r="V70" i="9"/>
  <c r="V69" i="9"/>
  <c r="P69" i="9"/>
  <c r="R69" i="9" s="1"/>
  <c r="V68" i="9"/>
  <c r="V67" i="9"/>
  <c r="V66" i="9"/>
  <c r="V65" i="9"/>
  <c r="P65" i="9"/>
  <c r="R65" i="9" s="1"/>
  <c r="V64" i="9"/>
  <c r="V63" i="9"/>
  <c r="V62" i="9"/>
  <c r="P62" i="9"/>
  <c r="R62" i="9" s="1"/>
  <c r="V61" i="9"/>
  <c r="P61" i="9"/>
  <c r="R61" i="9" s="1"/>
  <c r="V60" i="9"/>
  <c r="V59" i="9"/>
  <c r="P59" i="9"/>
  <c r="R59" i="9" s="1"/>
  <c r="V58" i="9"/>
  <c r="V57" i="9"/>
  <c r="V56" i="9"/>
  <c r="V55" i="9"/>
  <c r="P55" i="9"/>
  <c r="R55" i="9" s="1"/>
  <c r="V54" i="9"/>
  <c r="V53" i="9"/>
  <c r="V52" i="9"/>
  <c r="P52" i="9"/>
  <c r="R52" i="9" s="1"/>
  <c r="V51" i="9"/>
  <c r="V50" i="9"/>
  <c r="V49" i="9"/>
  <c r="P49" i="9"/>
  <c r="R49" i="9" s="1"/>
  <c r="V48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AI46" i="9"/>
  <c r="V46" i="9"/>
  <c r="P46" i="9"/>
  <c r="R46" i="9" s="1"/>
  <c r="AI45" i="9"/>
  <c r="AI47" i="9" s="1"/>
  <c r="V45" i="9"/>
  <c r="V44" i="9"/>
  <c r="P44" i="9"/>
  <c r="R44" i="9" s="1"/>
  <c r="AG43" i="9"/>
  <c r="AE43" i="9"/>
  <c r="AD43" i="9"/>
  <c r="AC43" i="9"/>
  <c r="AB43" i="9"/>
  <c r="AA43" i="9"/>
  <c r="Z43" i="9"/>
  <c r="Y43" i="9"/>
  <c r="X43" i="9"/>
  <c r="AI43" i="9" s="1"/>
  <c r="W43" i="9"/>
  <c r="V43" i="9"/>
  <c r="P43" i="9"/>
  <c r="R43" i="9" s="1"/>
  <c r="AH43" i="9" s="1"/>
  <c r="V42" i="9"/>
  <c r="V41" i="9"/>
  <c r="V40" i="9"/>
  <c r="P40" i="9"/>
  <c r="R40" i="9" s="1"/>
  <c r="G40" i="9"/>
  <c r="V39" i="9"/>
  <c r="V38" i="9"/>
  <c r="P38" i="9"/>
  <c r="R38" i="9" s="1"/>
  <c r="G38" i="9"/>
  <c r="V37" i="9"/>
  <c r="G37" i="9"/>
  <c r="V36" i="9"/>
  <c r="G36" i="9"/>
  <c r="G35" i="9"/>
  <c r="V34" i="9"/>
  <c r="G34" i="9"/>
  <c r="C34" i="9"/>
  <c r="P68" i="9" s="1"/>
  <c r="R68" i="9" s="1"/>
  <c r="G33" i="9"/>
  <c r="C33" i="9"/>
  <c r="P47" i="9" s="1"/>
  <c r="R47" i="9" s="1"/>
  <c r="CN29" i="9"/>
  <c r="CM29" i="9"/>
  <c r="CL29" i="9"/>
  <c r="CK29" i="9"/>
  <c r="BO29" i="9"/>
  <c r="BN29" i="9"/>
  <c r="AW29" i="9"/>
  <c r="BV28" i="9"/>
  <c r="BU28" i="9"/>
  <c r="BN28" i="9"/>
  <c r="BO25" i="9"/>
  <c r="BN25" i="9"/>
  <c r="AT25" i="9"/>
  <c r="CS24" i="9"/>
  <c r="CB24" i="9"/>
  <c r="BZ24" i="9"/>
  <c r="BY24" i="9"/>
  <c r="AG24" i="9"/>
  <c r="F21" i="9"/>
  <c r="F18" i="9"/>
  <c r="CA17" i="9"/>
  <c r="BZ30" i="9" s="1"/>
  <c r="BZ17" i="9"/>
  <c r="BY30" i="9" s="1"/>
  <c r="BL17" i="9"/>
  <c r="BA17" i="9"/>
  <c r="W17" i="9"/>
  <c r="V17" i="9"/>
  <c r="K17" i="9"/>
  <c r="H17" i="9"/>
  <c r="BL15" i="9"/>
  <c r="BK15" i="9"/>
  <c r="BB15" i="9"/>
  <c r="AF15" i="9"/>
  <c r="CF14" i="9"/>
  <c r="CE14" i="9"/>
  <c r="CD14" i="9"/>
  <c r="DA13" i="9"/>
  <c r="CZ13" i="9"/>
  <c r="AZ13" i="9"/>
  <c r="AE13" i="9"/>
  <c r="DC11" i="9"/>
  <c r="DB11" i="9"/>
  <c r="DA11" i="9"/>
  <c r="CZ11" i="9"/>
  <c r="CY11" i="9"/>
  <c r="CX11" i="9"/>
  <c r="CW29" i="9" s="1"/>
  <c r="CW11" i="9"/>
  <c r="CV29" i="9" s="1"/>
  <c r="CV11" i="9"/>
  <c r="CU29" i="9" s="1"/>
  <c r="CU11" i="9"/>
  <c r="CT29" i="9" s="1"/>
  <c r="CT11" i="9"/>
  <c r="CS29" i="9" s="1"/>
  <c r="CS11" i="9"/>
  <c r="CR29" i="9" s="1"/>
  <c r="CR11" i="9"/>
  <c r="CQ29" i="9" s="1"/>
  <c r="CQ11" i="9"/>
  <c r="CP29" i="9" s="1"/>
  <c r="CP11" i="9"/>
  <c r="CO29" i="9" s="1"/>
  <c r="CO11" i="9"/>
  <c r="CN11" i="9"/>
  <c r="CM11" i="9"/>
  <c r="CL11" i="9"/>
  <c r="CK11" i="9"/>
  <c r="CJ29" i="9" s="1"/>
  <c r="CJ11" i="9"/>
  <c r="CI29" i="9" s="1"/>
  <c r="CI11" i="9"/>
  <c r="CH29" i="9" s="1"/>
  <c r="CH11" i="9"/>
  <c r="CG29" i="9" s="1"/>
  <c r="CG11" i="9"/>
  <c r="CF29" i="9" s="1"/>
  <c r="CF11" i="9"/>
  <c r="CE11" i="9"/>
  <c r="CD29" i="9" s="1"/>
  <c r="CD11" i="9"/>
  <c r="CC29" i="9" s="1"/>
  <c r="CC11" i="9"/>
  <c r="CB29" i="9" s="1"/>
  <c r="CB11" i="9"/>
  <c r="CA29" i="9" s="1"/>
  <c r="CA11" i="9"/>
  <c r="BZ29" i="9" s="1"/>
  <c r="BZ11" i="9"/>
  <c r="BY29" i="9" s="1"/>
  <c r="BY11" i="9"/>
  <c r="BX29" i="9" s="1"/>
  <c r="BX11" i="9"/>
  <c r="BW29" i="9" s="1"/>
  <c r="BW11" i="9"/>
  <c r="BV29" i="9" s="1"/>
  <c r="BV11" i="9"/>
  <c r="BU29" i="9" s="1"/>
  <c r="BU11" i="9"/>
  <c r="BT29" i="9" s="1"/>
  <c r="BT11" i="9"/>
  <c r="BS29" i="9" s="1"/>
  <c r="BS11" i="9"/>
  <c r="BR29" i="9" s="1"/>
  <c r="BR11" i="9"/>
  <c r="BQ29" i="9" s="1"/>
  <c r="BQ11" i="9"/>
  <c r="BP29" i="9" s="1"/>
  <c r="BP11" i="9"/>
  <c r="BO11" i="9"/>
  <c r="BN11" i="9"/>
  <c r="BM11" i="9"/>
  <c r="BL11" i="9"/>
  <c r="BK11" i="9"/>
  <c r="BJ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29" i="9" s="1"/>
  <c r="AT11" i="9"/>
  <c r="AS11" i="9"/>
  <c r="AR11" i="9"/>
  <c r="AQ11" i="9"/>
  <c r="AP11" i="9"/>
  <c r="AO11" i="9"/>
  <c r="AN11" i="9"/>
  <c r="AM11" i="9"/>
  <c r="AL29" i="9" s="1"/>
  <c r="AL11" i="9"/>
  <c r="AK29" i="9" s="1"/>
  <c r="AK11" i="9"/>
  <c r="AJ11" i="9"/>
  <c r="AI29" i="9" s="1"/>
  <c r="AI11" i="9"/>
  <c r="AH29" i="9" s="1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C10" i="9"/>
  <c r="DC9" i="9"/>
  <c r="DA9" i="9"/>
  <c r="CZ9" i="9"/>
  <c r="CY9" i="9"/>
  <c r="CX9" i="9"/>
  <c r="CW28" i="9" s="1"/>
  <c r="CW9" i="9"/>
  <c r="CV28" i="9" s="1"/>
  <c r="CV9" i="9"/>
  <c r="CU28" i="9" s="1"/>
  <c r="CU9" i="9"/>
  <c r="CT28" i="9" s="1"/>
  <c r="CT9" i="9"/>
  <c r="CS28" i="9" s="1"/>
  <c r="CS9" i="9"/>
  <c r="CR28" i="9" s="1"/>
  <c r="CR9" i="9"/>
  <c r="CQ28" i="9" s="1"/>
  <c r="CQ9" i="9"/>
  <c r="CP28" i="9" s="1"/>
  <c r="CP9" i="9"/>
  <c r="CO28" i="9" s="1"/>
  <c r="CO9" i="9"/>
  <c r="CN28" i="9" s="1"/>
  <c r="CN9" i="9"/>
  <c r="CM28" i="9" s="1"/>
  <c r="CM9" i="9"/>
  <c r="CL28" i="9" s="1"/>
  <c r="CL9" i="9"/>
  <c r="CK28" i="9" s="1"/>
  <c r="CK9" i="9"/>
  <c r="CJ28" i="9" s="1"/>
  <c r="CJ9" i="9"/>
  <c r="CI28" i="9" s="1"/>
  <c r="CI9" i="9"/>
  <c r="CH28" i="9" s="1"/>
  <c r="CH9" i="9"/>
  <c r="CG28" i="9" s="1"/>
  <c r="CG9" i="9"/>
  <c r="CF28" i="9" s="1"/>
  <c r="CF9" i="9"/>
  <c r="CE9" i="9"/>
  <c r="CD28" i="9" s="1"/>
  <c r="CD9" i="9"/>
  <c r="CC28" i="9" s="1"/>
  <c r="CC9" i="9"/>
  <c r="CB28" i="9" s="1"/>
  <c r="CB9" i="9"/>
  <c r="CA28" i="9" s="1"/>
  <c r="CA9" i="9"/>
  <c r="BZ28" i="9" s="1"/>
  <c r="BZ9" i="9"/>
  <c r="BY28" i="9" s="1"/>
  <c r="BY9" i="9"/>
  <c r="BX28" i="9" s="1"/>
  <c r="BX9" i="9"/>
  <c r="BW28" i="9" s="1"/>
  <c r="BW9" i="9"/>
  <c r="BV9" i="9"/>
  <c r="BU9" i="9"/>
  <c r="BT28" i="9" s="1"/>
  <c r="BT9" i="9"/>
  <c r="BS28" i="9" s="1"/>
  <c r="BS9" i="9"/>
  <c r="BR28" i="9" s="1"/>
  <c r="BR9" i="9"/>
  <c r="BQ28" i="9" s="1"/>
  <c r="BQ9" i="9"/>
  <c r="BP28" i="9" s="1"/>
  <c r="BP9" i="9"/>
  <c r="BO28" i="9" s="1"/>
  <c r="BO9" i="9"/>
  <c r="BN9" i="9"/>
  <c r="BM9" i="9"/>
  <c r="BL9" i="9"/>
  <c r="BK9" i="9"/>
  <c r="BJ9" i="9"/>
  <c r="BI9" i="9"/>
  <c r="BH9" i="9"/>
  <c r="BG9" i="9"/>
  <c r="BF9" i="9"/>
  <c r="BE9" i="9"/>
  <c r="BD9" i="9"/>
  <c r="BC9" i="9"/>
  <c r="BB9" i="9"/>
  <c r="BA9" i="9"/>
  <c r="AZ9" i="9"/>
  <c r="AY9" i="9"/>
  <c r="AX9" i="9"/>
  <c r="AW28" i="9" s="1"/>
  <c r="AW9" i="9"/>
  <c r="AV9" i="9"/>
  <c r="AU9" i="9"/>
  <c r="AT28" i="9" s="1"/>
  <c r="AT9" i="9"/>
  <c r="AS9" i="9"/>
  <c r="AR9" i="9"/>
  <c r="AQ9" i="9"/>
  <c r="AP9" i="9"/>
  <c r="AO9" i="9"/>
  <c r="AN9" i="9"/>
  <c r="AM9" i="9"/>
  <c r="AL28" i="9" s="1"/>
  <c r="AL9" i="9"/>
  <c r="AK28" i="9" s="1"/>
  <c r="AK9" i="9"/>
  <c r="AJ9" i="9"/>
  <c r="AI28" i="9" s="1"/>
  <c r="AI9" i="9"/>
  <c r="AH28" i="9" s="1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C9" i="9"/>
  <c r="C8" i="9"/>
  <c r="DC7" i="9"/>
  <c r="DB7" i="9"/>
  <c r="DA7" i="9"/>
  <c r="CZ7" i="9"/>
  <c r="CY7" i="9"/>
  <c r="CX7" i="9"/>
  <c r="CW7" i="9"/>
  <c r="CV7" i="9"/>
  <c r="CU7" i="9"/>
  <c r="CT7" i="9"/>
  <c r="CS7" i="9"/>
  <c r="CR7" i="9"/>
  <c r="CQ7" i="9"/>
  <c r="CP7" i="9"/>
  <c r="CO7" i="9"/>
  <c r="CN7" i="9"/>
  <c r="CM7" i="9"/>
  <c r="CL7" i="9"/>
  <c r="CK7" i="9"/>
  <c r="CJ7" i="9"/>
  <c r="CI7" i="9"/>
  <c r="CH7" i="9"/>
  <c r="CG7" i="9"/>
  <c r="CF7" i="9"/>
  <c r="CE7" i="9"/>
  <c r="CD7" i="9"/>
  <c r="CC7" i="9"/>
  <c r="CB7" i="9"/>
  <c r="CA7" i="9"/>
  <c r="BZ7" i="9"/>
  <c r="BY7" i="9"/>
  <c r="BX7" i="9"/>
  <c r="BW7" i="9"/>
  <c r="BV7" i="9"/>
  <c r="BU7" i="9"/>
  <c r="BT7" i="9"/>
  <c r="BS7" i="9"/>
  <c r="BR7" i="9"/>
  <c r="BQ7" i="9"/>
  <c r="BP7" i="9"/>
  <c r="BO7" i="9"/>
  <c r="BN7" i="9"/>
  <c r="BM7" i="9"/>
  <c r="BL7" i="9"/>
  <c r="BK7" i="9"/>
  <c r="BJ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C7" i="9"/>
  <c r="CG26" i="9"/>
  <c r="DC5" i="9"/>
  <c r="DB5" i="9"/>
  <c r="DA5" i="9"/>
  <c r="CZ5" i="9"/>
  <c r="CY5" i="9"/>
  <c r="CX5" i="9"/>
  <c r="CW25" i="9" s="1"/>
  <c r="CW5" i="9"/>
  <c r="CV25" i="9" s="1"/>
  <c r="CV5" i="9"/>
  <c r="CU25" i="9" s="1"/>
  <c r="CU5" i="9"/>
  <c r="CT25" i="9" s="1"/>
  <c r="CT5" i="9"/>
  <c r="CS25" i="9" s="1"/>
  <c r="CS5" i="9"/>
  <c r="CR5" i="9"/>
  <c r="CQ25" i="9" s="1"/>
  <c r="CQ5" i="9"/>
  <c r="CP5" i="9"/>
  <c r="CO5" i="9"/>
  <c r="CN5" i="9"/>
  <c r="CM25" i="9" s="1"/>
  <c r="CM5" i="9"/>
  <c r="CL25" i="9" s="1"/>
  <c r="CL5" i="9"/>
  <c r="CK25" i="9" s="1"/>
  <c r="CK5" i="9"/>
  <c r="CJ25" i="9" s="1"/>
  <c r="CJ5" i="9"/>
  <c r="CI25" i="9" s="1"/>
  <c r="CI5" i="9"/>
  <c r="CH5" i="9"/>
  <c r="CG5" i="9"/>
  <c r="CF5" i="9"/>
  <c r="CE5" i="9"/>
  <c r="CD5" i="9"/>
  <c r="CC25" i="9" s="1"/>
  <c r="CC5" i="9"/>
  <c r="CB25" i="9" s="1"/>
  <c r="CB5" i="9"/>
  <c r="CA25" i="9" s="1"/>
  <c r="CA5" i="9"/>
  <c r="BZ25" i="9" s="1"/>
  <c r="BZ5" i="9"/>
  <c r="BY5" i="9"/>
  <c r="BX5" i="9"/>
  <c r="BW25" i="9" s="1"/>
  <c r="BW5" i="9"/>
  <c r="BV25" i="9" s="1"/>
  <c r="BV5" i="9"/>
  <c r="BU25" i="9" s="1"/>
  <c r="BU5" i="9"/>
  <c r="BT25" i="9" s="1"/>
  <c r="BT5" i="9"/>
  <c r="BS5" i="9"/>
  <c r="BR25" i="9" s="1"/>
  <c r="BR5" i="9"/>
  <c r="BQ5" i="9"/>
  <c r="BP25" i="9" s="1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DC3" i="9"/>
  <c r="DB3" i="9"/>
  <c r="DA3" i="9"/>
  <c r="CZ3" i="9"/>
  <c r="CY3" i="9"/>
  <c r="CW3" i="9"/>
  <c r="CV3" i="9"/>
  <c r="CT24" i="9"/>
  <c r="CS3" i="9"/>
  <c r="CR24" i="9" s="1"/>
  <c r="CQ24" i="9"/>
  <c r="CQ3" i="9"/>
  <c r="CP3" i="9"/>
  <c r="CO24" i="9" s="1"/>
  <c r="CO3" i="9"/>
  <c r="CN24" i="9" s="1"/>
  <c r="CN3" i="9"/>
  <c r="CM3" i="9"/>
  <c r="CL24" i="9" s="1"/>
  <c r="CL3" i="9"/>
  <c r="CK24" i="9" s="1"/>
  <c r="CK3" i="9"/>
  <c r="CJ3" i="9"/>
  <c r="CI24" i="9" s="1"/>
  <c r="CI3" i="9"/>
  <c r="CH24" i="9" s="1"/>
  <c r="CG24" i="9"/>
  <c r="CG3" i="9"/>
  <c r="CF3" i="9"/>
  <c r="CE3" i="9"/>
  <c r="CD24" i="9" s="1"/>
  <c r="CD3" i="9"/>
  <c r="CC24" i="9" s="1"/>
  <c r="CC3" i="9"/>
  <c r="CB3" i="9"/>
  <c r="CA24" i="9" s="1"/>
  <c r="CA3" i="9"/>
  <c r="BZ3" i="9"/>
  <c r="BY3" i="9"/>
  <c r="BX3" i="9"/>
  <c r="BW3" i="9"/>
  <c r="BV3" i="9"/>
  <c r="BU24" i="9" s="1"/>
  <c r="BU3" i="9"/>
  <c r="BT3" i="9"/>
  <c r="BS24" i="9" s="1"/>
  <c r="BS3" i="9"/>
  <c r="BR24" i="9" s="1"/>
  <c r="BR3" i="9"/>
  <c r="BQ3" i="9"/>
  <c r="BP3" i="9"/>
  <c r="BO3" i="9"/>
  <c r="BN3" i="9"/>
  <c r="BM3" i="9"/>
  <c r="BL3" i="9"/>
  <c r="BK3" i="9"/>
  <c r="BJ3" i="9"/>
  <c r="BI3" i="9"/>
  <c r="BH3" i="9"/>
  <c r="BD3" i="9"/>
  <c r="BC3" i="9"/>
  <c r="BB3" i="9"/>
  <c r="BA3" i="9"/>
  <c r="AZ3" i="9"/>
  <c r="AY3" i="9"/>
  <c r="AX24" i="9" s="1"/>
  <c r="AX3" i="9"/>
  <c r="AW24" i="9" s="1"/>
  <c r="AW3" i="9"/>
  <c r="AV3" i="9"/>
  <c r="AU3" i="9"/>
  <c r="AT3" i="9"/>
  <c r="AS3" i="9"/>
  <c r="AR3" i="9"/>
  <c r="AQ3" i="9"/>
  <c r="AP3" i="9"/>
  <c r="AO3" i="9"/>
  <c r="AN3" i="9"/>
  <c r="AM3" i="9"/>
  <c r="AL24" i="9" s="1"/>
  <c r="AL3" i="9"/>
  <c r="AK24" i="9" s="1"/>
  <c r="AK3" i="9"/>
  <c r="AJ3" i="9"/>
  <c r="AI24" i="9" s="1"/>
  <c r="AI3" i="9"/>
  <c r="AH24" i="9" s="1"/>
  <c r="AG3" i="9"/>
  <c r="AF3" i="9"/>
  <c r="AE3" i="9"/>
  <c r="AD24" i="9" s="1"/>
  <c r="AD3" i="9"/>
  <c r="AC3" i="9"/>
  <c r="AB3" i="9"/>
  <c r="AA3" i="9"/>
  <c r="Z3" i="9"/>
  <c r="Y24" i="9" s="1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CZ3" i="8"/>
  <c r="BU13" i="9" l="1"/>
  <c r="BT27" i="9" s="1"/>
  <c r="DE13" i="9"/>
  <c r="DM13" i="9"/>
  <c r="DM20" i="9" s="1"/>
  <c r="DM21" i="9" s="1"/>
  <c r="DU13" i="9"/>
  <c r="DU20" i="9" s="1"/>
  <c r="DU21" i="9" s="1"/>
  <c r="EC13" i="9"/>
  <c r="EC20" i="9" s="1"/>
  <c r="EC21" i="9" s="1"/>
  <c r="EK13" i="9"/>
  <c r="EK20" i="9" s="1"/>
  <c r="EK21" i="9" s="1"/>
  <c r="ES13" i="9"/>
  <c r="FA13" i="9"/>
  <c r="DO13" i="9"/>
  <c r="EE13" i="9"/>
  <c r="FC13" i="9"/>
  <c r="DP13" i="9"/>
  <c r="EF13" i="9"/>
  <c r="EF20" i="9" s="1"/>
  <c r="EF21" i="9" s="1"/>
  <c r="EV13" i="9"/>
  <c r="EV20" i="9" s="1"/>
  <c r="EV21" i="9" s="1"/>
  <c r="DQ13" i="9"/>
  <c r="DQ20" i="9" s="1"/>
  <c r="DQ21" i="9" s="1"/>
  <c r="EG13" i="9"/>
  <c r="EG20" i="9" s="1"/>
  <c r="EG21" i="9" s="1"/>
  <c r="EW13" i="9"/>
  <c r="DJ13" i="9"/>
  <c r="DZ13" i="9"/>
  <c r="DZ20" i="9" s="1"/>
  <c r="DZ21" i="9" s="1"/>
  <c r="EP13" i="9"/>
  <c r="EP20" i="9" s="1"/>
  <c r="EP21" i="9" s="1"/>
  <c r="FF13" i="9"/>
  <c r="FF20" i="9" s="1"/>
  <c r="FF21" i="9" s="1"/>
  <c r="DK13" i="9"/>
  <c r="DK20" i="9" s="1"/>
  <c r="DK21" i="9" s="1"/>
  <c r="DS13" i="9"/>
  <c r="DS20" i="9" s="1"/>
  <c r="DS21" i="9" s="1"/>
  <c r="EA13" i="9"/>
  <c r="EA20" i="9" s="1"/>
  <c r="EA21" i="9" s="1"/>
  <c r="EI13" i="9"/>
  <c r="EY13" i="9"/>
  <c r="DF13" i="9"/>
  <c r="DN13" i="9"/>
  <c r="DV13" i="9"/>
  <c r="ED13" i="9"/>
  <c r="EL13" i="9"/>
  <c r="EL20" i="9" s="1"/>
  <c r="EL21" i="9" s="1"/>
  <c r="ET13" i="9"/>
  <c r="ET20" i="9" s="1"/>
  <c r="ET21" i="9" s="1"/>
  <c r="FB13" i="9"/>
  <c r="DG13" i="9"/>
  <c r="DW13" i="9"/>
  <c r="EM13" i="9"/>
  <c r="EM20" i="9" s="1"/>
  <c r="EM21" i="9" s="1"/>
  <c r="EU13" i="9"/>
  <c r="EU20" i="9" s="1"/>
  <c r="EU21" i="9" s="1"/>
  <c r="DH13" i="9"/>
  <c r="DX13" i="9"/>
  <c r="EN13" i="9"/>
  <c r="EN20" i="9" s="1"/>
  <c r="EN21" i="9" s="1"/>
  <c r="FD13" i="9"/>
  <c r="DI13" i="9"/>
  <c r="DY13" i="9"/>
  <c r="EO13" i="9"/>
  <c r="FE13" i="9"/>
  <c r="DR13" i="9"/>
  <c r="EH13" i="9"/>
  <c r="EH20" i="9" s="1"/>
  <c r="EH21" i="9" s="1"/>
  <c r="EX13" i="9"/>
  <c r="EX20" i="9" s="1"/>
  <c r="EX21" i="9" s="1"/>
  <c r="EQ13" i="9"/>
  <c r="DD13" i="9"/>
  <c r="DL13" i="9"/>
  <c r="DT13" i="9"/>
  <c r="EB13" i="9"/>
  <c r="EJ13" i="9"/>
  <c r="ER13" i="9"/>
  <c r="ER20" i="9" s="1"/>
  <c r="ER21" i="9" s="1"/>
  <c r="EZ13" i="9"/>
  <c r="EZ20" i="9" s="1"/>
  <c r="EZ21" i="9" s="1"/>
  <c r="BA13" i="9"/>
  <c r="BJ13" i="9"/>
  <c r="T13" i="9"/>
  <c r="U19" i="5"/>
  <c r="U13" i="9"/>
  <c r="BT13" i="9"/>
  <c r="BS27" i="9" s="1"/>
  <c r="V13" i="9"/>
  <c r="CP13" i="9"/>
  <c r="CO27" i="9" s="1"/>
  <c r="P33" i="9"/>
  <c r="R33" i="9" s="1"/>
  <c r="P37" i="9"/>
  <c r="R37" i="9" s="1"/>
  <c r="BK13" i="9"/>
  <c r="CP17" i="9"/>
  <c r="CO30" i="9" s="1"/>
  <c r="DG17" i="9"/>
  <c r="DO17" i="9"/>
  <c r="DW17" i="9"/>
  <c r="EE17" i="9"/>
  <c r="EM17" i="9"/>
  <c r="EU17" i="9"/>
  <c r="FC17" i="9"/>
  <c r="DI17" i="9"/>
  <c r="DY17" i="9"/>
  <c r="EO17" i="9"/>
  <c r="FE17" i="9"/>
  <c r="DJ17" i="9"/>
  <c r="DZ17" i="9"/>
  <c r="EP17" i="9"/>
  <c r="FF17" i="9"/>
  <c r="EA17" i="9"/>
  <c r="EQ17" i="9"/>
  <c r="DD17" i="9"/>
  <c r="DL17" i="9"/>
  <c r="EB17" i="9"/>
  <c r="ER17" i="9"/>
  <c r="DE17" i="9"/>
  <c r="DU17" i="9"/>
  <c r="EK17" i="9"/>
  <c r="FA17" i="9"/>
  <c r="DH17" i="9"/>
  <c r="DP17" i="9"/>
  <c r="DX17" i="9"/>
  <c r="EF17" i="9"/>
  <c r="EN17" i="9"/>
  <c r="EV17" i="9"/>
  <c r="FD17" i="9"/>
  <c r="DQ17" i="9"/>
  <c r="EG17" i="9"/>
  <c r="EW17" i="9"/>
  <c r="DR17" i="9"/>
  <c r="EH17" i="9"/>
  <c r="EX17" i="9"/>
  <c r="DK17" i="9"/>
  <c r="DS17" i="9"/>
  <c r="EI17" i="9"/>
  <c r="EY17" i="9"/>
  <c r="DT17" i="9"/>
  <c r="EJ17" i="9"/>
  <c r="EZ17" i="9"/>
  <c r="DM17" i="9"/>
  <c r="EC17" i="9"/>
  <c r="ES17" i="9"/>
  <c r="DF17" i="9"/>
  <c r="DN17" i="9"/>
  <c r="DV17" i="9"/>
  <c r="ED17" i="9"/>
  <c r="EL17" i="9"/>
  <c r="ET17" i="9"/>
  <c r="FB17" i="9"/>
  <c r="AD13" i="9"/>
  <c r="CQ13" i="9"/>
  <c r="CP27" i="9" s="1"/>
  <c r="BO17" i="9"/>
  <c r="BN30" i="9" s="1"/>
  <c r="P41" i="9"/>
  <c r="R41" i="9" s="1"/>
  <c r="U30" i="5"/>
  <c r="P35" i="9"/>
  <c r="R35" i="9" s="1"/>
  <c r="P7" i="5"/>
  <c r="Q7" i="5" s="1"/>
  <c r="R7" i="5" s="1"/>
  <c r="U7" i="5" s="1"/>
  <c r="P8" i="5"/>
  <c r="Q8" i="5" s="1"/>
  <c r="R8" i="5" s="1"/>
  <c r="U8" i="5" s="1"/>
  <c r="P21" i="5"/>
  <c r="Q21" i="5" s="1"/>
  <c r="R21" i="5" s="1"/>
  <c r="U21" i="5" s="1"/>
  <c r="P16" i="5"/>
  <c r="Q16" i="5" s="1"/>
  <c r="R16" i="5" s="1"/>
  <c r="U16" i="5" s="1"/>
  <c r="P28" i="5"/>
  <c r="Q28" i="5"/>
  <c r="R28" i="5" s="1"/>
  <c r="U28" i="5" s="1"/>
  <c r="P4" i="5"/>
  <c r="Q4" i="5" s="1"/>
  <c r="R4" i="5" s="1"/>
  <c r="U4" i="5" s="1"/>
  <c r="P10" i="5"/>
  <c r="Q10" i="5" s="1"/>
  <c r="R10" i="5" s="1"/>
  <c r="U10" i="5" s="1"/>
  <c r="P3" i="5"/>
  <c r="Q3" i="5" s="1"/>
  <c r="R3" i="5" s="1"/>
  <c r="U3" i="5" s="1"/>
  <c r="P12" i="5"/>
  <c r="Q12" i="5" s="1"/>
  <c r="R12" i="5" s="1"/>
  <c r="U12" i="5" s="1"/>
  <c r="U2" i="5"/>
  <c r="L15" i="9"/>
  <c r="U15" i="9"/>
  <c r="V15" i="9"/>
  <c r="V20" i="9" s="1"/>
  <c r="V21" i="9" s="1"/>
  <c r="CW15" i="9"/>
  <c r="CV26" i="9" s="1"/>
  <c r="BW15" i="9"/>
  <c r="BV26" i="9" s="1"/>
  <c r="BX15" i="9"/>
  <c r="BW26" i="9" s="1"/>
  <c r="AE15" i="9"/>
  <c r="AU24" i="9"/>
  <c r="BN24" i="9"/>
  <c r="BX25" i="9"/>
  <c r="CF25" i="9"/>
  <c r="CN25" i="9"/>
  <c r="H13" i="9"/>
  <c r="AN13" i="9"/>
  <c r="AQ15" i="9"/>
  <c r="AJ17" i="9"/>
  <c r="AI30" i="9" s="1"/>
  <c r="BV24" i="9"/>
  <c r="AE24" i="9"/>
  <c r="AV24" i="9"/>
  <c r="BO24" i="9"/>
  <c r="BW24" i="9"/>
  <c r="CM24" i="9"/>
  <c r="AK25" i="9"/>
  <c r="BY25" i="9"/>
  <c r="CO25" i="9"/>
  <c r="CV15" i="9"/>
  <c r="CU26" i="9" s="1"/>
  <c r="CN15" i="9"/>
  <c r="CM26" i="9" s="1"/>
  <c r="DC15" i="9"/>
  <c r="CT26" i="9"/>
  <c r="CM15" i="9"/>
  <c r="CL26" i="9" s="1"/>
  <c r="CE15" i="9"/>
  <c r="CD26" i="9" s="1"/>
  <c r="CY15" i="9"/>
  <c r="CO15" i="9"/>
  <c r="CN26" i="9" s="1"/>
  <c r="CD15" i="9"/>
  <c r="CC26" i="9" s="1"/>
  <c r="BV15" i="9"/>
  <c r="BU26" i="9" s="1"/>
  <c r="BN15" i="9"/>
  <c r="BF15" i="9"/>
  <c r="AX15" i="9"/>
  <c r="AW26" i="9" s="1"/>
  <c r="AP15" i="9"/>
  <c r="AH15" i="9"/>
  <c r="Z15" i="9"/>
  <c r="R15" i="9"/>
  <c r="CX15" i="9"/>
  <c r="CW26" i="9" s="1"/>
  <c r="CL15" i="9"/>
  <c r="CK26" i="9" s="1"/>
  <c r="CC15" i="9"/>
  <c r="CB26" i="9" s="1"/>
  <c r="BU15" i="9"/>
  <c r="BT26" i="9" s="1"/>
  <c r="BM15" i="9"/>
  <c r="BE15" i="9"/>
  <c r="BE20" i="9" s="1"/>
  <c r="BE21" i="9" s="1"/>
  <c r="AW15" i="9"/>
  <c r="AO15" i="9"/>
  <c r="AG15" i="9"/>
  <c r="Y15" i="9"/>
  <c r="Q15" i="9"/>
  <c r="I15" i="9"/>
  <c r="CS15" i="9"/>
  <c r="CR26" i="9" s="1"/>
  <c r="CG15" i="9"/>
  <c r="CF26" i="9" s="1"/>
  <c r="BT15" i="9"/>
  <c r="BS26" i="9" s="1"/>
  <c r="BJ15" i="9"/>
  <c r="BJ20" i="9" s="1"/>
  <c r="BJ21" i="9" s="1"/>
  <c r="AZ15" i="9"/>
  <c r="AN15" i="9"/>
  <c r="AD15" i="9"/>
  <c r="T15" i="9"/>
  <c r="H15" i="9"/>
  <c r="CR15" i="9"/>
  <c r="CQ26" i="9" s="1"/>
  <c r="CF15" i="9"/>
  <c r="BS15" i="9"/>
  <c r="BR26" i="9" s="1"/>
  <c r="BI15" i="9"/>
  <c r="AY15" i="9"/>
  <c r="AM15" i="9"/>
  <c r="AL26" i="9" s="1"/>
  <c r="AC15" i="9"/>
  <c r="S15" i="9"/>
  <c r="CQ15" i="9"/>
  <c r="CP26" i="9" s="1"/>
  <c r="CB15" i="9"/>
  <c r="CA26" i="9" s="1"/>
  <c r="BR15" i="9"/>
  <c r="BQ26" i="9" s="1"/>
  <c r="BH15" i="9"/>
  <c r="AV15" i="9"/>
  <c r="AL15" i="9"/>
  <c r="AK26" i="9" s="1"/>
  <c r="AB15" i="9"/>
  <c r="P15" i="9"/>
  <c r="P20" i="9" s="1"/>
  <c r="P21" i="9" s="1"/>
  <c r="CZ15" i="9"/>
  <c r="CZ20" i="9" s="1"/>
  <c r="CZ21" i="9" s="1"/>
  <c r="BO15" i="9"/>
  <c r="BN26" i="9" s="1"/>
  <c r="AI15" i="9"/>
  <c r="AH26" i="9" s="1"/>
  <c r="DB15" i="9"/>
  <c r="CP15" i="9"/>
  <c r="CO26" i="9" s="1"/>
  <c r="CA15" i="9"/>
  <c r="BZ26" i="9" s="1"/>
  <c r="BQ15" i="9"/>
  <c r="BP26" i="9" s="1"/>
  <c r="BG15" i="9"/>
  <c r="AU15" i="9"/>
  <c r="AT26" i="9" s="1"/>
  <c r="AK15" i="9"/>
  <c r="AA15" i="9"/>
  <c r="O15" i="9"/>
  <c r="BY15" i="9"/>
  <c r="BX26" i="9" s="1"/>
  <c r="AS15" i="9"/>
  <c r="M15" i="9"/>
  <c r="DA15" i="9"/>
  <c r="DA20" i="9" s="1"/>
  <c r="DA21" i="9" s="1"/>
  <c r="CK15" i="9"/>
  <c r="CJ26" i="9" s="1"/>
  <c r="BZ15" i="9"/>
  <c r="BY26" i="9" s="1"/>
  <c r="BP15" i="9"/>
  <c r="BO26" i="9" s="1"/>
  <c r="BD15" i="9"/>
  <c r="AT15" i="9"/>
  <c r="AJ15" i="9"/>
  <c r="AI26" i="9" s="1"/>
  <c r="X15" i="9"/>
  <c r="N15" i="9"/>
  <c r="CJ15" i="9"/>
  <c r="CI26" i="9" s="1"/>
  <c r="BC15" i="9"/>
  <c r="W15" i="9"/>
  <c r="DC13" i="9"/>
  <c r="CU13" i="9"/>
  <c r="CT27" i="9" s="1"/>
  <c r="CM13" i="9"/>
  <c r="CE13" i="9"/>
  <c r="CD27" i="9" s="1"/>
  <c r="BW13" i="9"/>
  <c r="BV27" i="9" s="1"/>
  <c r="BO13" i="9"/>
  <c r="BN27" i="9" s="1"/>
  <c r="BG13" i="9"/>
  <c r="BG20" i="9" s="1"/>
  <c r="BG21" i="9" s="1"/>
  <c r="AY13" i="9"/>
  <c r="AQ13" i="9"/>
  <c r="AI13" i="9"/>
  <c r="AH27" i="9" s="1"/>
  <c r="AA13" i="9"/>
  <c r="S13" i="9"/>
  <c r="K13" i="9"/>
  <c r="DB13" i="9"/>
  <c r="CT13" i="9"/>
  <c r="CS27" i="9" s="1"/>
  <c r="CL13" i="9"/>
  <c r="CD13" i="9"/>
  <c r="CC27" i="9" s="1"/>
  <c r="BV13" i="9"/>
  <c r="BN13" i="9"/>
  <c r="BF13" i="9"/>
  <c r="AX13" i="9"/>
  <c r="AW27" i="9" s="1"/>
  <c r="AP13" i="9"/>
  <c r="AH13" i="9"/>
  <c r="Z13" i="9"/>
  <c r="R13" i="9"/>
  <c r="J13" i="9"/>
  <c r="CY13" i="9"/>
  <c r="CO13" i="9"/>
  <c r="CN27" i="9" s="1"/>
  <c r="CC13" i="9"/>
  <c r="CB27" i="9" s="1"/>
  <c r="BS13" i="9"/>
  <c r="BI13" i="9"/>
  <c r="AW13" i="9"/>
  <c r="AM13" i="9"/>
  <c r="AL27" i="9" s="1"/>
  <c r="AC13" i="9"/>
  <c r="Q13" i="9"/>
  <c r="CX13" i="9"/>
  <c r="CW27" i="9" s="1"/>
  <c r="CN13" i="9"/>
  <c r="CB13" i="9"/>
  <c r="CA27" i="9" s="1"/>
  <c r="BR13" i="9"/>
  <c r="BQ27" i="9" s="1"/>
  <c r="BH13" i="9"/>
  <c r="AV13" i="9"/>
  <c r="AL13" i="9"/>
  <c r="AK27" i="9" s="1"/>
  <c r="AB13" i="9"/>
  <c r="P13" i="9"/>
  <c r="CW13" i="9"/>
  <c r="CK13" i="9"/>
  <c r="CA13" i="9"/>
  <c r="BZ27" i="9" s="1"/>
  <c r="BQ13" i="9"/>
  <c r="BE13" i="9"/>
  <c r="AU13" i="9"/>
  <c r="AT27" i="9" s="1"/>
  <c r="AK13" i="9"/>
  <c r="Y13" i="9"/>
  <c r="O13" i="9"/>
  <c r="BX13" i="9"/>
  <c r="BW27" i="9" s="1"/>
  <c r="CV13" i="9"/>
  <c r="CU27" i="9" s="1"/>
  <c r="CJ13" i="9"/>
  <c r="BZ13" i="9"/>
  <c r="BY27" i="9" s="1"/>
  <c r="BP13" i="9"/>
  <c r="BO27" i="9" s="1"/>
  <c r="BD13" i="9"/>
  <c r="AT13" i="9"/>
  <c r="AJ13" i="9"/>
  <c r="AI27" i="9" s="1"/>
  <c r="X13" i="9"/>
  <c r="X20" i="9" s="1"/>
  <c r="X21" i="9" s="1"/>
  <c r="N13" i="9"/>
  <c r="CH13" i="9"/>
  <c r="CG27" i="9" s="1"/>
  <c r="BB13" i="9"/>
  <c r="CS13" i="9"/>
  <c r="CR27" i="9" s="1"/>
  <c r="CI13" i="9"/>
  <c r="CH27" i="9" s="1"/>
  <c r="BY13" i="9"/>
  <c r="BX27" i="9" s="1"/>
  <c r="BM13" i="9"/>
  <c r="BC13" i="9"/>
  <c r="AS13" i="9"/>
  <c r="AG13" i="9"/>
  <c r="W13" i="9"/>
  <c r="M13" i="9"/>
  <c r="CR13" i="9"/>
  <c r="CQ27" i="9" s="1"/>
  <c r="BL13" i="9"/>
  <c r="BL20" i="9" s="1"/>
  <c r="BL21" i="9" s="1"/>
  <c r="AF13" i="9"/>
  <c r="DB17" i="9"/>
  <c r="CT17" i="9"/>
  <c r="CS30" i="9" s="1"/>
  <c r="CL17" i="9"/>
  <c r="CK30" i="9" s="1"/>
  <c r="CD17" i="9"/>
  <c r="CC30" i="9" s="1"/>
  <c r="BV17" i="9"/>
  <c r="BU30" i="9" s="1"/>
  <c r="BN17" i="9"/>
  <c r="BF17" i="9"/>
  <c r="AX17" i="9"/>
  <c r="AW30" i="9" s="1"/>
  <c r="AP17" i="9"/>
  <c r="AH17" i="9"/>
  <c r="Z17" i="9"/>
  <c r="R17" i="9"/>
  <c r="J17" i="9"/>
  <c r="DA17" i="9"/>
  <c r="CS17" i="9"/>
  <c r="CR30" i="9" s="1"/>
  <c r="CK17" i="9"/>
  <c r="CJ30" i="9" s="1"/>
  <c r="CC17" i="9"/>
  <c r="CB30" i="9" s="1"/>
  <c r="BU17" i="9"/>
  <c r="BT30" i="9" s="1"/>
  <c r="BM17" i="9"/>
  <c r="BE17" i="9"/>
  <c r="AW17" i="9"/>
  <c r="AO17" i="9"/>
  <c r="AG17" i="9"/>
  <c r="Y17" i="9"/>
  <c r="Q17" i="9"/>
  <c r="I17" i="9"/>
  <c r="CY17" i="9"/>
  <c r="CO17" i="9"/>
  <c r="CN30" i="9" s="1"/>
  <c r="CE17" i="9"/>
  <c r="CD30" i="9" s="1"/>
  <c r="BS17" i="9"/>
  <c r="BR30" i="9" s="1"/>
  <c r="BI17" i="9"/>
  <c r="AY17" i="9"/>
  <c r="AM17" i="9"/>
  <c r="AL30" i="9" s="1"/>
  <c r="AC17" i="9"/>
  <c r="S17" i="9"/>
  <c r="CX17" i="9"/>
  <c r="CW30" i="9" s="1"/>
  <c r="CN17" i="9"/>
  <c r="CM30" i="9" s="1"/>
  <c r="CB17" i="9"/>
  <c r="CA30" i="9" s="1"/>
  <c r="BR17" i="9"/>
  <c r="BQ30" i="9" s="1"/>
  <c r="BH17" i="9"/>
  <c r="AV17" i="9"/>
  <c r="AV20" i="9" s="1"/>
  <c r="AV21" i="9" s="1"/>
  <c r="AU31" i="9" s="1"/>
  <c r="AL17" i="9"/>
  <c r="AK30" i="9" s="1"/>
  <c r="AB17" i="9"/>
  <c r="P17" i="9"/>
  <c r="DC17" i="9"/>
  <c r="CM17" i="9"/>
  <c r="CL30" i="9" s="1"/>
  <c r="BY17" i="9"/>
  <c r="BX30" i="9" s="1"/>
  <c r="BK17" i="9"/>
  <c r="BK20" i="9" s="1"/>
  <c r="BK21" i="9" s="1"/>
  <c r="AU17" i="9"/>
  <c r="AT30" i="9" s="1"/>
  <c r="AI17" i="9"/>
  <c r="AH30" i="9" s="1"/>
  <c r="U17" i="9"/>
  <c r="U20" i="9" s="1"/>
  <c r="U21" i="9" s="1"/>
  <c r="CZ17" i="9"/>
  <c r="CJ17" i="9"/>
  <c r="CI30" i="9" s="1"/>
  <c r="BX17" i="9"/>
  <c r="BW30" i="9" s="1"/>
  <c r="BJ17" i="9"/>
  <c r="AT17" i="9"/>
  <c r="AF17" i="9"/>
  <c r="T17" i="9"/>
  <c r="CW17" i="9"/>
  <c r="CV30" i="9" s="1"/>
  <c r="CI17" i="9"/>
  <c r="CH30" i="9" s="1"/>
  <c r="BW17" i="9"/>
  <c r="BV30" i="9" s="1"/>
  <c r="BG17" i="9"/>
  <c r="AS17" i="9"/>
  <c r="AE17" i="9"/>
  <c r="O17" i="9"/>
  <c r="CF17" i="9"/>
  <c r="AN17" i="9"/>
  <c r="CV17" i="9"/>
  <c r="CU30" i="9" s="1"/>
  <c r="CH17" i="9"/>
  <c r="CG30" i="9" s="1"/>
  <c r="BT17" i="9"/>
  <c r="BS30" i="9" s="1"/>
  <c r="BD17" i="9"/>
  <c r="AR17" i="9"/>
  <c r="AD17" i="9"/>
  <c r="N17" i="9"/>
  <c r="BP17" i="9"/>
  <c r="BO30" i="9" s="1"/>
  <c r="BB17" i="9"/>
  <c r="L17" i="9"/>
  <c r="CU17" i="9"/>
  <c r="CT30" i="9" s="1"/>
  <c r="CG17" i="9"/>
  <c r="CF30" i="9" s="1"/>
  <c r="BQ17" i="9"/>
  <c r="BP30" i="9" s="1"/>
  <c r="BC17" i="9"/>
  <c r="AQ17" i="9"/>
  <c r="AA17" i="9"/>
  <c r="M17" i="9"/>
  <c r="X17" i="9"/>
  <c r="I13" i="9"/>
  <c r="AO13" i="9"/>
  <c r="CF13" i="9"/>
  <c r="AR15" i="9"/>
  <c r="CI15" i="9"/>
  <c r="CH26" i="9" s="1"/>
  <c r="AK17" i="9"/>
  <c r="CQ17" i="9"/>
  <c r="CP30" i="9" s="1"/>
  <c r="CG25" i="9"/>
  <c r="CU24" i="9"/>
  <c r="BQ25" i="9"/>
  <c r="BP24" i="9"/>
  <c r="BX24" i="9"/>
  <c r="CF24" i="9"/>
  <c r="CV24" i="9"/>
  <c r="AL25" i="9"/>
  <c r="CH25" i="9"/>
  <c r="CP25" i="9"/>
  <c r="L13" i="9"/>
  <c r="L20" i="9" s="1"/>
  <c r="L21" i="9" s="1"/>
  <c r="AR13" i="9"/>
  <c r="CG13" i="9"/>
  <c r="CF27" i="9" s="1"/>
  <c r="K15" i="9"/>
  <c r="BA15" i="9"/>
  <c r="BA20" i="9" s="1"/>
  <c r="BA21" i="9" s="1"/>
  <c r="CT15" i="9"/>
  <c r="CS26" i="9" s="1"/>
  <c r="AZ17" i="9"/>
  <c r="CR17" i="9"/>
  <c r="CQ30" i="9" s="1"/>
  <c r="BS25" i="9"/>
  <c r="CP24" i="9"/>
  <c r="J20" i="9"/>
  <c r="J21" i="9" s="1"/>
  <c r="AW25" i="9"/>
  <c r="CW24" i="9"/>
  <c r="AF43" i="9"/>
  <c r="BT24" i="9"/>
  <c r="CJ24" i="9"/>
  <c r="CD25" i="9"/>
  <c r="BQ24" i="9"/>
  <c r="AH25" i="9"/>
  <c r="AT24" i="9"/>
  <c r="AI25" i="9"/>
  <c r="CR25" i="9"/>
  <c r="P91" i="9"/>
  <c r="R91" i="9" s="1"/>
  <c r="P80" i="9"/>
  <c r="R80" i="9" s="1"/>
  <c r="P72" i="9"/>
  <c r="R72" i="9" s="1"/>
  <c r="P64" i="9"/>
  <c r="R64" i="9" s="1"/>
  <c r="P56" i="9"/>
  <c r="R56" i="9" s="1"/>
  <c r="P48" i="9"/>
  <c r="R48" i="9" s="1"/>
  <c r="P93" i="9"/>
  <c r="R93" i="9" s="1"/>
  <c r="P85" i="9"/>
  <c r="R85" i="9" s="1"/>
  <c r="P82" i="9"/>
  <c r="R82" i="9" s="1"/>
  <c r="P74" i="9"/>
  <c r="R74" i="9" s="1"/>
  <c r="P66" i="9"/>
  <c r="R66" i="9" s="1"/>
  <c r="P58" i="9"/>
  <c r="R58" i="9" s="1"/>
  <c r="P50" i="9"/>
  <c r="R50" i="9" s="1"/>
  <c r="P83" i="9"/>
  <c r="R83" i="9" s="1"/>
  <c r="P70" i="9"/>
  <c r="R70" i="9" s="1"/>
  <c r="P67" i="9"/>
  <c r="R67" i="9" s="1"/>
  <c r="P54" i="9"/>
  <c r="R54" i="9" s="1"/>
  <c r="P51" i="9"/>
  <c r="R51" i="9" s="1"/>
  <c r="P89" i="9"/>
  <c r="R89" i="9" s="1"/>
  <c r="P86" i="9"/>
  <c r="R86" i="9" s="1"/>
  <c r="P79" i="9"/>
  <c r="R79" i="9" s="1"/>
  <c r="P76" i="9"/>
  <c r="R76" i="9" s="1"/>
  <c r="P73" i="9"/>
  <c r="R73" i="9" s="1"/>
  <c r="P63" i="9"/>
  <c r="R63" i="9" s="1"/>
  <c r="P60" i="9"/>
  <c r="R60" i="9" s="1"/>
  <c r="P57" i="9"/>
  <c r="R57" i="9" s="1"/>
  <c r="P42" i="9"/>
  <c r="R42" i="9" s="1"/>
  <c r="P34" i="9"/>
  <c r="R34" i="9" s="1"/>
  <c r="P36" i="9"/>
  <c r="R36" i="9" s="1"/>
  <c r="P53" i="9"/>
  <c r="R53" i="9" s="1"/>
  <c r="P77" i="9"/>
  <c r="R77" i="9" s="1"/>
  <c r="P81" i="9"/>
  <c r="R81" i="9" s="1"/>
  <c r="P39" i="9"/>
  <c r="R39" i="9" s="1"/>
  <c r="P45" i="9"/>
  <c r="R45" i="9" s="1"/>
  <c r="CX3" i="8"/>
  <c r="CW3" i="8"/>
  <c r="CR3" i="8"/>
  <c r="V93" i="8"/>
  <c r="V92" i="8"/>
  <c r="V91" i="8"/>
  <c r="V90" i="8"/>
  <c r="V89" i="8"/>
  <c r="V88" i="8"/>
  <c r="V87" i="8"/>
  <c r="V86" i="8"/>
  <c r="P86" i="8"/>
  <c r="R86" i="8" s="1"/>
  <c r="V85" i="8"/>
  <c r="V83" i="8"/>
  <c r="V82" i="8"/>
  <c r="V81" i="8"/>
  <c r="V80" i="8"/>
  <c r="V79" i="8"/>
  <c r="V78" i="8"/>
  <c r="V77" i="8"/>
  <c r="V76" i="8"/>
  <c r="V75" i="8"/>
  <c r="P75" i="8"/>
  <c r="R75" i="8" s="1"/>
  <c r="V74" i="8"/>
  <c r="V73" i="8"/>
  <c r="V72" i="8"/>
  <c r="V71" i="8"/>
  <c r="V70" i="8"/>
  <c r="V69" i="8"/>
  <c r="V68" i="8"/>
  <c r="V67" i="8"/>
  <c r="P67" i="8"/>
  <c r="R67" i="8" s="1"/>
  <c r="V66" i="8"/>
  <c r="V65" i="8"/>
  <c r="V64" i="8"/>
  <c r="V63" i="8"/>
  <c r="V62" i="8"/>
  <c r="V61" i="8"/>
  <c r="V60" i="8"/>
  <c r="V59" i="8"/>
  <c r="P59" i="8"/>
  <c r="R59" i="8" s="1"/>
  <c r="V58" i="8"/>
  <c r="P58" i="8"/>
  <c r="R58" i="8" s="1"/>
  <c r="V57" i="8"/>
  <c r="V56" i="8"/>
  <c r="P56" i="8"/>
  <c r="R56" i="8" s="1"/>
  <c r="V55" i="8"/>
  <c r="V54" i="8"/>
  <c r="V53" i="8"/>
  <c r="P53" i="8"/>
  <c r="R53" i="8" s="1"/>
  <c r="V52" i="8"/>
  <c r="V51" i="8"/>
  <c r="P51" i="8"/>
  <c r="R51" i="8" s="1"/>
  <c r="V50" i="8"/>
  <c r="P50" i="8"/>
  <c r="R50" i="8" s="1"/>
  <c r="V49" i="8"/>
  <c r="V48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AI46" i="8"/>
  <c r="AI47" i="8" s="1"/>
  <c r="V46" i="8"/>
  <c r="AI45" i="8"/>
  <c r="V45" i="8"/>
  <c r="V44" i="8"/>
  <c r="AG43" i="8"/>
  <c r="AE43" i="8"/>
  <c r="AD43" i="8"/>
  <c r="AC43" i="8"/>
  <c r="AB43" i="8"/>
  <c r="AA43" i="8"/>
  <c r="Z43" i="8"/>
  <c r="Y43" i="8"/>
  <c r="X43" i="8"/>
  <c r="AI43" i="8" s="1"/>
  <c r="W43" i="8"/>
  <c r="V43" i="8"/>
  <c r="V42" i="8"/>
  <c r="V41" i="8"/>
  <c r="V40" i="8"/>
  <c r="P40" i="8"/>
  <c r="R40" i="8" s="1"/>
  <c r="G40" i="8"/>
  <c r="V39" i="8"/>
  <c r="V38" i="8"/>
  <c r="G38" i="8"/>
  <c r="V37" i="8"/>
  <c r="P37" i="8"/>
  <c r="R37" i="8" s="1"/>
  <c r="G37" i="8"/>
  <c r="V36" i="8"/>
  <c r="G36" i="8"/>
  <c r="V35" i="8"/>
  <c r="G35" i="8"/>
  <c r="V34" i="8"/>
  <c r="P34" i="8"/>
  <c r="R34" i="8" s="1"/>
  <c r="G34" i="8"/>
  <c r="C34" i="8"/>
  <c r="P91" i="8" s="1"/>
  <c r="R91" i="8" s="1"/>
  <c r="V33" i="8"/>
  <c r="G33" i="8"/>
  <c r="C33" i="8"/>
  <c r="P47" i="8" s="1"/>
  <c r="R47" i="8" s="1"/>
  <c r="CT28" i="8"/>
  <c r="AG24" i="8"/>
  <c r="F21" i="8"/>
  <c r="F18" i="8"/>
  <c r="CF14" i="8"/>
  <c r="CE14" i="8"/>
  <c r="CD14" i="8"/>
  <c r="DE11" i="8"/>
  <c r="DD11" i="8"/>
  <c r="DC11" i="8"/>
  <c r="DB11" i="8"/>
  <c r="DA11" i="8"/>
  <c r="CZ11" i="8"/>
  <c r="CY11" i="8"/>
  <c r="CX11" i="8"/>
  <c r="CW29" i="8" s="1"/>
  <c r="CW11" i="8"/>
  <c r="CV29" i="8" s="1"/>
  <c r="CV11" i="8"/>
  <c r="CU29" i="8" s="1"/>
  <c r="CU11" i="8"/>
  <c r="CT29" i="8" s="1"/>
  <c r="CT11" i="8"/>
  <c r="CS29" i="8" s="1"/>
  <c r="CS11" i="8"/>
  <c r="CR29" i="8" s="1"/>
  <c r="CR11" i="8"/>
  <c r="CQ29" i="8" s="1"/>
  <c r="CQ11" i="8"/>
  <c r="CP29" i="8" s="1"/>
  <c r="CP11" i="8"/>
  <c r="CO29" i="8" s="1"/>
  <c r="CO11" i="8"/>
  <c r="CN29" i="8" s="1"/>
  <c r="CN11" i="8"/>
  <c r="CM29" i="8" s="1"/>
  <c r="CM11" i="8"/>
  <c r="CL29" i="8" s="1"/>
  <c r="CL11" i="8"/>
  <c r="CK29" i="8" s="1"/>
  <c r="CK11" i="8"/>
  <c r="CJ29" i="8" s="1"/>
  <c r="CJ11" i="8"/>
  <c r="CI29" i="8" s="1"/>
  <c r="CI11" i="8"/>
  <c r="CH29" i="8" s="1"/>
  <c r="CH11" i="8"/>
  <c r="CG29" i="8" s="1"/>
  <c r="CG11" i="8"/>
  <c r="CF29" i="8" s="1"/>
  <c r="CF11" i="8"/>
  <c r="CE11" i="8"/>
  <c r="CD29" i="8" s="1"/>
  <c r="CD11" i="8"/>
  <c r="CC29" i="8" s="1"/>
  <c r="CC11" i="8"/>
  <c r="CB29" i="8" s="1"/>
  <c r="CB11" i="8"/>
  <c r="CA29" i="8" s="1"/>
  <c r="CA11" i="8"/>
  <c r="BZ29" i="8" s="1"/>
  <c r="BZ11" i="8"/>
  <c r="BY29" i="8" s="1"/>
  <c r="BY11" i="8"/>
  <c r="BX29" i="8" s="1"/>
  <c r="BX11" i="8"/>
  <c r="BW29" i="8" s="1"/>
  <c r="BW11" i="8"/>
  <c r="BV29" i="8" s="1"/>
  <c r="BV11" i="8"/>
  <c r="BU29" i="8" s="1"/>
  <c r="BU11" i="8"/>
  <c r="BT29" i="8" s="1"/>
  <c r="BT11" i="8"/>
  <c r="BS29" i="8" s="1"/>
  <c r="BS11" i="8"/>
  <c r="BR29" i="8" s="1"/>
  <c r="BR11" i="8"/>
  <c r="BQ29" i="8" s="1"/>
  <c r="BQ11" i="8"/>
  <c r="BP29" i="8" s="1"/>
  <c r="BP11" i="8"/>
  <c r="BO29" i="8" s="1"/>
  <c r="BO11" i="8"/>
  <c r="BN29" i="8" s="1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29" i="8" s="1"/>
  <c r="AW11" i="8"/>
  <c r="AV11" i="8"/>
  <c r="AU11" i="8"/>
  <c r="AT29" i="8" s="1"/>
  <c r="AT11" i="8"/>
  <c r="AS11" i="8"/>
  <c r="AR11" i="8"/>
  <c r="AQ11" i="8"/>
  <c r="AP11" i="8"/>
  <c r="AO11" i="8"/>
  <c r="AN11" i="8"/>
  <c r="AM11" i="8"/>
  <c r="AL29" i="8" s="1"/>
  <c r="AL11" i="8"/>
  <c r="AK29" i="8" s="1"/>
  <c r="AK11" i="8"/>
  <c r="AJ11" i="8"/>
  <c r="AI29" i="8" s="1"/>
  <c r="AI11" i="8"/>
  <c r="AH29" i="8" s="1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C10" i="8"/>
  <c r="DE9" i="8"/>
  <c r="DD9" i="8"/>
  <c r="DC9" i="8"/>
  <c r="DB9" i="8"/>
  <c r="DA9" i="8"/>
  <c r="CZ9" i="8"/>
  <c r="CY9" i="8"/>
  <c r="CX9" i="8"/>
  <c r="CW28" i="8" s="1"/>
  <c r="CW9" i="8"/>
  <c r="CV28" i="8" s="1"/>
  <c r="CV9" i="8"/>
  <c r="CU28" i="8" s="1"/>
  <c r="CU9" i="8"/>
  <c r="CT9" i="8"/>
  <c r="CS28" i="8" s="1"/>
  <c r="CS9" i="8"/>
  <c r="CR28" i="8" s="1"/>
  <c r="CR9" i="8"/>
  <c r="CQ28" i="8" s="1"/>
  <c r="CQ9" i="8"/>
  <c r="CP28" i="8" s="1"/>
  <c r="CP9" i="8"/>
  <c r="CO28" i="8" s="1"/>
  <c r="CO9" i="8"/>
  <c r="CN28" i="8" s="1"/>
  <c r="CN9" i="8"/>
  <c r="CM28" i="8" s="1"/>
  <c r="CM9" i="8"/>
  <c r="CL28" i="8" s="1"/>
  <c r="CL9" i="8"/>
  <c r="CK28" i="8" s="1"/>
  <c r="CK9" i="8"/>
  <c r="CJ28" i="8" s="1"/>
  <c r="CJ9" i="8"/>
  <c r="CI28" i="8" s="1"/>
  <c r="CI9" i="8"/>
  <c r="CH28" i="8" s="1"/>
  <c r="CH9" i="8"/>
  <c r="CG28" i="8" s="1"/>
  <c r="CG9" i="8"/>
  <c r="CF28" i="8" s="1"/>
  <c r="CF9" i="8"/>
  <c r="CE9" i="8"/>
  <c r="CD28" i="8" s="1"/>
  <c r="CD9" i="8"/>
  <c r="CC28" i="8" s="1"/>
  <c r="CC9" i="8"/>
  <c r="CB28" i="8" s="1"/>
  <c r="CB9" i="8"/>
  <c r="CA28" i="8" s="1"/>
  <c r="CA9" i="8"/>
  <c r="BZ28" i="8" s="1"/>
  <c r="BZ9" i="8"/>
  <c r="BY28" i="8" s="1"/>
  <c r="BY9" i="8"/>
  <c r="BX28" i="8" s="1"/>
  <c r="BX9" i="8"/>
  <c r="BW28" i="8" s="1"/>
  <c r="BW9" i="8"/>
  <c r="BV28" i="8" s="1"/>
  <c r="BV9" i="8"/>
  <c r="BU28" i="8" s="1"/>
  <c r="BU9" i="8"/>
  <c r="BT28" i="8" s="1"/>
  <c r="BT9" i="8"/>
  <c r="BS28" i="8" s="1"/>
  <c r="BS9" i="8"/>
  <c r="BR28" i="8" s="1"/>
  <c r="BR9" i="8"/>
  <c r="BQ28" i="8" s="1"/>
  <c r="BQ9" i="8"/>
  <c r="BP28" i="8" s="1"/>
  <c r="BP9" i="8"/>
  <c r="BO28" i="8" s="1"/>
  <c r="BO9" i="8"/>
  <c r="BN28" i="8" s="1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28" i="8" s="1"/>
  <c r="AW9" i="8"/>
  <c r="AV9" i="8"/>
  <c r="AU9" i="8"/>
  <c r="AT28" i="8" s="1"/>
  <c r="AT9" i="8"/>
  <c r="AS9" i="8"/>
  <c r="AR9" i="8"/>
  <c r="AQ9" i="8"/>
  <c r="AP9" i="8"/>
  <c r="AO9" i="8"/>
  <c r="AN9" i="8"/>
  <c r="AM9" i="8"/>
  <c r="AL28" i="8" s="1"/>
  <c r="AL9" i="8"/>
  <c r="AK28" i="8" s="1"/>
  <c r="AK9" i="8"/>
  <c r="AJ9" i="8"/>
  <c r="AI28" i="8" s="1"/>
  <c r="AI9" i="8"/>
  <c r="AH28" i="8" s="1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C9" i="8"/>
  <c r="C8" i="8"/>
  <c r="DE7" i="8"/>
  <c r="DD7" i="8"/>
  <c r="DC7" i="8"/>
  <c r="DB7" i="8"/>
  <c r="DA7" i="8"/>
  <c r="CZ7" i="8"/>
  <c r="CY7" i="8"/>
  <c r="CX7" i="8"/>
  <c r="CW7" i="8"/>
  <c r="CV7" i="8"/>
  <c r="CU7" i="8"/>
  <c r="CT7" i="8"/>
  <c r="CS7" i="8"/>
  <c r="CR7" i="8"/>
  <c r="CQ7" i="8"/>
  <c r="CP7" i="8"/>
  <c r="CO7" i="8"/>
  <c r="CN7" i="8"/>
  <c r="CM7" i="8"/>
  <c r="CL7" i="8"/>
  <c r="CK7" i="8"/>
  <c r="CJ7" i="8"/>
  <c r="CI7" i="8"/>
  <c r="CH7" i="8"/>
  <c r="CG7" i="8"/>
  <c r="CF7" i="8"/>
  <c r="CE7" i="8"/>
  <c r="CD7" i="8"/>
  <c r="CC7" i="8"/>
  <c r="CB7" i="8"/>
  <c r="CA7" i="8"/>
  <c r="BZ7" i="8"/>
  <c r="BY7" i="8"/>
  <c r="BX7" i="8"/>
  <c r="BW7" i="8"/>
  <c r="BV7" i="8"/>
  <c r="BU7" i="8"/>
  <c r="BT7" i="8"/>
  <c r="BS7" i="8"/>
  <c r="BR7" i="8"/>
  <c r="BQ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C7" i="8"/>
  <c r="C6" i="8"/>
  <c r="DE5" i="8"/>
  <c r="DD5" i="8"/>
  <c r="DC5" i="8"/>
  <c r="DB5" i="8"/>
  <c r="DA5" i="8"/>
  <c r="CZ5" i="8"/>
  <c r="CY5" i="8"/>
  <c r="CX5" i="8"/>
  <c r="CW25" i="8" s="1"/>
  <c r="CW5" i="8"/>
  <c r="CV5" i="8"/>
  <c r="CU5" i="8"/>
  <c r="CT5" i="8"/>
  <c r="CS5" i="8"/>
  <c r="CR25" i="8" s="1"/>
  <c r="CR5" i="8"/>
  <c r="CQ25" i="8" s="1"/>
  <c r="CQ5" i="8"/>
  <c r="CP5" i="8"/>
  <c r="CO25" i="8" s="1"/>
  <c r="CO5" i="8"/>
  <c r="CN5" i="8"/>
  <c r="CM5" i="8"/>
  <c r="CL5" i="8"/>
  <c r="CK25" i="8" s="1"/>
  <c r="CK5" i="8"/>
  <c r="CJ25" i="8" s="1"/>
  <c r="CJ5" i="8"/>
  <c r="CI25" i="8" s="1"/>
  <c r="CI5" i="8"/>
  <c r="CH5" i="8"/>
  <c r="CG25" i="8" s="1"/>
  <c r="CG5" i="8"/>
  <c r="CF5" i="8"/>
  <c r="CE5" i="8"/>
  <c r="CD5" i="8"/>
  <c r="CC25" i="8" s="1"/>
  <c r="CC5" i="8"/>
  <c r="CB25" i="8" s="1"/>
  <c r="CB5" i="8"/>
  <c r="CA25" i="8" s="1"/>
  <c r="CA5" i="8"/>
  <c r="BZ5" i="8"/>
  <c r="BY25" i="8" s="1"/>
  <c r="BY5" i="8"/>
  <c r="BX5" i="8"/>
  <c r="BW5" i="8"/>
  <c r="BV5" i="8"/>
  <c r="BU25" i="8" s="1"/>
  <c r="BU5" i="8"/>
  <c r="BT25" i="8" s="1"/>
  <c r="BT5" i="8"/>
  <c r="BS25" i="8" s="1"/>
  <c r="BS5" i="8"/>
  <c r="BR5" i="8"/>
  <c r="BQ25" i="8" s="1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25" i="8" s="1"/>
  <c r="AW5" i="8"/>
  <c r="AV5" i="8"/>
  <c r="AU5" i="8"/>
  <c r="AT25" i="8" s="1"/>
  <c r="AT5" i="8"/>
  <c r="AS5" i="8"/>
  <c r="AR5" i="8"/>
  <c r="AQ5" i="8"/>
  <c r="AP5" i="8"/>
  <c r="AO5" i="8"/>
  <c r="AN5" i="8"/>
  <c r="AM5" i="8"/>
  <c r="AL25" i="8" s="1"/>
  <c r="AL5" i="8"/>
  <c r="AK25" i="8" s="1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DE3" i="8"/>
  <c r="DD3" i="8"/>
  <c r="DC3" i="8"/>
  <c r="DB3" i="8"/>
  <c r="DA3" i="8"/>
  <c r="CY3" i="8"/>
  <c r="CV3" i="8"/>
  <c r="CU24" i="8" s="1"/>
  <c r="CU3" i="8"/>
  <c r="CT24" i="8" s="1"/>
  <c r="CT3" i="8"/>
  <c r="CS3" i="8"/>
  <c r="CR24" i="8" s="1"/>
  <c r="CQ3" i="8"/>
  <c r="CP24" i="8" s="1"/>
  <c r="CP3" i="8"/>
  <c r="CO3" i="8"/>
  <c r="CN3" i="8"/>
  <c r="CM24" i="8" s="1"/>
  <c r="CM3" i="8"/>
  <c r="CL24" i="8" s="1"/>
  <c r="CL3" i="8"/>
  <c r="CK3" i="8"/>
  <c r="CJ24" i="8" s="1"/>
  <c r="CJ3" i="8"/>
  <c r="CI3" i="8"/>
  <c r="CH24" i="8" s="1"/>
  <c r="CH3" i="8"/>
  <c r="CG3" i="8"/>
  <c r="CF3" i="8"/>
  <c r="CE3" i="8"/>
  <c r="CD24" i="8" s="1"/>
  <c r="CD3" i="8"/>
  <c r="CC3" i="8"/>
  <c r="CB24" i="8" s="1"/>
  <c r="CB3" i="8"/>
  <c r="CA3" i="8"/>
  <c r="BZ3" i="8"/>
  <c r="BY24" i="8" s="1"/>
  <c r="BY3" i="8"/>
  <c r="BX3" i="8"/>
  <c r="BW24" i="8" s="1"/>
  <c r="BW3" i="8"/>
  <c r="BV3" i="8"/>
  <c r="BU3" i="8"/>
  <c r="BT24" i="8" s="1"/>
  <c r="BT3" i="8"/>
  <c r="BS3" i="8"/>
  <c r="BR3" i="8"/>
  <c r="BQ3" i="8"/>
  <c r="BP3" i="8"/>
  <c r="BO24" i="8" s="1"/>
  <c r="BO3" i="8"/>
  <c r="BN24" i="8" s="1"/>
  <c r="BN3" i="8"/>
  <c r="BM3" i="8"/>
  <c r="BL3" i="8"/>
  <c r="BK3" i="8"/>
  <c r="BJ3" i="8"/>
  <c r="BI3" i="8"/>
  <c r="BH3" i="8"/>
  <c r="BD3" i="8"/>
  <c r="BC3" i="8"/>
  <c r="BB3" i="8"/>
  <c r="BA3" i="8"/>
  <c r="AZ3" i="8"/>
  <c r="AY3" i="8"/>
  <c r="AX24" i="8" s="1"/>
  <c r="AX3" i="8"/>
  <c r="AW3" i="8"/>
  <c r="AV24" i="8" s="1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24" i="8" s="1"/>
  <c r="AI3" i="8"/>
  <c r="AH24" i="8" s="1"/>
  <c r="AG3" i="8"/>
  <c r="AF3" i="8"/>
  <c r="AE3" i="8"/>
  <c r="AD3" i="8"/>
  <c r="AC3" i="8"/>
  <c r="AB3" i="8"/>
  <c r="AA3" i="8"/>
  <c r="Z3" i="8"/>
  <c r="Y24" i="8" s="1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I15" i="6"/>
  <c r="CV15" i="6"/>
  <c r="CQ3" i="6"/>
  <c r="CP24" i="6" s="1"/>
  <c r="CV3" i="6"/>
  <c r="CU24" i="6" s="1"/>
  <c r="CL3" i="6"/>
  <c r="CK24" i="6" s="1"/>
  <c r="G10" i="7"/>
  <c r="G9" i="7"/>
  <c r="CI3" i="6"/>
  <c r="AF3" i="6"/>
  <c r="AG3" i="6"/>
  <c r="CK3" i="6"/>
  <c r="CJ24" i="6"/>
  <c r="BZ3" i="6"/>
  <c r="BN3" i="6"/>
  <c r="CN24" i="6"/>
  <c r="CO24" i="6"/>
  <c r="CQ24" i="6"/>
  <c r="CR24" i="6"/>
  <c r="CP26" i="6"/>
  <c r="CR26" i="6"/>
  <c r="CW26" i="6"/>
  <c r="CL28" i="6"/>
  <c r="CM28" i="6"/>
  <c r="CN28" i="6"/>
  <c r="CO28" i="6"/>
  <c r="CS28" i="6"/>
  <c r="CW28" i="6"/>
  <c r="CO29" i="6"/>
  <c r="CW29" i="6"/>
  <c r="CJ3" i="6"/>
  <c r="CM3" i="6"/>
  <c r="CL24" i="6" s="1"/>
  <c r="CN3" i="6"/>
  <c r="CM24" i="6" s="1"/>
  <c r="CO3" i="6"/>
  <c r="CP3" i="6"/>
  <c r="CR3" i="6"/>
  <c r="CS3" i="6"/>
  <c r="CT3" i="6"/>
  <c r="CS24" i="6" s="1"/>
  <c r="CU3" i="6"/>
  <c r="CT24" i="6" s="1"/>
  <c r="CW3" i="6"/>
  <c r="CV24" i="6" s="1"/>
  <c r="CX3" i="6"/>
  <c r="CW24" i="6" s="1"/>
  <c r="CY3" i="6"/>
  <c r="CZ3" i="6"/>
  <c r="DA3" i="6"/>
  <c r="DB3" i="6"/>
  <c r="DC3" i="6"/>
  <c r="DD3" i="6"/>
  <c r="DE3" i="6"/>
  <c r="CM7" i="6"/>
  <c r="CO5" i="6"/>
  <c r="CN25" i="6" s="1"/>
  <c r="CP5" i="6"/>
  <c r="CO25" i="6" s="1"/>
  <c r="CN5" i="6"/>
  <c r="CM25" i="6" s="1"/>
  <c r="CM5" i="6"/>
  <c r="CL5" i="6"/>
  <c r="CQ5" i="6"/>
  <c r="CR5" i="6"/>
  <c r="CQ25" i="6" s="1"/>
  <c r="CS5" i="6"/>
  <c r="CT5" i="6"/>
  <c r="CS25" i="6" s="1"/>
  <c r="CU5" i="6"/>
  <c r="CV5" i="6"/>
  <c r="CU25" i="6" s="1"/>
  <c r="CW5" i="6"/>
  <c r="CX5" i="6"/>
  <c r="CY5" i="6"/>
  <c r="CZ5" i="6"/>
  <c r="DA5" i="6"/>
  <c r="DB5" i="6"/>
  <c r="DC5" i="6"/>
  <c r="DD5" i="6"/>
  <c r="DE5" i="6"/>
  <c r="CL7" i="6"/>
  <c r="CN7" i="6"/>
  <c r="CO7" i="6"/>
  <c r="CP7" i="6"/>
  <c r="CQ7" i="6"/>
  <c r="CR7" i="6"/>
  <c r="CS7" i="6"/>
  <c r="CT7" i="6"/>
  <c r="CU7" i="6"/>
  <c r="CV7" i="6"/>
  <c r="CW7" i="6"/>
  <c r="CX7" i="6"/>
  <c r="CY7" i="6"/>
  <c r="CZ7" i="6"/>
  <c r="DA7" i="6"/>
  <c r="DB7" i="6"/>
  <c r="DC7" i="6"/>
  <c r="DD7" i="6"/>
  <c r="DE7" i="6"/>
  <c r="CL9" i="6"/>
  <c r="CK28" i="6" s="1"/>
  <c r="CM9" i="6"/>
  <c r="CN9" i="6"/>
  <c r="CO9" i="6"/>
  <c r="CP9" i="6"/>
  <c r="CQ9" i="6"/>
  <c r="CP28" i="6" s="1"/>
  <c r="CR9" i="6"/>
  <c r="CQ28" i="6" s="1"/>
  <c r="CS9" i="6"/>
  <c r="CR28" i="6" s="1"/>
  <c r="CT9" i="6"/>
  <c r="CU9" i="6"/>
  <c r="CT28" i="6" s="1"/>
  <c r="CV9" i="6"/>
  <c r="CU28" i="6" s="1"/>
  <c r="CW9" i="6"/>
  <c r="CV28" i="6" s="1"/>
  <c r="CX9" i="6"/>
  <c r="CY9" i="6"/>
  <c r="CZ9" i="6"/>
  <c r="DA9" i="6"/>
  <c r="DB9" i="6"/>
  <c r="DC9" i="6"/>
  <c r="DD9" i="6"/>
  <c r="DE9" i="6"/>
  <c r="CL11" i="6"/>
  <c r="CK29" i="6" s="1"/>
  <c r="CM11" i="6"/>
  <c r="CL29" i="6" s="1"/>
  <c r="CN11" i="6"/>
  <c r="CM29" i="6" s="1"/>
  <c r="CO11" i="6"/>
  <c r="CN29" i="6" s="1"/>
  <c r="CP11" i="6"/>
  <c r="CQ11" i="6"/>
  <c r="CP29" i="6" s="1"/>
  <c r="CR11" i="6"/>
  <c r="CQ29" i="6" s="1"/>
  <c r="CS11" i="6"/>
  <c r="CR29" i="6" s="1"/>
  <c r="CT11" i="6"/>
  <c r="CS29" i="6" s="1"/>
  <c r="CU11" i="6"/>
  <c r="CT29" i="6" s="1"/>
  <c r="CV11" i="6"/>
  <c r="CU29" i="6" s="1"/>
  <c r="CW11" i="6"/>
  <c r="CV29" i="6" s="1"/>
  <c r="CX11" i="6"/>
  <c r="CY11" i="6"/>
  <c r="CZ11" i="6"/>
  <c r="DA11" i="6"/>
  <c r="DB11" i="6"/>
  <c r="DC11" i="6"/>
  <c r="DD11" i="6"/>
  <c r="DE11" i="6"/>
  <c r="CL15" i="6"/>
  <c r="CK26" i="6" s="1"/>
  <c r="CM15" i="6"/>
  <c r="CL26" i="6" s="1"/>
  <c r="CN15" i="6"/>
  <c r="CM26" i="6" s="1"/>
  <c r="CO15" i="6"/>
  <c r="CN26" i="6" s="1"/>
  <c r="CP15" i="6"/>
  <c r="CO26" i="6" s="1"/>
  <c r="CQ15" i="6"/>
  <c r="CR15" i="6"/>
  <c r="CQ26" i="6" s="1"/>
  <c r="CS15" i="6"/>
  <c r="CT15" i="6"/>
  <c r="CS26" i="6" s="1"/>
  <c r="CU15" i="6"/>
  <c r="CT26" i="6" s="1"/>
  <c r="CU26" i="6"/>
  <c r="CW15" i="6"/>
  <c r="CV26" i="6" s="1"/>
  <c r="CX15" i="6"/>
  <c r="CY15" i="6"/>
  <c r="CZ15" i="6"/>
  <c r="DA15" i="6"/>
  <c r="DB15" i="6"/>
  <c r="DC15" i="6"/>
  <c r="DD15" i="6"/>
  <c r="DE15" i="6"/>
  <c r="N15" i="8" l="1"/>
  <c r="V15" i="8"/>
  <c r="AD15" i="8"/>
  <c r="AL15" i="8"/>
  <c r="AK26" i="8" s="1"/>
  <c r="AT15" i="8"/>
  <c r="BB15" i="8"/>
  <c r="BJ15" i="8"/>
  <c r="BR15" i="8"/>
  <c r="BQ26" i="8" s="1"/>
  <c r="BZ15" i="8"/>
  <c r="BY26" i="8" s="1"/>
  <c r="CH15" i="8"/>
  <c r="CG26" i="8" s="1"/>
  <c r="CP15" i="8"/>
  <c r="CO26" i="8" s="1"/>
  <c r="CX15" i="8"/>
  <c r="CW26" i="8" s="1"/>
  <c r="DF15" i="8"/>
  <c r="P15" i="8"/>
  <c r="AF15" i="8"/>
  <c r="AV15" i="8"/>
  <c r="BL15" i="8"/>
  <c r="CB15" i="8"/>
  <c r="CA26" i="8" s="1"/>
  <c r="CR15" i="8"/>
  <c r="CQ26" i="8" s="1"/>
  <c r="DH15" i="8"/>
  <c r="O15" i="8"/>
  <c r="W15" i="8"/>
  <c r="AE15" i="8"/>
  <c r="AM15" i="8"/>
  <c r="AL26" i="8" s="1"/>
  <c r="AU15" i="8"/>
  <c r="AT26" i="8" s="1"/>
  <c r="BC15" i="8"/>
  <c r="BK15" i="8"/>
  <c r="BS15" i="8"/>
  <c r="BR26" i="8" s="1"/>
  <c r="CA15" i="8"/>
  <c r="BZ26" i="8" s="1"/>
  <c r="CI15" i="8"/>
  <c r="CH26" i="8" s="1"/>
  <c r="CQ15" i="8"/>
  <c r="CP26" i="8" s="1"/>
  <c r="CY15" i="8"/>
  <c r="DG15" i="8"/>
  <c r="X15" i="8"/>
  <c r="AN15" i="8"/>
  <c r="BD15" i="8"/>
  <c r="BD20" i="8" s="1"/>
  <c r="BD21" i="8" s="1"/>
  <c r="BT15" i="8"/>
  <c r="BS26" i="8" s="1"/>
  <c r="CJ15" i="8"/>
  <c r="CI26" i="8" s="1"/>
  <c r="CZ15" i="8"/>
  <c r="DB13" i="8"/>
  <c r="DB20" i="8" s="1"/>
  <c r="DB21" i="8" s="1"/>
  <c r="CU13" i="8"/>
  <c r="CT27" i="8" s="1"/>
  <c r="CG13" i="8"/>
  <c r="CF27" i="8" s="1"/>
  <c r="BT13" i="8"/>
  <c r="BS27" i="8" s="1"/>
  <c r="BH13" i="8"/>
  <c r="BH20" i="8" s="1"/>
  <c r="BH21" i="8" s="1"/>
  <c r="AU13" i="8"/>
  <c r="AT27" i="8" s="1"/>
  <c r="AI13" i="8"/>
  <c r="AH27" i="8" s="1"/>
  <c r="U13" i="8"/>
  <c r="H13" i="8"/>
  <c r="DD13" i="8"/>
  <c r="CQ13" i="8"/>
  <c r="CP27" i="8" s="1"/>
  <c r="BQ13" i="8"/>
  <c r="BP27" i="8" s="1"/>
  <c r="AR13" i="8"/>
  <c r="S13" i="8"/>
  <c r="DE13" i="8"/>
  <c r="CR13" i="8"/>
  <c r="CQ27" i="8" s="1"/>
  <c r="CF13" i="8"/>
  <c r="BS13" i="8"/>
  <c r="BR27" i="8" s="1"/>
  <c r="BG13" i="8"/>
  <c r="AS13" i="8"/>
  <c r="AS20" i="8" s="1"/>
  <c r="AS21" i="8" s="1"/>
  <c r="AF13" i="8"/>
  <c r="T13" i="8"/>
  <c r="T20" i="8" s="1"/>
  <c r="T21" i="8" s="1"/>
  <c r="CE13" i="8"/>
  <c r="CD27" i="8" s="1"/>
  <c r="BD13" i="8"/>
  <c r="AE13" i="8"/>
  <c r="CY17" i="8"/>
  <c r="CQ17" i="8"/>
  <c r="CP30" i="8" s="1"/>
  <c r="CA17" i="8"/>
  <c r="BZ30" i="8" s="1"/>
  <c r="BL17" i="8"/>
  <c r="AZ17" i="8"/>
  <c r="AL17" i="8"/>
  <c r="AK30" i="8" s="1"/>
  <c r="Y17" i="8"/>
  <c r="M17" i="8"/>
  <c r="CN17" i="8"/>
  <c r="CM30" i="8" s="1"/>
  <c r="BI17" i="8"/>
  <c r="AJ17" i="8"/>
  <c r="AI30" i="8" s="1"/>
  <c r="I17" i="8"/>
  <c r="CP17" i="8"/>
  <c r="CO30" i="8" s="1"/>
  <c r="BZ17" i="8"/>
  <c r="BY30" i="8" s="1"/>
  <c r="BJ17" i="8"/>
  <c r="AW17" i="8"/>
  <c r="AK17" i="8"/>
  <c r="AK20" i="8" s="1"/>
  <c r="AK21" i="8" s="1"/>
  <c r="X17" i="8"/>
  <c r="L17" i="8"/>
  <c r="L20" i="8" s="1"/>
  <c r="L21" i="8" s="1"/>
  <c r="BV17" i="8"/>
  <c r="BU30" i="8" s="1"/>
  <c r="AV17" i="8"/>
  <c r="V17" i="8"/>
  <c r="L13" i="8"/>
  <c r="BW13" i="8"/>
  <c r="BV27" i="8" s="1"/>
  <c r="AR17" i="8"/>
  <c r="CJ17" i="8"/>
  <c r="CI30" i="8" s="1"/>
  <c r="CS15" i="8"/>
  <c r="CR26" i="8" s="1"/>
  <c r="BQ15" i="8"/>
  <c r="BP26" i="8" s="1"/>
  <c r="S15" i="8"/>
  <c r="M13" i="8"/>
  <c r="BA13" i="8"/>
  <c r="AS17" i="8"/>
  <c r="CK17" i="8"/>
  <c r="CJ30" i="8" s="1"/>
  <c r="DC15" i="8"/>
  <c r="CD15" i="8"/>
  <c r="CC26" i="8" s="1"/>
  <c r="BE15" i="8"/>
  <c r="AC15" i="8"/>
  <c r="AC20" i="8" s="1"/>
  <c r="AC21" i="8" s="1"/>
  <c r="O13" i="8"/>
  <c r="BC13" i="8"/>
  <c r="CV13" i="8"/>
  <c r="CU27" i="8" s="1"/>
  <c r="AC17" i="8"/>
  <c r="BR17" i="8"/>
  <c r="BQ30" i="8" s="1"/>
  <c r="DB15" i="8"/>
  <c r="CC15" i="8"/>
  <c r="CB26" i="8" s="1"/>
  <c r="BO15" i="8"/>
  <c r="BN26" i="8" s="1"/>
  <c r="BA15" i="8"/>
  <c r="BA20" i="8" s="1"/>
  <c r="BA21" i="8" s="1"/>
  <c r="AP15" i="8"/>
  <c r="Q15" i="8"/>
  <c r="DR20" i="9"/>
  <c r="DR21" i="9" s="1"/>
  <c r="P13" i="8"/>
  <c r="BI13" i="8"/>
  <c r="CW13" i="8"/>
  <c r="CV27" i="8" s="1"/>
  <c r="AD17" i="8"/>
  <c r="BS17" i="8"/>
  <c r="BR30" i="8" s="1"/>
  <c r="DA15" i="8"/>
  <c r="BY15" i="8"/>
  <c r="BX26" i="8" s="1"/>
  <c r="BN15" i="8"/>
  <c r="AZ15" i="8"/>
  <c r="AA15" i="8"/>
  <c r="M15" i="8"/>
  <c r="M20" i="8" s="1"/>
  <c r="M21" i="8" s="1"/>
  <c r="FA20" i="9"/>
  <c r="FA21" i="9" s="1"/>
  <c r="EB20" i="9"/>
  <c r="EB21" i="9" s="1"/>
  <c r="FE20" i="9"/>
  <c r="FE21" i="9" s="1"/>
  <c r="AN13" i="8"/>
  <c r="AN20" i="8" s="1"/>
  <c r="AN21" i="8" s="1"/>
  <c r="CB13" i="8"/>
  <c r="CA27" i="8" s="1"/>
  <c r="N17" i="8"/>
  <c r="BB17" i="8"/>
  <c r="CX17" i="8"/>
  <c r="CW30" i="8" s="1"/>
  <c r="H15" i="8"/>
  <c r="H20" i="8" s="1"/>
  <c r="H21" i="8" s="1"/>
  <c r="CL15" i="8"/>
  <c r="CK26" i="8" s="1"/>
  <c r="BM15" i="8"/>
  <c r="AY15" i="8"/>
  <c r="AK15" i="8"/>
  <c r="L15" i="8"/>
  <c r="AF20" i="9"/>
  <c r="AF21" i="9" s="1"/>
  <c r="AE31" i="9" s="1"/>
  <c r="ES20" i="9"/>
  <c r="ES21" i="9" s="1"/>
  <c r="DT20" i="9"/>
  <c r="DT21" i="9" s="1"/>
  <c r="EO20" i="9"/>
  <c r="EO21" i="9" s="1"/>
  <c r="DN20" i="9"/>
  <c r="DN21" i="9" s="1"/>
  <c r="X13" i="8"/>
  <c r="X20" i="8" s="1"/>
  <c r="X21" i="8" s="1"/>
  <c r="BL13" i="8"/>
  <c r="BL20" i="8" s="1"/>
  <c r="BL21" i="8" s="1"/>
  <c r="CZ13" i="8"/>
  <c r="AG17" i="8"/>
  <c r="H17" i="8"/>
  <c r="CK15" i="8"/>
  <c r="CJ26" i="8" s="1"/>
  <c r="BI15" i="8"/>
  <c r="BI20" i="8" s="1"/>
  <c r="BI21" i="8" s="1"/>
  <c r="AJ15" i="8"/>
  <c r="AI26" i="8" s="1"/>
  <c r="K15" i="8"/>
  <c r="S20" i="9"/>
  <c r="S21" i="9" s="1"/>
  <c r="AC20" i="9"/>
  <c r="AC21" i="9" s="1"/>
  <c r="AA13" i="8"/>
  <c r="AA20" i="8" s="1"/>
  <c r="AA21" i="8" s="1"/>
  <c r="AV13" i="8"/>
  <c r="BO13" i="8"/>
  <c r="BN27" i="8" s="1"/>
  <c r="CJ13" i="8"/>
  <c r="CI27" i="8" s="1"/>
  <c r="DC13" i="8"/>
  <c r="Q17" i="8"/>
  <c r="AN17" i="8"/>
  <c r="BE17" i="8"/>
  <c r="CF17" i="8"/>
  <c r="DA17" i="8"/>
  <c r="P35" i="8"/>
  <c r="R35" i="8" s="1"/>
  <c r="DI15" i="8"/>
  <c r="CU15" i="8"/>
  <c r="CT26" i="8" s="1"/>
  <c r="CG15" i="8"/>
  <c r="CF26" i="8" s="1"/>
  <c r="BV15" i="8"/>
  <c r="BU26" i="8" s="1"/>
  <c r="BH15" i="8"/>
  <c r="AW15" i="8"/>
  <c r="AI15" i="8"/>
  <c r="AH26" i="8" s="1"/>
  <c r="U15" i="8"/>
  <c r="U20" i="8" s="1"/>
  <c r="U21" i="8" s="1"/>
  <c r="J15" i="8"/>
  <c r="AC13" i="8"/>
  <c r="AZ13" i="8"/>
  <c r="AZ20" i="8" s="1"/>
  <c r="AZ21" i="8" s="1"/>
  <c r="CN13" i="8"/>
  <c r="CM27" i="8" s="1"/>
  <c r="U17" i="8"/>
  <c r="BM17" i="8"/>
  <c r="DD15" i="8"/>
  <c r="CE15" i="8"/>
  <c r="CD26" i="8" s="1"/>
  <c r="BF15" i="8"/>
  <c r="AR15" i="8"/>
  <c r="AG15" i="8"/>
  <c r="AJ13" i="8"/>
  <c r="AI27" i="8" s="1"/>
  <c r="BX13" i="8"/>
  <c r="BW27" i="8" s="1"/>
  <c r="CO13" i="8"/>
  <c r="CN27" i="8" s="1"/>
  <c r="AB17" i="8"/>
  <c r="BQ17" i="8"/>
  <c r="BP30" i="8" s="1"/>
  <c r="CO15" i="8"/>
  <c r="CN26" i="8" s="1"/>
  <c r="BP15" i="8"/>
  <c r="BO26" i="8" s="1"/>
  <c r="AQ15" i="8"/>
  <c r="R15" i="8"/>
  <c r="DX20" i="9"/>
  <c r="DX21" i="9" s="1"/>
  <c r="AV20" i="8"/>
  <c r="AV21" i="8" s="1"/>
  <c r="AU31" i="8" s="1"/>
  <c r="AK13" i="8"/>
  <c r="BY13" i="8"/>
  <c r="BX27" i="8" s="1"/>
  <c r="AT17" i="8"/>
  <c r="CV17" i="8"/>
  <c r="CU30" i="8" s="1"/>
  <c r="CN15" i="8"/>
  <c r="CM26" i="8" s="1"/>
  <c r="AB15" i="8"/>
  <c r="AB20" i="8" s="1"/>
  <c r="AB21" i="8" s="1"/>
  <c r="EJ20" i="9"/>
  <c r="EJ21" i="9" s="1"/>
  <c r="DH20" i="9"/>
  <c r="DH21" i="9" s="1"/>
  <c r="ED20" i="9"/>
  <c r="ED21" i="9" s="1"/>
  <c r="AM13" i="8"/>
  <c r="AL27" i="8" s="1"/>
  <c r="CA13" i="8"/>
  <c r="BZ27" i="8" s="1"/>
  <c r="BA17" i="8"/>
  <c r="CW17" i="8"/>
  <c r="CV30" i="8" s="1"/>
  <c r="CM15" i="8"/>
  <c r="CL26" i="8" s="1"/>
  <c r="AO15" i="8"/>
  <c r="CY20" i="9"/>
  <c r="CY21" i="9" s="1"/>
  <c r="DV20" i="9"/>
  <c r="DV21" i="9" s="1"/>
  <c r="W13" i="8"/>
  <c r="BK13" i="8"/>
  <c r="CY13" i="8"/>
  <c r="AF17" i="8"/>
  <c r="AF20" i="8" s="1"/>
  <c r="AF21" i="8" s="1"/>
  <c r="AE31" i="8" s="1"/>
  <c r="BU17" i="8"/>
  <c r="BT30" i="8" s="1"/>
  <c r="CW15" i="8"/>
  <c r="CV26" i="8" s="1"/>
  <c r="BX15" i="8"/>
  <c r="BW26" i="8" s="1"/>
  <c r="Z15" i="8"/>
  <c r="DP20" i="9"/>
  <c r="DP21" i="9" s="1"/>
  <c r="AQ13" i="8"/>
  <c r="CI13" i="8"/>
  <c r="CH27" i="8" s="1"/>
  <c r="P17" i="8"/>
  <c r="P20" i="8" s="1"/>
  <c r="P21" i="8" s="1"/>
  <c r="BD17" i="8"/>
  <c r="CB17" i="8"/>
  <c r="CA30" i="8" s="1"/>
  <c r="CZ17" i="8"/>
  <c r="CV15" i="8"/>
  <c r="CU26" i="8" s="1"/>
  <c r="BW15" i="8"/>
  <c r="BV26" i="8" s="1"/>
  <c r="AX15" i="8"/>
  <c r="AW26" i="8" s="1"/>
  <c r="Y15" i="8"/>
  <c r="AO20" i="9"/>
  <c r="AO21" i="9" s="1"/>
  <c r="BF20" i="9"/>
  <c r="BF21" i="9" s="1"/>
  <c r="T20" i="9"/>
  <c r="T21" i="9" s="1"/>
  <c r="K13" i="8"/>
  <c r="AB13" i="8"/>
  <c r="AY13" i="8"/>
  <c r="AY20" i="8" s="1"/>
  <c r="AY21" i="8" s="1"/>
  <c r="AX31" i="8" s="1"/>
  <c r="BP13" i="8"/>
  <c r="BO27" i="8" s="1"/>
  <c r="CM13" i="8"/>
  <c r="CL27" i="8" s="1"/>
  <c r="T17" i="8"/>
  <c r="AO17" i="8"/>
  <c r="BH17" i="8"/>
  <c r="CG17" i="8"/>
  <c r="CF30" i="8" s="1"/>
  <c r="DE15" i="8"/>
  <c r="CT15" i="8"/>
  <c r="CS26" i="8" s="1"/>
  <c r="CF15" i="8"/>
  <c r="CF20" i="8" s="1"/>
  <c r="CF21" i="8" s="1"/>
  <c r="BU15" i="8"/>
  <c r="BT26" i="8" s="1"/>
  <c r="BG15" i="8"/>
  <c r="AS15" i="8"/>
  <c r="AH15" i="8"/>
  <c r="T15" i="8"/>
  <c r="I15" i="8"/>
  <c r="DY20" i="9"/>
  <c r="DY21" i="9" s="1"/>
  <c r="DF20" i="9"/>
  <c r="DF21" i="9" s="1"/>
  <c r="P38" i="8"/>
  <c r="R38" i="8" s="1"/>
  <c r="P42" i="8"/>
  <c r="R42" i="8" s="1"/>
  <c r="P46" i="8"/>
  <c r="R46" i="8" s="1"/>
  <c r="P83" i="8"/>
  <c r="R83" i="8" s="1"/>
  <c r="M20" i="9"/>
  <c r="M21" i="9" s="1"/>
  <c r="AN20" i="9"/>
  <c r="AN21" i="9" s="1"/>
  <c r="Y20" i="9"/>
  <c r="Y21" i="9" s="1"/>
  <c r="BN20" i="9"/>
  <c r="BN21" i="9" s="1"/>
  <c r="DD20" i="9"/>
  <c r="DD21" i="9" s="1"/>
  <c r="DI20" i="9"/>
  <c r="DI21" i="9" s="1"/>
  <c r="DG20" i="9"/>
  <c r="DG21" i="9" s="1"/>
  <c r="EY20" i="9"/>
  <c r="EY21" i="9" s="1"/>
  <c r="DJ20" i="9"/>
  <c r="DJ21" i="9" s="1"/>
  <c r="EE20" i="9"/>
  <c r="EE21" i="9" s="1"/>
  <c r="DE20" i="9"/>
  <c r="DE21" i="9" s="1"/>
  <c r="DL20" i="9"/>
  <c r="DL21" i="9" s="1"/>
  <c r="DW20" i="9"/>
  <c r="DW21" i="9" s="1"/>
  <c r="FC20" i="9"/>
  <c r="FC21" i="9" s="1"/>
  <c r="P36" i="8"/>
  <c r="R36" i="8" s="1"/>
  <c r="P48" i="8"/>
  <c r="R48" i="8" s="1"/>
  <c r="BB20" i="9"/>
  <c r="BB21" i="9" s="1"/>
  <c r="O20" i="9"/>
  <c r="O21" i="9" s="1"/>
  <c r="AZ20" i="9"/>
  <c r="AZ21" i="9" s="1"/>
  <c r="EQ20" i="9"/>
  <c r="EQ21" i="9" s="1"/>
  <c r="FD20" i="9"/>
  <c r="FD21" i="9" s="1"/>
  <c r="FB20" i="9"/>
  <c r="FB21" i="9" s="1"/>
  <c r="EI20" i="9"/>
  <c r="EI21" i="9" s="1"/>
  <c r="EW20" i="9"/>
  <c r="EW21" i="9" s="1"/>
  <c r="DO20" i="9"/>
  <c r="DO21" i="9" s="1"/>
  <c r="AD20" i="9"/>
  <c r="AD21" i="9" s="1"/>
  <c r="R20" i="9"/>
  <c r="R21" i="9" s="1"/>
  <c r="CD20" i="9"/>
  <c r="CD21" i="9" s="1"/>
  <c r="CC31" i="9" s="1"/>
  <c r="CS20" i="9"/>
  <c r="CS21" i="9" s="1"/>
  <c r="CR31" i="9" s="1"/>
  <c r="CF20" i="9"/>
  <c r="CF21" i="9" s="1"/>
  <c r="AE20" i="9"/>
  <c r="AE21" i="9" s="1"/>
  <c r="BC20" i="9"/>
  <c r="BC21" i="9" s="1"/>
  <c r="N20" i="9"/>
  <c r="N21" i="9" s="1"/>
  <c r="AW20" i="9"/>
  <c r="AW21" i="9" s="1"/>
  <c r="AV31" i="9" s="1"/>
  <c r="Z20" i="9"/>
  <c r="Z21" i="9" s="1"/>
  <c r="Y31" i="9" s="1"/>
  <c r="CX20" i="9"/>
  <c r="CX21" i="9" s="1"/>
  <c r="CW31" i="9" s="1"/>
  <c r="AM20" i="9"/>
  <c r="AM21" i="9" s="1"/>
  <c r="AL31" i="9" s="1"/>
  <c r="AS20" i="9"/>
  <c r="AS21" i="9" s="1"/>
  <c r="BM20" i="9"/>
  <c r="BM21" i="9" s="1"/>
  <c r="CP20" i="9"/>
  <c r="CP21" i="9" s="1"/>
  <c r="CO31" i="9" s="1"/>
  <c r="AT20" i="9"/>
  <c r="AT21" i="9" s="1"/>
  <c r="H20" i="9"/>
  <c r="H21" i="9" s="1"/>
  <c r="BH20" i="9"/>
  <c r="BH21" i="9" s="1"/>
  <c r="BU20" i="9"/>
  <c r="BU21" i="9" s="1"/>
  <c r="BT31" i="9" s="1"/>
  <c r="CQ20" i="9"/>
  <c r="CQ21" i="9" s="1"/>
  <c r="CP31" i="9" s="1"/>
  <c r="Q20" i="9"/>
  <c r="Q21" i="9" s="1"/>
  <c r="AL20" i="9"/>
  <c r="AL21" i="9" s="1"/>
  <c r="AK31" i="9" s="1"/>
  <c r="AY20" i="9"/>
  <c r="AY21" i="9" s="1"/>
  <c r="AX31" i="9" s="1"/>
  <c r="BI20" i="9"/>
  <c r="BI21" i="9" s="1"/>
  <c r="AH20" i="9"/>
  <c r="AH21" i="9" s="1"/>
  <c r="AG31" i="9" s="1"/>
  <c r="I20" i="9"/>
  <c r="I21" i="9" s="1"/>
  <c r="DB20" i="9"/>
  <c r="DB21" i="9" s="1"/>
  <c r="BW20" i="9"/>
  <c r="BW21" i="9" s="1"/>
  <c r="BV31" i="9" s="1"/>
  <c r="K20" i="9"/>
  <c r="K21" i="9" s="1"/>
  <c r="BD20" i="9"/>
  <c r="BD21" i="9" s="1"/>
  <c r="AG20" i="9"/>
  <c r="AG21" i="9" s="1"/>
  <c r="BP27" i="9"/>
  <c r="BQ20" i="9"/>
  <c r="BQ21" i="9" s="1"/>
  <c r="BP31" i="9" s="1"/>
  <c r="CL20" i="9"/>
  <c r="CL21" i="9" s="1"/>
  <c r="CK31" i="9" s="1"/>
  <c r="CK27" i="9"/>
  <c r="BP20" i="9"/>
  <c r="BP21" i="9" s="1"/>
  <c r="BO31" i="9" s="1"/>
  <c r="CV27" i="9"/>
  <c r="CW20" i="9"/>
  <c r="CW21" i="9" s="1"/>
  <c r="CV31" i="9" s="1"/>
  <c r="CH20" i="9"/>
  <c r="CH21" i="9" s="1"/>
  <c r="CG31" i="9" s="1"/>
  <c r="CR20" i="9"/>
  <c r="CR21" i="9" s="1"/>
  <c r="CQ31" i="9" s="1"/>
  <c r="AR20" i="9"/>
  <c r="AR21" i="9" s="1"/>
  <c r="BR20" i="9"/>
  <c r="BR21" i="9" s="1"/>
  <c r="BQ31" i="9" s="1"/>
  <c r="BX20" i="9"/>
  <c r="BX21" i="9" s="1"/>
  <c r="BW31" i="9" s="1"/>
  <c r="CU20" i="9"/>
  <c r="CU21" i="9" s="1"/>
  <c r="CT31" i="9" s="1"/>
  <c r="CB20" i="9"/>
  <c r="CB21" i="9" s="1"/>
  <c r="CA31" i="9" s="1"/>
  <c r="CA20" i="9"/>
  <c r="CA21" i="9" s="1"/>
  <c r="BZ31" i="9" s="1"/>
  <c r="W20" i="9"/>
  <c r="W21" i="9" s="1"/>
  <c r="AK20" i="9"/>
  <c r="AK21" i="9" s="1"/>
  <c r="AB20" i="9"/>
  <c r="AB21" i="9" s="1"/>
  <c r="AA20" i="9"/>
  <c r="AA21" i="9" s="1"/>
  <c r="CL27" i="9"/>
  <c r="CM20" i="9"/>
  <c r="CM21" i="9" s="1"/>
  <c r="CL31" i="9" s="1"/>
  <c r="BZ20" i="9"/>
  <c r="BZ21" i="9" s="1"/>
  <c r="BY31" i="9" s="1"/>
  <c r="CV20" i="9"/>
  <c r="CV21" i="9" s="1"/>
  <c r="CU31" i="9" s="1"/>
  <c r="CJ27" i="9"/>
  <c r="CK20" i="9"/>
  <c r="CK21" i="9" s="1"/>
  <c r="CJ31" i="9" s="1"/>
  <c r="AP20" i="9"/>
  <c r="AP21" i="9" s="1"/>
  <c r="AI20" i="9"/>
  <c r="AI21" i="9" s="1"/>
  <c r="AH31" i="9" s="1"/>
  <c r="CM27" i="9"/>
  <c r="CN20" i="9"/>
  <c r="CN21" i="9" s="1"/>
  <c r="CM31" i="9" s="1"/>
  <c r="CI20" i="9"/>
  <c r="CI21" i="9" s="1"/>
  <c r="CH31" i="9" s="1"/>
  <c r="CO20" i="9"/>
  <c r="CO21" i="9" s="1"/>
  <c r="CN31" i="9" s="1"/>
  <c r="CC20" i="9"/>
  <c r="CC21" i="9" s="1"/>
  <c r="CB31" i="9" s="1"/>
  <c r="CT20" i="9"/>
  <c r="CT21" i="9" s="1"/>
  <c r="CS31" i="9" s="1"/>
  <c r="BT20" i="9"/>
  <c r="BT21" i="9" s="1"/>
  <c r="BS31" i="9" s="1"/>
  <c r="BU27" i="9"/>
  <c r="BV20" i="9"/>
  <c r="BV21" i="9" s="1"/>
  <c r="BU31" i="9" s="1"/>
  <c r="CG20" i="9"/>
  <c r="CG21" i="9" s="1"/>
  <c r="CF31" i="9" s="1"/>
  <c r="AX20" i="9"/>
  <c r="AX21" i="9" s="1"/>
  <c r="AW31" i="9" s="1"/>
  <c r="BO20" i="9"/>
  <c r="BO21" i="9" s="1"/>
  <c r="BN31" i="9" s="1"/>
  <c r="BR27" i="9"/>
  <c r="BS20" i="9"/>
  <c r="BS21" i="9" s="1"/>
  <c r="BR31" i="9" s="1"/>
  <c r="AJ20" i="9"/>
  <c r="AJ21" i="9" s="1"/>
  <c r="AI31" i="9" s="1"/>
  <c r="CE20" i="9"/>
  <c r="CE21" i="9" s="1"/>
  <c r="CD31" i="9" s="1"/>
  <c r="AU20" i="9"/>
  <c r="AU21" i="9" s="1"/>
  <c r="AT31" i="9" s="1"/>
  <c r="CI27" i="9"/>
  <c r="CJ20" i="9"/>
  <c r="CJ21" i="9" s="1"/>
  <c r="CI31" i="9" s="1"/>
  <c r="AQ20" i="9"/>
  <c r="AQ21" i="9" s="1"/>
  <c r="DC20" i="9"/>
  <c r="DC21" i="9" s="1"/>
  <c r="BY20" i="9"/>
  <c r="BY21" i="9" s="1"/>
  <c r="BX31" i="9" s="1"/>
  <c r="CZ20" i="8"/>
  <c r="V20" i="8"/>
  <c r="V21" i="8" s="1"/>
  <c r="AD20" i="8"/>
  <c r="AD21" i="8" s="1"/>
  <c r="CI24" i="8"/>
  <c r="BV24" i="8"/>
  <c r="AK24" i="8"/>
  <c r="BN25" i="8"/>
  <c r="BV25" i="8"/>
  <c r="BW20" i="8"/>
  <c r="BW21" i="8" s="1"/>
  <c r="BV31" i="8" s="1"/>
  <c r="CD25" i="8"/>
  <c r="CL25" i="8"/>
  <c r="CT25" i="8"/>
  <c r="N13" i="8"/>
  <c r="N20" i="8" s="1"/>
  <c r="N21" i="8" s="1"/>
  <c r="V13" i="8"/>
  <c r="AD13" i="8"/>
  <c r="AL13" i="8"/>
  <c r="AK27" i="8" s="1"/>
  <c r="AT13" i="8"/>
  <c r="AT20" i="8" s="1"/>
  <c r="AT21" i="8" s="1"/>
  <c r="BB13" i="8"/>
  <c r="BJ13" i="8"/>
  <c r="BJ20" i="8" s="1"/>
  <c r="BJ21" i="8" s="1"/>
  <c r="BR13" i="8"/>
  <c r="BQ27" i="8" s="1"/>
  <c r="BZ13" i="8"/>
  <c r="BY27" i="8" s="1"/>
  <c r="CH13" i="8"/>
  <c r="CG27" i="8" s="1"/>
  <c r="CP13" i="8"/>
  <c r="CO27" i="8" s="1"/>
  <c r="CX13" i="8"/>
  <c r="CW27" i="8" s="1"/>
  <c r="O17" i="8"/>
  <c r="O20" i="8" s="1"/>
  <c r="O21" i="8" s="1"/>
  <c r="W17" i="8"/>
  <c r="AE17" i="8"/>
  <c r="AM17" i="8"/>
  <c r="AL30" i="8" s="1"/>
  <c r="AU17" i="8"/>
  <c r="AT30" i="8" s="1"/>
  <c r="BC17" i="8"/>
  <c r="BK17" i="8"/>
  <c r="BK20" i="8" s="1"/>
  <c r="BK21" i="8" s="1"/>
  <c r="BT17" i="8"/>
  <c r="BS30" i="8" s="1"/>
  <c r="CC17" i="8"/>
  <c r="CB30" i="8" s="1"/>
  <c r="CO17" i="8"/>
  <c r="CN30" i="8" s="1"/>
  <c r="CQ24" i="8"/>
  <c r="CS25" i="8"/>
  <c r="CT20" i="8"/>
  <c r="CT21" i="8" s="1"/>
  <c r="CS31" i="8" s="1"/>
  <c r="AL24" i="8"/>
  <c r="BU24" i="8"/>
  <c r="CC24" i="8"/>
  <c r="CK24" i="8"/>
  <c r="CS24" i="8"/>
  <c r="AJ20" i="8"/>
  <c r="AJ21" i="8" s="1"/>
  <c r="AI31" i="8" s="1"/>
  <c r="AI25" i="8"/>
  <c r="AR20" i="8"/>
  <c r="AR21" i="8" s="1"/>
  <c r="BO25" i="8"/>
  <c r="BW25" i="8"/>
  <c r="CM25" i="8"/>
  <c r="CN20" i="8"/>
  <c r="CN21" i="8" s="1"/>
  <c r="CM31" i="8" s="1"/>
  <c r="CU25" i="8"/>
  <c r="BS24" i="8"/>
  <c r="CV25" i="8"/>
  <c r="CJ20" i="8"/>
  <c r="CJ21" i="8" s="1"/>
  <c r="CI31" i="8" s="1"/>
  <c r="CZ21" i="8"/>
  <c r="AU24" i="8"/>
  <c r="CN25" i="8"/>
  <c r="AE24" i="8"/>
  <c r="DC17" i="8"/>
  <c r="CU17" i="8"/>
  <c r="CT30" i="8" s="1"/>
  <c r="CM17" i="8"/>
  <c r="CL30" i="8" s="1"/>
  <c r="CE17" i="8"/>
  <c r="CD30" i="8" s="1"/>
  <c r="BW17" i="8"/>
  <c r="BV30" i="8" s="1"/>
  <c r="BO17" i="8"/>
  <c r="BN30" i="8" s="1"/>
  <c r="DB17" i="8"/>
  <c r="CT17" i="8"/>
  <c r="CS30" i="8" s="1"/>
  <c r="CL17" i="8"/>
  <c r="CK30" i="8" s="1"/>
  <c r="CD17" i="8"/>
  <c r="CC30" i="8" s="1"/>
  <c r="I13" i="8"/>
  <c r="Q13" i="8"/>
  <c r="Y13" i="8"/>
  <c r="Y20" i="8" s="1"/>
  <c r="Y21" i="8" s="1"/>
  <c r="AG13" i="8"/>
  <c r="AG20" i="8" s="1"/>
  <c r="AG21" i="8" s="1"/>
  <c r="AO13" i="8"/>
  <c r="AO20" i="8" s="1"/>
  <c r="AO21" i="8" s="1"/>
  <c r="AW13" i="8"/>
  <c r="BE13" i="8"/>
  <c r="BM13" i="8"/>
  <c r="BM20" i="8" s="1"/>
  <c r="BM21" i="8" s="1"/>
  <c r="BU13" i="8"/>
  <c r="BT27" i="8" s="1"/>
  <c r="CC13" i="8"/>
  <c r="CB27" i="8" s="1"/>
  <c r="CK13" i="8"/>
  <c r="CJ27" i="8" s="1"/>
  <c r="CS13" i="8"/>
  <c r="CR27" i="8" s="1"/>
  <c r="DA13" i="8"/>
  <c r="DA20" i="8" s="1"/>
  <c r="DA21" i="8" s="1"/>
  <c r="J17" i="8"/>
  <c r="R17" i="8"/>
  <c r="Z17" i="8"/>
  <c r="AH17" i="8"/>
  <c r="AP17" i="8"/>
  <c r="AX17" i="8"/>
  <c r="AW30" i="8" s="1"/>
  <c r="BF17" i="8"/>
  <c r="BF20" i="8" s="1"/>
  <c r="BF21" i="8" s="1"/>
  <c r="BN17" i="8"/>
  <c r="BX17" i="8"/>
  <c r="BW30" i="8" s="1"/>
  <c r="CH17" i="8"/>
  <c r="CG30" i="8" s="1"/>
  <c r="CR17" i="8"/>
  <c r="CQ30" i="8" s="1"/>
  <c r="DD17" i="8"/>
  <c r="AH25" i="8"/>
  <c r="AD24" i="8"/>
  <c r="CF25" i="8"/>
  <c r="CG20" i="8"/>
  <c r="CG21" i="8" s="1"/>
  <c r="CF31" i="8" s="1"/>
  <c r="AW24" i="8"/>
  <c r="BP24" i="8"/>
  <c r="BX24" i="8"/>
  <c r="CF24" i="8"/>
  <c r="CN24" i="8"/>
  <c r="CV24" i="8"/>
  <c r="BC20" i="8"/>
  <c r="BC21" i="8" s="1"/>
  <c r="BS20" i="8"/>
  <c r="BS21" i="8" s="1"/>
  <c r="BR31" i="8" s="1"/>
  <c r="BR25" i="8"/>
  <c r="BZ25" i="8"/>
  <c r="CH25" i="8"/>
  <c r="CP25" i="8"/>
  <c r="CY20" i="8"/>
  <c r="CY21" i="8" s="1"/>
  <c r="J13" i="8"/>
  <c r="J20" i="8" s="1"/>
  <c r="J21" i="8" s="1"/>
  <c r="R13" i="8"/>
  <c r="R20" i="8" s="1"/>
  <c r="R21" i="8" s="1"/>
  <c r="Z13" i="8"/>
  <c r="AH13" i="8"/>
  <c r="AP13" i="8"/>
  <c r="AX13" i="8"/>
  <c r="AW27" i="8" s="1"/>
  <c r="BF13" i="8"/>
  <c r="BN13" i="8"/>
  <c r="BV13" i="8"/>
  <c r="BU27" i="8" s="1"/>
  <c r="CD13" i="8"/>
  <c r="CC27" i="8" s="1"/>
  <c r="CL13" i="8"/>
  <c r="CK27" i="8" s="1"/>
  <c r="CT13" i="8"/>
  <c r="CS27" i="8" s="1"/>
  <c r="K17" i="8"/>
  <c r="K20" i="8" s="1"/>
  <c r="K21" i="8" s="1"/>
  <c r="S17" i="8"/>
  <c r="AA17" i="8"/>
  <c r="AI17" i="8"/>
  <c r="AH30" i="8" s="1"/>
  <c r="AQ17" i="8"/>
  <c r="AQ20" i="8" s="1"/>
  <c r="AQ21" i="8" s="1"/>
  <c r="AY17" i="8"/>
  <c r="BG17" i="8"/>
  <c r="BP17" i="8"/>
  <c r="BO30" i="8" s="1"/>
  <c r="BY17" i="8"/>
  <c r="BX30" i="8" s="1"/>
  <c r="CI17" i="8"/>
  <c r="CH30" i="8" s="1"/>
  <c r="CS17" i="8"/>
  <c r="CR30" i="8" s="1"/>
  <c r="DE17" i="8"/>
  <c r="AL20" i="8"/>
  <c r="AL21" i="8" s="1"/>
  <c r="AK31" i="8" s="1"/>
  <c r="CL20" i="8"/>
  <c r="CL21" i="8" s="1"/>
  <c r="CK31" i="8" s="1"/>
  <c r="AT24" i="8"/>
  <c r="BP25" i="8"/>
  <c r="CG24" i="8"/>
  <c r="CO24" i="8"/>
  <c r="CW24" i="8"/>
  <c r="AM20" i="8"/>
  <c r="AM21" i="8" s="1"/>
  <c r="AL31" i="8" s="1"/>
  <c r="BX25" i="8"/>
  <c r="CA24" i="8"/>
  <c r="BR24" i="8"/>
  <c r="BZ24" i="8"/>
  <c r="BQ24" i="8"/>
  <c r="P54" i="8"/>
  <c r="R54" i="8" s="1"/>
  <c r="P62" i="8"/>
  <c r="R62" i="8" s="1"/>
  <c r="P70" i="8"/>
  <c r="R70" i="8" s="1"/>
  <c r="P78" i="8"/>
  <c r="R78" i="8" s="1"/>
  <c r="P89" i="8"/>
  <c r="R89" i="8" s="1"/>
  <c r="P49" i="8"/>
  <c r="R49" i="8" s="1"/>
  <c r="P57" i="8"/>
  <c r="R57" i="8" s="1"/>
  <c r="P65" i="8"/>
  <c r="R65" i="8" s="1"/>
  <c r="P73" i="8"/>
  <c r="R73" i="8" s="1"/>
  <c r="P81" i="8"/>
  <c r="R81" i="8" s="1"/>
  <c r="P92" i="8"/>
  <c r="R92" i="8" s="1"/>
  <c r="P52" i="8"/>
  <c r="R52" i="8" s="1"/>
  <c r="P60" i="8"/>
  <c r="R60" i="8" s="1"/>
  <c r="P68" i="8"/>
  <c r="R68" i="8" s="1"/>
  <c r="P76" i="8"/>
  <c r="R76" i="8" s="1"/>
  <c r="P84" i="8"/>
  <c r="R84" i="8" s="1"/>
  <c r="P87" i="8"/>
  <c r="R87" i="8" s="1"/>
  <c r="P43" i="8"/>
  <c r="P44" i="8"/>
  <c r="R44" i="8" s="1"/>
  <c r="P55" i="8"/>
  <c r="R55" i="8" s="1"/>
  <c r="P63" i="8"/>
  <c r="R63" i="8" s="1"/>
  <c r="P71" i="8"/>
  <c r="R71" i="8" s="1"/>
  <c r="P79" i="8"/>
  <c r="R79" i="8" s="1"/>
  <c r="P90" i="8"/>
  <c r="R90" i="8" s="1"/>
  <c r="P66" i="8"/>
  <c r="R66" i="8" s="1"/>
  <c r="P74" i="8"/>
  <c r="R74" i="8" s="1"/>
  <c r="P82" i="8"/>
  <c r="R82" i="8" s="1"/>
  <c r="P85" i="8"/>
  <c r="R85" i="8" s="1"/>
  <c r="P93" i="8"/>
  <c r="R93" i="8" s="1"/>
  <c r="P41" i="8"/>
  <c r="R41" i="8" s="1"/>
  <c r="P61" i="8"/>
  <c r="R61" i="8" s="1"/>
  <c r="P69" i="8"/>
  <c r="R69" i="8" s="1"/>
  <c r="P77" i="8"/>
  <c r="R77" i="8" s="1"/>
  <c r="P88" i="8"/>
  <c r="R88" i="8" s="1"/>
  <c r="P33" i="8"/>
  <c r="R33" i="8" s="1"/>
  <c r="P39" i="8"/>
  <c r="R39" i="8" s="1"/>
  <c r="P45" i="8"/>
  <c r="R45" i="8" s="1"/>
  <c r="P64" i="8"/>
  <c r="R64" i="8" s="1"/>
  <c r="P72" i="8"/>
  <c r="R72" i="8" s="1"/>
  <c r="P80" i="8"/>
  <c r="R80" i="8" s="1"/>
  <c r="CW25" i="6"/>
  <c r="CV25" i="6"/>
  <c r="CT25" i="6"/>
  <c r="CR25" i="6"/>
  <c r="CP25" i="6"/>
  <c r="CL25" i="6"/>
  <c r="CK25" i="6"/>
  <c r="G75" i="7"/>
  <c r="A50" i="7"/>
  <c r="A53" i="7" s="1"/>
  <c r="Y48" i="7"/>
  <c r="Y49" i="7" s="1"/>
  <c r="Y45" i="7"/>
  <c r="Y46" i="7" s="1"/>
  <c r="Y42" i="7"/>
  <c r="Y43" i="7" s="1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8" i="7"/>
  <c r="G7" i="7"/>
  <c r="G6" i="7"/>
  <c r="G5" i="7"/>
  <c r="AA4" i="7"/>
  <c r="G4" i="7"/>
  <c r="G3" i="7"/>
  <c r="G2" i="7"/>
  <c r="G3" i="5"/>
  <c r="G9" i="5"/>
  <c r="G12" i="5"/>
  <c r="G13" i="5"/>
  <c r="G14" i="5"/>
  <c r="G15" i="5"/>
  <c r="G16" i="5"/>
  <c r="G18" i="5"/>
  <c r="G21" i="5"/>
  <c r="G22" i="5"/>
  <c r="G24" i="5"/>
  <c r="G25" i="5"/>
  <c r="G26" i="5"/>
  <c r="G27" i="5"/>
  <c r="G28" i="5"/>
  <c r="G29" i="5"/>
  <c r="G30" i="5"/>
  <c r="CF24" i="6"/>
  <c r="CG24" i="6"/>
  <c r="CH24" i="6"/>
  <c r="CI24" i="6"/>
  <c r="CG29" i="6"/>
  <c r="CG3" i="6"/>
  <c r="CH3" i="6"/>
  <c r="CH5" i="6"/>
  <c r="CI5" i="6"/>
  <c r="CJ5" i="6"/>
  <c r="CK5" i="6"/>
  <c r="CH7" i="6"/>
  <c r="CI7" i="6"/>
  <c r="CJ7" i="6"/>
  <c r="CK7" i="6"/>
  <c r="CH9" i="6"/>
  <c r="CG28" i="6" s="1"/>
  <c r="CI9" i="6"/>
  <c r="CH28" i="6" s="1"/>
  <c r="CJ9" i="6"/>
  <c r="CI28" i="6" s="1"/>
  <c r="CK9" i="6"/>
  <c r="CJ28" i="6" s="1"/>
  <c r="CH11" i="6"/>
  <c r="CI11" i="6"/>
  <c r="CH29" i="6" s="1"/>
  <c r="CJ11" i="6"/>
  <c r="CI29" i="6" s="1"/>
  <c r="CK11" i="6"/>
  <c r="CJ29" i="6" s="1"/>
  <c r="CH15" i="6"/>
  <c r="CG26" i="6" s="1"/>
  <c r="CI15" i="6"/>
  <c r="CH26" i="6" s="1"/>
  <c r="CJ15" i="6"/>
  <c r="CI26" i="6" s="1"/>
  <c r="CK15" i="6"/>
  <c r="CJ26" i="6" s="1"/>
  <c r="CJ25" i="6" l="1"/>
  <c r="CI25" i="6"/>
  <c r="A54" i="7"/>
  <c r="CH25" i="6"/>
  <c r="AU20" i="8"/>
  <c r="AU21" i="8" s="1"/>
  <c r="AT31" i="8" s="1"/>
  <c r="CW20" i="8"/>
  <c r="CW21" i="8" s="1"/>
  <c r="CV31" i="8" s="1"/>
  <c r="BQ20" i="8"/>
  <c r="BQ21" i="8" s="1"/>
  <c r="BP31" i="8" s="1"/>
  <c r="CR20" i="8"/>
  <c r="CR21" i="8" s="1"/>
  <c r="CQ31" i="8" s="1"/>
  <c r="AH20" i="8"/>
  <c r="AH21" i="8" s="1"/>
  <c r="AG31" i="8" s="1"/>
  <c r="BE20" i="8"/>
  <c r="BE21" i="8" s="1"/>
  <c r="DC20" i="8"/>
  <c r="DC21" i="8" s="1"/>
  <c r="BR20" i="8"/>
  <c r="BR21" i="8" s="1"/>
  <c r="BQ31" i="8" s="1"/>
  <c r="AE20" i="8"/>
  <c r="AE21" i="8" s="1"/>
  <c r="BN20" i="8"/>
  <c r="BN21" i="8" s="1"/>
  <c r="CK20" i="8"/>
  <c r="CK21" i="8" s="1"/>
  <c r="CJ31" i="8" s="1"/>
  <c r="Q20" i="8"/>
  <c r="Q21" i="8" s="1"/>
  <c r="S20" i="8"/>
  <c r="S21" i="8" s="1"/>
  <c r="CQ20" i="8"/>
  <c r="CQ21" i="8" s="1"/>
  <c r="CP31" i="8" s="1"/>
  <c r="I20" i="8"/>
  <c r="I21" i="8" s="1"/>
  <c r="AP20" i="8"/>
  <c r="AP21" i="8" s="1"/>
  <c r="CU20" i="8"/>
  <c r="CU21" i="8" s="1"/>
  <c r="CT31" i="8" s="1"/>
  <c r="CG25" i="6"/>
  <c r="CB20" i="8"/>
  <c r="CB21" i="8" s="1"/>
  <c r="CA31" i="8" s="1"/>
  <c r="BZ20" i="8"/>
  <c r="BZ21" i="8" s="1"/>
  <c r="BY31" i="8" s="1"/>
  <c r="BG20" i="8"/>
  <c r="BG21" i="8" s="1"/>
  <c r="Z20" i="8"/>
  <c r="Z21" i="8" s="1"/>
  <c r="Y31" i="8" s="1"/>
  <c r="CA20" i="8"/>
  <c r="CA21" i="8" s="1"/>
  <c r="BZ31" i="8" s="1"/>
  <c r="AW20" i="8"/>
  <c r="AW21" i="8" s="1"/>
  <c r="AV31" i="8" s="1"/>
  <c r="CV20" i="8"/>
  <c r="CV21" i="8" s="1"/>
  <c r="CU31" i="8" s="1"/>
  <c r="W20" i="8"/>
  <c r="W21" i="8" s="1"/>
  <c r="BB20" i="8"/>
  <c r="BB21" i="8" s="1"/>
  <c r="BV20" i="8"/>
  <c r="BV21" i="8" s="1"/>
  <c r="BU31" i="8" s="1"/>
  <c r="BU20" i="8"/>
  <c r="BU21" i="8" s="1"/>
  <c r="BT31" i="8" s="1"/>
  <c r="CM20" i="8"/>
  <c r="CM21" i="8" s="1"/>
  <c r="CL31" i="8" s="1"/>
  <c r="CS20" i="8"/>
  <c r="CS21" i="8" s="1"/>
  <c r="CR31" i="8" s="1"/>
  <c r="CC20" i="8"/>
  <c r="CC21" i="8" s="1"/>
  <c r="CB31" i="8" s="1"/>
  <c r="CO20" i="8"/>
  <c r="CO21" i="8" s="1"/>
  <c r="CN31" i="8" s="1"/>
  <c r="CE20" i="8"/>
  <c r="CE21" i="8" s="1"/>
  <c r="CD31" i="8" s="1"/>
  <c r="BX20" i="8"/>
  <c r="BX21" i="8" s="1"/>
  <c r="BW31" i="8" s="1"/>
  <c r="AI20" i="8"/>
  <c r="AI21" i="8" s="1"/>
  <c r="AH31" i="8" s="1"/>
  <c r="BY20" i="8"/>
  <c r="BY21" i="8" s="1"/>
  <c r="BX31" i="8" s="1"/>
  <c r="CH20" i="8"/>
  <c r="CH21" i="8" s="1"/>
  <c r="CG31" i="8" s="1"/>
  <c r="CP20" i="8"/>
  <c r="CP21" i="8" s="1"/>
  <c r="CO31" i="8" s="1"/>
  <c r="BP20" i="8"/>
  <c r="BP21" i="8" s="1"/>
  <c r="BO31" i="8" s="1"/>
  <c r="CX20" i="8"/>
  <c r="CX21" i="8" s="1"/>
  <c r="CW31" i="8" s="1"/>
  <c r="R43" i="8"/>
  <c r="AH43" i="8" s="1"/>
  <c r="AF43" i="8"/>
  <c r="AX20" i="8"/>
  <c r="AX21" i="8" s="1"/>
  <c r="AW31" i="8" s="1"/>
  <c r="CI20" i="8"/>
  <c r="CI21" i="8" s="1"/>
  <c r="CH31" i="8" s="1"/>
  <c r="BT20" i="8"/>
  <c r="BT21" i="8" s="1"/>
  <c r="BS31" i="8" s="1"/>
  <c r="CD20" i="8"/>
  <c r="CD21" i="8" s="1"/>
  <c r="CC31" i="8" s="1"/>
  <c r="BO20" i="8"/>
  <c r="BO21" i="8" s="1"/>
  <c r="BN31" i="8" s="1"/>
  <c r="A51" i="7"/>
  <c r="A52" i="7"/>
  <c r="CD14" i="6"/>
  <c r="CE14" i="6"/>
  <c r="CF14" i="6"/>
  <c r="Y52" i="1"/>
  <c r="V93" i="6"/>
  <c r="CF3" i="6"/>
  <c r="CD3" i="6" l="1"/>
  <c r="CC24" i="6" s="1"/>
  <c r="CE3" i="6"/>
  <c r="CD24" i="6" s="1"/>
  <c r="CC3" i="6"/>
  <c r="CB24" i="6" s="1"/>
  <c r="CB3" i="6"/>
  <c r="CA24" i="6" s="1"/>
  <c r="V86" i="6"/>
  <c r="Y16" i="1"/>
  <c r="BW3" i="6"/>
  <c r="BV24" i="6" s="1"/>
  <c r="BY3" i="6"/>
  <c r="BX24" i="6" s="1"/>
  <c r="BX3" i="6"/>
  <c r="G75" i="5"/>
  <c r="BV3" i="6"/>
  <c r="BU3" i="6"/>
  <c r="BT24" i="6"/>
  <c r="V92" i="6"/>
  <c r="P92" i="6"/>
  <c r="R92" i="6" s="1"/>
  <c r="BO24" i="6"/>
  <c r="BS24" i="6"/>
  <c r="BU24" i="6"/>
  <c r="BW24" i="6"/>
  <c r="BY24" i="6"/>
  <c r="BQ25" i="6"/>
  <c r="BR25" i="6"/>
  <c r="BO26" i="6"/>
  <c r="BP26" i="6"/>
  <c r="BQ26" i="6"/>
  <c r="BY26" i="6"/>
  <c r="BS28" i="6"/>
  <c r="BU28" i="6"/>
  <c r="BW28" i="6"/>
  <c r="BY28" i="6"/>
  <c r="BQ29" i="6"/>
  <c r="BR29" i="6"/>
  <c r="BU29" i="6"/>
  <c r="BX29" i="6"/>
  <c r="BU30" i="6"/>
  <c r="BT3" i="6"/>
  <c r="CA3" i="6"/>
  <c r="BZ24" i="6" s="1"/>
  <c r="BT5" i="6"/>
  <c r="BU5" i="6"/>
  <c r="BT25" i="6" s="1"/>
  <c r="BV5" i="6"/>
  <c r="BW5" i="6"/>
  <c r="BV25" i="6" s="1"/>
  <c r="BX5" i="6"/>
  <c r="BW25" i="6" s="1"/>
  <c r="BY5" i="6"/>
  <c r="BZ5" i="6"/>
  <c r="CA5" i="6"/>
  <c r="BZ25" i="6" s="1"/>
  <c r="CB5" i="6"/>
  <c r="CC5" i="6"/>
  <c r="CD5" i="6"/>
  <c r="CC25" i="6" s="1"/>
  <c r="CE5" i="6"/>
  <c r="CD25" i="6" s="1"/>
  <c r="CF5" i="6"/>
  <c r="CG5" i="6"/>
  <c r="CF25" i="6" s="1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BT9" i="6"/>
  <c r="BU9" i="6"/>
  <c r="BT28" i="6" s="1"/>
  <c r="BV9" i="6"/>
  <c r="BW9" i="6"/>
  <c r="BV28" i="6" s="1"/>
  <c r="BX9" i="6"/>
  <c r="BY9" i="6"/>
  <c r="BX28" i="6" s="1"/>
  <c r="BZ9" i="6"/>
  <c r="CA9" i="6"/>
  <c r="BZ28" i="6" s="1"/>
  <c r="CB9" i="6"/>
  <c r="CA28" i="6" s="1"/>
  <c r="CC9" i="6"/>
  <c r="CB28" i="6" s="1"/>
  <c r="CD9" i="6"/>
  <c r="CC28" i="6" s="1"/>
  <c r="CE9" i="6"/>
  <c r="CD28" i="6" s="1"/>
  <c r="CF9" i="6"/>
  <c r="CG9" i="6"/>
  <c r="CF28" i="6" s="1"/>
  <c r="BT11" i="6"/>
  <c r="BS29" i="6" s="1"/>
  <c r="BU11" i="6"/>
  <c r="BT29" i="6" s="1"/>
  <c r="BV11" i="6"/>
  <c r="BW11" i="6"/>
  <c r="BV29" i="6" s="1"/>
  <c r="BX11" i="6"/>
  <c r="BW29" i="6" s="1"/>
  <c r="BY11" i="6"/>
  <c r="BZ11" i="6"/>
  <c r="BY29" i="6" s="1"/>
  <c r="CA11" i="6"/>
  <c r="BZ29" i="6" s="1"/>
  <c r="CB11" i="6"/>
  <c r="CA29" i="6" s="1"/>
  <c r="CC11" i="6"/>
  <c r="CB29" i="6" s="1"/>
  <c r="CD11" i="6"/>
  <c r="CC29" i="6" s="1"/>
  <c r="CE11" i="6"/>
  <c r="CD29" i="6" s="1"/>
  <c r="CF11" i="6"/>
  <c r="CG11" i="6"/>
  <c r="CF29" i="6" s="1"/>
  <c r="BT15" i="6"/>
  <c r="BS26" i="6" s="1"/>
  <c r="BU15" i="6"/>
  <c r="BT26" i="6" s="1"/>
  <c r="BV15" i="6"/>
  <c r="BU26" i="6" s="1"/>
  <c r="BW15" i="6"/>
  <c r="BV26" i="6" s="1"/>
  <c r="BX15" i="6"/>
  <c r="BW26" i="6" s="1"/>
  <c r="BY15" i="6"/>
  <c r="BX26" i="6" s="1"/>
  <c r="BZ15" i="6"/>
  <c r="CA15" i="6"/>
  <c r="BZ26" i="6" s="1"/>
  <c r="CB15" i="6"/>
  <c r="CA26" i="6" s="1"/>
  <c r="CC15" i="6"/>
  <c r="CB26" i="6" s="1"/>
  <c r="CD15" i="6"/>
  <c r="CC26" i="6" s="1"/>
  <c r="CE15" i="6"/>
  <c r="CD26" i="6" s="1"/>
  <c r="CF15" i="6"/>
  <c r="CG15" i="6"/>
  <c r="CF26" i="6" s="1"/>
  <c r="BV17" i="6"/>
  <c r="BW17" i="6"/>
  <c r="BV30" i="6" s="1"/>
  <c r="BX17" i="6"/>
  <c r="BW30" i="6" s="1"/>
  <c r="BY17" i="6"/>
  <c r="BX30" i="6" s="1"/>
  <c r="BZ17" i="6"/>
  <c r="BY30" i="6" s="1"/>
  <c r="CA17" i="6"/>
  <c r="BZ30" i="6" s="1"/>
  <c r="CD17" i="6"/>
  <c r="CC30" i="6" s="1"/>
  <c r="CE17" i="6"/>
  <c r="CD30" i="6" s="1"/>
  <c r="CF17" i="6"/>
  <c r="CG17" i="6"/>
  <c r="CF30" i="6" s="1"/>
  <c r="BS3" i="6"/>
  <c r="BR24" i="6" s="1"/>
  <c r="BQ3" i="6"/>
  <c r="BP24" i="6" s="1"/>
  <c r="BP3" i="6"/>
  <c r="BO3" i="6"/>
  <c r="BN24" i="6"/>
  <c r="BR3" i="6"/>
  <c r="BQ24" i="6" s="1"/>
  <c r="Y48" i="5"/>
  <c r="Y49" i="5" s="1"/>
  <c r="AA4" i="5"/>
  <c r="V85" i="6"/>
  <c r="V79" i="6"/>
  <c r="V80" i="6"/>
  <c r="V78" i="6"/>
  <c r="V91" i="6"/>
  <c r="V90" i="6"/>
  <c r="V89" i="6"/>
  <c r="V88" i="6"/>
  <c r="V87" i="6"/>
  <c r="V83" i="6"/>
  <c r="V82" i="6"/>
  <c r="V81" i="6"/>
  <c r="V77" i="6"/>
  <c r="P80" i="6"/>
  <c r="P81" i="6"/>
  <c r="P88" i="6"/>
  <c r="R88" i="6" s="1"/>
  <c r="P89" i="6"/>
  <c r="BM3" i="6"/>
  <c r="V74" i="6"/>
  <c r="BO5" i="6"/>
  <c r="BN25" i="6" s="1"/>
  <c r="BP5" i="6"/>
  <c r="BQ5" i="6"/>
  <c r="BR5" i="6"/>
  <c r="BS5" i="6"/>
  <c r="BO7" i="6"/>
  <c r="BP7" i="6"/>
  <c r="BQ7" i="6"/>
  <c r="BR7" i="6"/>
  <c r="BS7" i="6"/>
  <c r="BO9" i="6"/>
  <c r="BP9" i="6"/>
  <c r="BO28" i="6" s="1"/>
  <c r="BQ9" i="6"/>
  <c r="BP28" i="6" s="1"/>
  <c r="BR9" i="6"/>
  <c r="BS9" i="6"/>
  <c r="BO11" i="6"/>
  <c r="BP11" i="6"/>
  <c r="BO29" i="6" s="1"/>
  <c r="BQ11" i="6"/>
  <c r="BP29" i="6" s="1"/>
  <c r="BR11" i="6"/>
  <c r="BS11" i="6"/>
  <c r="BO15" i="6"/>
  <c r="BN26" i="6" s="1"/>
  <c r="BP15" i="6"/>
  <c r="BQ15" i="6"/>
  <c r="BR15" i="6"/>
  <c r="BS15" i="6"/>
  <c r="BR26" i="6" s="1"/>
  <c r="BR17" i="6"/>
  <c r="BQ30" i="6" s="1"/>
  <c r="BL3" i="6"/>
  <c r="BK5" i="6"/>
  <c r="BM5" i="6"/>
  <c r="BN5" i="6"/>
  <c r="BM7" i="6"/>
  <c r="BN7" i="6"/>
  <c r="BM9" i="6"/>
  <c r="BN9" i="6"/>
  <c r="BM11" i="6"/>
  <c r="BN11" i="6"/>
  <c r="BM15" i="6"/>
  <c r="BN15" i="6"/>
  <c r="BM17" i="6"/>
  <c r="BJ3" i="6"/>
  <c r="BL5" i="6"/>
  <c r="BL7" i="6"/>
  <c r="BL9" i="6"/>
  <c r="BL11" i="6"/>
  <c r="BL15" i="6"/>
  <c r="BL17" i="6"/>
  <c r="BN28" i="6"/>
  <c r="BN29" i="6"/>
  <c r="BI3" i="6"/>
  <c r="BK3" i="6"/>
  <c r="BJ5" i="6"/>
  <c r="BJ7" i="6"/>
  <c r="BK7" i="6"/>
  <c r="BJ9" i="6"/>
  <c r="BK9" i="6"/>
  <c r="BJ11" i="6"/>
  <c r="BK11" i="6"/>
  <c r="BJ15" i="6"/>
  <c r="BK15" i="6"/>
  <c r="BH3" i="6"/>
  <c r="N3" i="6"/>
  <c r="BH5" i="6"/>
  <c r="BH7" i="6"/>
  <c r="BH9" i="6"/>
  <c r="BH11" i="6"/>
  <c r="BH15" i="6"/>
  <c r="BG5" i="6"/>
  <c r="BG7" i="6"/>
  <c r="BG9" i="6"/>
  <c r="BG11" i="6"/>
  <c r="BG15" i="6"/>
  <c r="BD3" i="6"/>
  <c r="BC3" i="6"/>
  <c r="BB3" i="6"/>
  <c r="BA3" i="6"/>
  <c r="BA5" i="6"/>
  <c r="BB5" i="6"/>
  <c r="BC5" i="6"/>
  <c r="BD5" i="6"/>
  <c r="BE5" i="6"/>
  <c r="BF5" i="6"/>
  <c r="BI5" i="6"/>
  <c r="BA7" i="6"/>
  <c r="BB7" i="6"/>
  <c r="BC7" i="6"/>
  <c r="BD7" i="6"/>
  <c r="BE7" i="6"/>
  <c r="BF7" i="6"/>
  <c r="BI7" i="6"/>
  <c r="BA9" i="6"/>
  <c r="BB9" i="6"/>
  <c r="BC9" i="6"/>
  <c r="BD9" i="6"/>
  <c r="BE9" i="6"/>
  <c r="BF9" i="6"/>
  <c r="BI9" i="6"/>
  <c r="BA11" i="6"/>
  <c r="BB11" i="6"/>
  <c r="BC11" i="6"/>
  <c r="BD11" i="6"/>
  <c r="BE11" i="6"/>
  <c r="BF11" i="6"/>
  <c r="BI11" i="6"/>
  <c r="BA15" i="6"/>
  <c r="BB15" i="6"/>
  <c r="BC15" i="6"/>
  <c r="BD15" i="6"/>
  <c r="BE15" i="6"/>
  <c r="BF15" i="6"/>
  <c r="BI15" i="6"/>
  <c r="V76" i="6"/>
  <c r="V75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AI46" i="6"/>
  <c r="V46" i="6"/>
  <c r="AI45" i="6"/>
  <c r="V45" i="6"/>
  <c r="V44" i="6"/>
  <c r="AG43" i="6"/>
  <c r="AE43" i="6"/>
  <c r="AD43" i="6"/>
  <c r="AC43" i="6"/>
  <c r="AB43" i="6"/>
  <c r="AA43" i="6"/>
  <c r="Z43" i="6"/>
  <c r="Y43" i="6"/>
  <c r="X43" i="6"/>
  <c r="AI43" i="6" s="1"/>
  <c r="W43" i="6"/>
  <c r="V43" i="6"/>
  <c r="V42" i="6"/>
  <c r="V41" i="6"/>
  <c r="V40" i="6"/>
  <c r="G40" i="6"/>
  <c r="V39" i="6"/>
  <c r="V38" i="6"/>
  <c r="G38" i="6"/>
  <c r="V37" i="6"/>
  <c r="G37" i="6"/>
  <c r="V36" i="6"/>
  <c r="G36" i="6"/>
  <c r="V35" i="6"/>
  <c r="G35" i="6"/>
  <c r="V34" i="6"/>
  <c r="G34" i="6"/>
  <c r="C34" i="6"/>
  <c r="V33" i="6"/>
  <c r="G33" i="6"/>
  <c r="C33" i="6"/>
  <c r="P37" i="6" s="1"/>
  <c r="R37" i="6" s="1"/>
  <c r="AG24" i="6"/>
  <c r="F21" i="6"/>
  <c r="F18" i="6"/>
  <c r="AB17" i="6"/>
  <c r="AA17" i="6"/>
  <c r="AZ15" i="6"/>
  <c r="AY15" i="6"/>
  <c r="AX15" i="6"/>
  <c r="AW26" i="6" s="1"/>
  <c r="AW15" i="6"/>
  <c r="AV15" i="6"/>
  <c r="AU15" i="6"/>
  <c r="AT26" i="6" s="1"/>
  <c r="AT15" i="6"/>
  <c r="AS15" i="6"/>
  <c r="AR15" i="6"/>
  <c r="AQ15" i="6"/>
  <c r="AP15" i="6"/>
  <c r="AO15" i="6"/>
  <c r="AN15" i="6"/>
  <c r="AM15" i="6"/>
  <c r="AL26" i="6" s="1"/>
  <c r="AL15" i="6"/>
  <c r="AK26" i="6" s="1"/>
  <c r="AK15" i="6"/>
  <c r="AJ15" i="6"/>
  <c r="AI26" i="6" s="1"/>
  <c r="AI15" i="6"/>
  <c r="AH26" i="6" s="1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H15" i="6"/>
  <c r="AZ11" i="6"/>
  <c r="AY11" i="6"/>
  <c r="AX11" i="6"/>
  <c r="AW29" i="6" s="1"/>
  <c r="AW11" i="6"/>
  <c r="AV11" i="6"/>
  <c r="AU11" i="6"/>
  <c r="AT29" i="6" s="1"/>
  <c r="AT11" i="6"/>
  <c r="AS11" i="6"/>
  <c r="AR11" i="6"/>
  <c r="AQ11" i="6"/>
  <c r="AP11" i="6"/>
  <c r="AO11" i="6"/>
  <c r="AN11" i="6"/>
  <c r="AM11" i="6"/>
  <c r="AL29" i="6" s="1"/>
  <c r="AL11" i="6"/>
  <c r="AK29" i="6" s="1"/>
  <c r="AK11" i="6"/>
  <c r="AJ11" i="6"/>
  <c r="AI29" i="6" s="1"/>
  <c r="AI11" i="6"/>
  <c r="AH29" i="6" s="1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C10" i="6"/>
  <c r="BU17" i="6" s="1"/>
  <c r="BT30" i="6" s="1"/>
  <c r="AZ9" i="6"/>
  <c r="AY9" i="6"/>
  <c r="AX9" i="6"/>
  <c r="AW28" i="6" s="1"/>
  <c r="AW9" i="6"/>
  <c r="AV9" i="6"/>
  <c r="AU9" i="6"/>
  <c r="AT28" i="6" s="1"/>
  <c r="AT9" i="6"/>
  <c r="AS9" i="6"/>
  <c r="AR9" i="6"/>
  <c r="AQ9" i="6"/>
  <c r="AP9" i="6"/>
  <c r="AO9" i="6"/>
  <c r="AN9" i="6"/>
  <c r="AM9" i="6"/>
  <c r="AL28" i="6" s="1"/>
  <c r="AL9" i="6"/>
  <c r="AK28" i="6" s="1"/>
  <c r="AK9" i="6"/>
  <c r="AJ9" i="6"/>
  <c r="AI28" i="6" s="1"/>
  <c r="AI9" i="6"/>
  <c r="AH28" i="6" s="1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C9" i="6"/>
  <c r="C8" i="6"/>
  <c r="BY13" i="6" s="1"/>
  <c r="BX27" i="6" s="1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C7" i="6"/>
  <c r="C6" i="6"/>
  <c r="AZ5" i="6"/>
  <c r="AY5" i="6"/>
  <c r="AX5" i="6"/>
  <c r="AW25" i="6" s="1"/>
  <c r="AW5" i="6"/>
  <c r="AV5" i="6"/>
  <c r="AU5" i="6"/>
  <c r="AT25" i="6" s="1"/>
  <c r="AT5" i="6"/>
  <c r="AS5" i="6"/>
  <c r="AR5" i="6"/>
  <c r="AQ5" i="6"/>
  <c r="AP5" i="6"/>
  <c r="AO5" i="6"/>
  <c r="AN5" i="6"/>
  <c r="AM5" i="6"/>
  <c r="AL25" i="6" s="1"/>
  <c r="AL5" i="6"/>
  <c r="AK5" i="6"/>
  <c r="AJ5" i="6"/>
  <c r="AI25" i="6" s="1"/>
  <c r="AI5" i="6"/>
  <c r="AH25" i="6" s="1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AZ3" i="6"/>
  <c r="AY3" i="6"/>
  <c r="AX3" i="6"/>
  <c r="AW3" i="6"/>
  <c r="AV24" i="6" s="1"/>
  <c r="AV3" i="6"/>
  <c r="AU24" i="6" s="1"/>
  <c r="AU3" i="6"/>
  <c r="AT24" i="6" s="1"/>
  <c r="AT3" i="6"/>
  <c r="AS3" i="6"/>
  <c r="AR3" i="6"/>
  <c r="AQ3" i="6"/>
  <c r="AP3" i="6"/>
  <c r="AO3" i="6"/>
  <c r="AN3" i="6"/>
  <c r="AM3" i="6"/>
  <c r="AL24" i="6" s="1"/>
  <c r="AL3" i="6"/>
  <c r="AK24" i="6" s="1"/>
  <c r="AK3" i="6"/>
  <c r="AJ3" i="6"/>
  <c r="AI3" i="6"/>
  <c r="AE24" i="6"/>
  <c r="AE3" i="6"/>
  <c r="AD24" i="6" s="1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M3" i="6"/>
  <c r="L3" i="6"/>
  <c r="K3" i="6"/>
  <c r="J3" i="6"/>
  <c r="I3" i="6"/>
  <c r="H3" i="6"/>
  <c r="AZ3" i="2"/>
  <c r="AY24" i="2" s="1"/>
  <c r="AY3" i="2"/>
  <c r="AX24" i="2" s="1"/>
  <c r="F96" i="1"/>
  <c r="F88" i="1"/>
  <c r="F99" i="1"/>
  <c r="V76" i="2"/>
  <c r="V77" i="2"/>
  <c r="M91" i="1"/>
  <c r="M88" i="1"/>
  <c r="F91" i="1"/>
  <c r="AY26" i="2"/>
  <c r="AY28" i="2"/>
  <c r="AY15" i="2"/>
  <c r="AZ15" i="2"/>
  <c r="AY11" i="2"/>
  <c r="AZ11" i="2"/>
  <c r="AY29" i="2" s="1"/>
  <c r="AY9" i="2"/>
  <c r="AZ9" i="2"/>
  <c r="AY7" i="2"/>
  <c r="AZ7" i="2"/>
  <c r="AY5" i="2"/>
  <c r="AZ5" i="2"/>
  <c r="AY25" i="2" s="1"/>
  <c r="Y49" i="1"/>
  <c r="F81" i="1"/>
  <c r="F84" i="1"/>
  <c r="F73" i="1"/>
  <c r="AV3" i="2"/>
  <c r="AW3" i="2"/>
  <c r="AX3" i="2"/>
  <c r="AW24" i="2" s="1"/>
  <c r="AU3" i="2"/>
  <c r="AG3" i="2"/>
  <c r="AQ3" i="2"/>
  <c r="V70" i="2"/>
  <c r="V69" i="2"/>
  <c r="V33" i="2"/>
  <c r="V71" i="2"/>
  <c r="V68" i="2"/>
  <c r="AA4" i="1"/>
  <c r="V73" i="2"/>
  <c r="V74" i="2"/>
  <c r="V75" i="2"/>
  <c r="V72" i="2"/>
  <c r="AI46" i="2"/>
  <c r="AI45" i="2"/>
  <c r="AI47" i="2" s="1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Y45" i="5"/>
  <c r="Y46" i="5" s="1"/>
  <c r="Y42" i="5"/>
  <c r="Y43" i="5" s="1"/>
  <c r="AX5" i="2"/>
  <c r="AX7" i="2"/>
  <c r="AX9" i="2"/>
  <c r="AX11" i="2"/>
  <c r="AX15" i="2"/>
  <c r="F76" i="1"/>
  <c r="F68" i="1"/>
  <c r="F71" i="1"/>
  <c r="AR3" i="2"/>
  <c r="AS3" i="2"/>
  <c r="AT3" i="2"/>
  <c r="F64" i="1"/>
  <c r="F61" i="1"/>
  <c r="BS20" i="6" l="1"/>
  <c r="BS21" i="6" s="1"/>
  <c r="BR31" i="6" s="1"/>
  <c r="P87" i="6"/>
  <c r="R87" i="6" s="1"/>
  <c r="BS25" i="6"/>
  <c r="P78" i="6"/>
  <c r="CA13" i="6"/>
  <c r="BZ27" i="6" s="1"/>
  <c r="BR28" i="6"/>
  <c r="P75" i="6"/>
  <c r="R75" i="6" s="1"/>
  <c r="P91" i="6"/>
  <c r="R91" i="6" s="1"/>
  <c r="P83" i="6"/>
  <c r="R83" i="6" s="1"/>
  <c r="CC17" i="6"/>
  <c r="CB30" i="6" s="1"/>
  <c r="CG13" i="6"/>
  <c r="CF27" i="6" s="1"/>
  <c r="BP25" i="6"/>
  <c r="AY13" i="6"/>
  <c r="CL13" i="6"/>
  <c r="CT13" i="6"/>
  <c r="DB13" i="6"/>
  <c r="DB20" i="6" s="1"/>
  <c r="DB21" i="6" s="1"/>
  <c r="CM13" i="6"/>
  <c r="CU13" i="6"/>
  <c r="DC13" i="6"/>
  <c r="CO13" i="6"/>
  <c r="CY13" i="6"/>
  <c r="CY20" i="6" s="1"/>
  <c r="CY21" i="6" s="1"/>
  <c r="CP13" i="6"/>
  <c r="CZ13" i="6"/>
  <c r="CZ20" i="6" s="1"/>
  <c r="CZ21" i="6" s="1"/>
  <c r="CQ13" i="6"/>
  <c r="DD13" i="6"/>
  <c r="DE13" i="6"/>
  <c r="CW13" i="6"/>
  <c r="CX13" i="6"/>
  <c r="DA13" i="6"/>
  <c r="CR13" i="6"/>
  <c r="CS13" i="6"/>
  <c r="CV13" i="6"/>
  <c r="CN13" i="6"/>
  <c r="CH13" i="6"/>
  <c r="CI13" i="6"/>
  <c r="CJ13" i="6"/>
  <c r="CK13" i="6"/>
  <c r="CE13" i="6"/>
  <c r="CD27" i="6" s="1"/>
  <c r="BW13" i="6"/>
  <c r="BV27" i="6" s="1"/>
  <c r="CD13" i="6"/>
  <c r="CC27" i="6" s="1"/>
  <c r="BV13" i="6"/>
  <c r="BU27" i="6" s="1"/>
  <c r="BV20" i="6"/>
  <c r="BV21" i="6" s="1"/>
  <c r="BU31" i="6" s="1"/>
  <c r="P79" i="6"/>
  <c r="CC13" i="6"/>
  <c r="CB27" i="6" s="1"/>
  <c r="BU13" i="6"/>
  <c r="BT27" i="6" s="1"/>
  <c r="CC20" i="6"/>
  <c r="CC21" i="6" s="1"/>
  <c r="CB31" i="6" s="1"/>
  <c r="CB25" i="6"/>
  <c r="P86" i="6"/>
  <c r="R86" i="6" s="1"/>
  <c r="P77" i="6"/>
  <c r="CB13" i="6"/>
  <c r="CA27" i="6" s="1"/>
  <c r="BT13" i="6"/>
  <c r="BS27" i="6" s="1"/>
  <c r="CA25" i="6"/>
  <c r="P85" i="6"/>
  <c r="R85" i="6" s="1"/>
  <c r="P84" i="6"/>
  <c r="R84" i="6" s="1"/>
  <c r="BZ13" i="6"/>
  <c r="BY27" i="6" s="1"/>
  <c r="BQ28" i="6"/>
  <c r="AW17" i="6"/>
  <c r="CL17" i="6"/>
  <c r="CK30" i="6" s="1"/>
  <c r="CU17" i="6"/>
  <c r="CT30" i="6" s="1"/>
  <c r="DC17" i="6"/>
  <c r="CN17" i="6"/>
  <c r="CM30" i="6" s="1"/>
  <c r="CV17" i="6"/>
  <c r="CU30" i="6" s="1"/>
  <c r="DD17" i="6"/>
  <c r="CX17" i="6"/>
  <c r="CW30" i="6" s="1"/>
  <c r="CY17" i="6"/>
  <c r="CZ17" i="6"/>
  <c r="DA17" i="6"/>
  <c r="DB17" i="6"/>
  <c r="CS17" i="6"/>
  <c r="CR30" i="6" s="1"/>
  <c r="CW17" i="6"/>
  <c r="CV30" i="6" s="1"/>
  <c r="CO17" i="6"/>
  <c r="CN30" i="6" s="1"/>
  <c r="CP17" i="6"/>
  <c r="CO30" i="6" s="1"/>
  <c r="CM17" i="6"/>
  <c r="CL30" i="6" s="1"/>
  <c r="CQ17" i="6"/>
  <c r="CP30" i="6" s="1"/>
  <c r="CR17" i="6"/>
  <c r="CQ30" i="6" s="1"/>
  <c r="DE17" i="6"/>
  <c r="CT17" i="6"/>
  <c r="CS30" i="6" s="1"/>
  <c r="CH17" i="6"/>
  <c r="CG30" i="6" s="1"/>
  <c r="CI17" i="6"/>
  <c r="CH30" i="6" s="1"/>
  <c r="CJ17" i="6"/>
  <c r="CI30" i="6" s="1"/>
  <c r="CK17" i="6"/>
  <c r="CJ30" i="6" s="1"/>
  <c r="P90" i="6"/>
  <c r="P82" i="6"/>
  <c r="R82" i="6" s="1"/>
  <c r="CB17" i="6"/>
  <c r="CA30" i="6" s="1"/>
  <c r="BT17" i="6"/>
  <c r="BS30" i="6" s="1"/>
  <c r="CF13" i="6"/>
  <c r="CF20" i="6" s="1"/>
  <c r="CF21" i="6" s="1"/>
  <c r="BX13" i="6"/>
  <c r="BW27" i="6" s="1"/>
  <c r="BO25" i="6"/>
  <c r="P93" i="6"/>
  <c r="R93" i="6" s="1"/>
  <c r="CG20" i="6"/>
  <c r="CG21" i="6" s="1"/>
  <c r="CF31" i="6" s="1"/>
  <c r="CE20" i="6"/>
  <c r="CE21" i="6" s="1"/>
  <c r="CD31" i="6" s="1"/>
  <c r="BY20" i="6"/>
  <c r="BY21" i="6" s="1"/>
  <c r="BX31" i="6" s="1"/>
  <c r="BZ20" i="6"/>
  <c r="BZ21" i="6" s="1"/>
  <c r="BY31" i="6" s="1"/>
  <c r="BY25" i="6"/>
  <c r="BX25" i="6"/>
  <c r="BU20" i="6"/>
  <c r="BU21" i="6" s="1"/>
  <c r="BT31" i="6" s="1"/>
  <c r="BX20" i="6"/>
  <c r="BX21" i="6" s="1"/>
  <c r="BW31" i="6" s="1"/>
  <c r="BU25" i="6"/>
  <c r="BW20" i="6"/>
  <c r="BW21" i="6" s="1"/>
  <c r="BV31" i="6" s="1"/>
  <c r="BQ17" i="6"/>
  <c r="BP30" i="6" s="1"/>
  <c r="BS13" i="6"/>
  <c r="BR27" i="6" s="1"/>
  <c r="AC17" i="6"/>
  <c r="BP17" i="6"/>
  <c r="BO30" i="6" s="1"/>
  <c r="BR13" i="6"/>
  <c r="BQ27" i="6" s="1"/>
  <c r="AM17" i="6"/>
  <c r="AL30" i="6" s="1"/>
  <c r="BN13" i="6"/>
  <c r="BO17" i="6"/>
  <c r="BN30" i="6" s="1"/>
  <c r="BQ13" i="6"/>
  <c r="BP27" i="6" s="1"/>
  <c r="P35" i="6"/>
  <c r="R35" i="6" s="1"/>
  <c r="AP17" i="6"/>
  <c r="BM13" i="6"/>
  <c r="BP13" i="6"/>
  <c r="BO27" i="6" s="1"/>
  <c r="R81" i="6"/>
  <c r="BK17" i="6"/>
  <c r="BO13" i="6"/>
  <c r="R80" i="6"/>
  <c r="BJ17" i="6"/>
  <c r="BJ20" i="6" s="1"/>
  <c r="BJ21" i="6" s="1"/>
  <c r="R90" i="6"/>
  <c r="R79" i="6"/>
  <c r="BN17" i="6"/>
  <c r="BN20" i="6" s="1"/>
  <c r="BN21" i="6" s="1"/>
  <c r="BS17" i="6"/>
  <c r="BR30" i="6" s="1"/>
  <c r="R89" i="6"/>
  <c r="R78" i="6"/>
  <c r="R77" i="6"/>
  <c r="AI47" i="6"/>
  <c r="BM20" i="6"/>
  <c r="BM21" i="6" s="1"/>
  <c r="AH13" i="6"/>
  <c r="AH20" i="6" s="1"/>
  <c r="AH21" i="6" s="1"/>
  <c r="AG31" i="6" s="1"/>
  <c r="BB13" i="6"/>
  <c r="BH13" i="6"/>
  <c r="AJ13" i="6"/>
  <c r="AI27" i="6" s="1"/>
  <c r="BG13" i="6"/>
  <c r="BG20" i="6" s="1"/>
  <c r="BG21" i="6" s="1"/>
  <c r="T13" i="6"/>
  <c r="T20" i="6" s="1"/>
  <c r="T21" i="6" s="1"/>
  <c r="AR13" i="6"/>
  <c r="H13" i="6"/>
  <c r="Z13" i="6"/>
  <c r="AS13" i="6"/>
  <c r="M17" i="6"/>
  <c r="AQ17" i="6"/>
  <c r="P13" i="6"/>
  <c r="Q13" i="6"/>
  <c r="BA13" i="6"/>
  <c r="AK13" i="6"/>
  <c r="BL13" i="6"/>
  <c r="AL13" i="6"/>
  <c r="AK27" i="6" s="1"/>
  <c r="Y13" i="6"/>
  <c r="I13" i="6"/>
  <c r="AB13" i="6"/>
  <c r="AB20" i="6" s="1"/>
  <c r="AB21" i="6" s="1"/>
  <c r="AT13" i="6"/>
  <c r="O17" i="6"/>
  <c r="AZ17" i="6"/>
  <c r="P54" i="6"/>
  <c r="R54" i="6" s="1"/>
  <c r="BH17" i="6"/>
  <c r="BK13" i="6"/>
  <c r="R13" i="6"/>
  <c r="J13" i="6"/>
  <c r="J20" i="6" s="1"/>
  <c r="J21" i="6" s="1"/>
  <c r="AC13" i="6"/>
  <c r="AC20" i="6" s="1"/>
  <c r="AC21" i="6" s="1"/>
  <c r="AU13" i="6"/>
  <c r="AT27" i="6" s="1"/>
  <c r="R17" i="6"/>
  <c r="BF17" i="6"/>
  <c r="BI13" i="6"/>
  <c r="BG17" i="6"/>
  <c r="BJ13" i="6"/>
  <c r="P33" i="6"/>
  <c r="R33" i="6" s="1"/>
  <c r="AE17" i="6"/>
  <c r="L13" i="6"/>
  <c r="AD13" i="6"/>
  <c r="AV13" i="6"/>
  <c r="T17" i="6"/>
  <c r="AS17" i="6"/>
  <c r="AS20" i="6" s="1"/>
  <c r="AS21" i="6" s="1"/>
  <c r="BD17" i="6"/>
  <c r="M13" i="6"/>
  <c r="M20" i="6" s="1"/>
  <c r="M21" i="6" s="1"/>
  <c r="V13" i="6"/>
  <c r="AE13" i="6"/>
  <c r="AE20" i="6" s="1"/>
  <c r="AE21" i="6" s="1"/>
  <c r="AN13" i="6"/>
  <c r="AW13" i="6"/>
  <c r="J17" i="6"/>
  <c r="U17" i="6"/>
  <c r="AI17" i="6"/>
  <c r="AH30" i="6" s="1"/>
  <c r="AU17" i="6"/>
  <c r="AT30" i="6" s="1"/>
  <c r="P42" i="6"/>
  <c r="R42" i="6" s="1"/>
  <c r="P70" i="6"/>
  <c r="R70" i="6" s="1"/>
  <c r="BC17" i="6"/>
  <c r="BE13" i="6"/>
  <c r="AR17" i="6"/>
  <c r="U13" i="6"/>
  <c r="U20" i="6" s="1"/>
  <c r="U21" i="6" s="1"/>
  <c r="AH17" i="6"/>
  <c r="BF13" i="6"/>
  <c r="N13" i="6"/>
  <c r="W13" i="6"/>
  <c r="AF13" i="6"/>
  <c r="AO13" i="6"/>
  <c r="AX13" i="6"/>
  <c r="AW27" i="6" s="1"/>
  <c r="K17" i="6"/>
  <c r="W17" i="6"/>
  <c r="AJ17" i="6"/>
  <c r="AI30" i="6" s="1"/>
  <c r="AX17" i="6"/>
  <c r="AW30" i="6" s="1"/>
  <c r="BB17" i="6"/>
  <c r="BD13" i="6"/>
  <c r="S17" i="6"/>
  <c r="P41" i="6"/>
  <c r="R41" i="6" s="1"/>
  <c r="BE17" i="6"/>
  <c r="AM13" i="6"/>
  <c r="AL27" i="6" s="1"/>
  <c r="P62" i="6"/>
  <c r="R62" i="6" s="1"/>
  <c r="O13" i="6"/>
  <c r="O20" i="6" s="1"/>
  <c r="O21" i="6" s="1"/>
  <c r="X13" i="6"/>
  <c r="AG13" i="6"/>
  <c r="AP13" i="6"/>
  <c r="AZ13" i="6"/>
  <c r="L17" i="6"/>
  <c r="Z17" i="6"/>
  <c r="AK17" i="6"/>
  <c r="AY17" i="6"/>
  <c r="AY20" i="6" s="1"/>
  <c r="AY21" i="6" s="1"/>
  <c r="AX31" i="6" s="1"/>
  <c r="BI17" i="6"/>
  <c r="BA17" i="6"/>
  <c r="BC13" i="6"/>
  <c r="Y24" i="6"/>
  <c r="AX24" i="6"/>
  <c r="AK25" i="6"/>
  <c r="AW24" i="6"/>
  <c r="AH24" i="6"/>
  <c r="P49" i="6"/>
  <c r="R49" i="6" s="1"/>
  <c r="P57" i="6"/>
  <c r="R57" i="6" s="1"/>
  <c r="P65" i="6"/>
  <c r="R65" i="6" s="1"/>
  <c r="P73" i="6"/>
  <c r="R73" i="6" s="1"/>
  <c r="P40" i="6"/>
  <c r="R40" i="6" s="1"/>
  <c r="P36" i="6"/>
  <c r="R36" i="6" s="1"/>
  <c r="P38" i="6"/>
  <c r="R38" i="6" s="1"/>
  <c r="P43" i="6"/>
  <c r="P44" i="6"/>
  <c r="R44" i="6" s="1"/>
  <c r="P55" i="6"/>
  <c r="R55" i="6" s="1"/>
  <c r="P63" i="6"/>
  <c r="R63" i="6" s="1"/>
  <c r="P71" i="6"/>
  <c r="R71" i="6" s="1"/>
  <c r="N17" i="6"/>
  <c r="V17" i="6"/>
  <c r="AD17" i="6"/>
  <c r="AL17" i="6"/>
  <c r="AK30" i="6" s="1"/>
  <c r="AT17" i="6"/>
  <c r="AI24" i="6"/>
  <c r="P50" i="6"/>
  <c r="R50" i="6" s="1"/>
  <c r="P58" i="6"/>
  <c r="R58" i="6" s="1"/>
  <c r="P66" i="6"/>
  <c r="R66" i="6" s="1"/>
  <c r="P74" i="6"/>
  <c r="R74" i="6" s="1"/>
  <c r="P52" i="6"/>
  <c r="R52" i="6" s="1"/>
  <c r="H17" i="6"/>
  <c r="P17" i="6"/>
  <c r="X17" i="6"/>
  <c r="AF17" i="6"/>
  <c r="AN17" i="6"/>
  <c r="AV17" i="6"/>
  <c r="P39" i="6"/>
  <c r="R39" i="6" s="1"/>
  <c r="P45" i="6"/>
  <c r="R45" i="6" s="1"/>
  <c r="P47" i="6"/>
  <c r="R47" i="6" s="1"/>
  <c r="P48" i="6"/>
  <c r="R48" i="6" s="1"/>
  <c r="P56" i="6"/>
  <c r="R56" i="6" s="1"/>
  <c r="P64" i="6"/>
  <c r="R64" i="6" s="1"/>
  <c r="P72" i="6"/>
  <c r="R72" i="6" s="1"/>
  <c r="P46" i="6"/>
  <c r="R46" i="6" s="1"/>
  <c r="P60" i="6"/>
  <c r="R60" i="6" s="1"/>
  <c r="P68" i="6"/>
  <c r="R68" i="6" s="1"/>
  <c r="P76" i="6"/>
  <c r="R76" i="6" s="1"/>
  <c r="P34" i="6"/>
  <c r="R34" i="6" s="1"/>
  <c r="P53" i="6"/>
  <c r="R53" i="6" s="1"/>
  <c r="P61" i="6"/>
  <c r="R61" i="6" s="1"/>
  <c r="P69" i="6"/>
  <c r="R69" i="6" s="1"/>
  <c r="K13" i="6"/>
  <c r="K20" i="6" s="1"/>
  <c r="K21" i="6" s="1"/>
  <c r="S13" i="6"/>
  <c r="S20" i="6" s="1"/>
  <c r="S21" i="6" s="1"/>
  <c r="AA13" i="6"/>
  <c r="AA20" i="6" s="1"/>
  <c r="AA21" i="6" s="1"/>
  <c r="AI13" i="6"/>
  <c r="AH27" i="6" s="1"/>
  <c r="AQ13" i="6"/>
  <c r="I17" i="6"/>
  <c r="Q17" i="6"/>
  <c r="Y17" i="6"/>
  <c r="Y20" i="6" s="1"/>
  <c r="Y21" i="6" s="1"/>
  <c r="AG17" i="6"/>
  <c r="AO17" i="6"/>
  <c r="P51" i="6"/>
  <c r="R51" i="6" s="1"/>
  <c r="P59" i="6"/>
  <c r="R59" i="6" s="1"/>
  <c r="P67" i="6"/>
  <c r="R67" i="6" s="1"/>
  <c r="AP3" i="2"/>
  <c r="AO3" i="2"/>
  <c r="F21" i="2"/>
  <c r="F18" i="2"/>
  <c r="T5" i="2"/>
  <c r="AN3" i="2"/>
  <c r="AM3" i="2"/>
  <c r="V3" i="2"/>
  <c r="Y45" i="1"/>
  <c r="Y46" i="1" s="1"/>
  <c r="Y42" i="1"/>
  <c r="Y43" i="1" s="1"/>
  <c r="CU27" i="6" l="1"/>
  <c r="CV20" i="6"/>
  <c r="CV21" i="6" s="1"/>
  <c r="CU31" i="6" s="1"/>
  <c r="CP27" i="6"/>
  <c r="CQ20" i="6"/>
  <c r="CQ21" i="6" s="1"/>
  <c r="CP31" i="6" s="1"/>
  <c r="CS27" i="6"/>
  <c r="CT20" i="6"/>
  <c r="CT21" i="6" s="1"/>
  <c r="CS31" i="6" s="1"/>
  <c r="CQ27" i="6"/>
  <c r="CR20" i="6"/>
  <c r="CR21" i="6" s="1"/>
  <c r="CQ31" i="6" s="1"/>
  <c r="CK27" i="6"/>
  <c r="CL20" i="6"/>
  <c r="CL21" i="6" s="1"/>
  <c r="CK31" i="6" s="1"/>
  <c r="AK20" i="6"/>
  <c r="AK21" i="6" s="1"/>
  <c r="CD20" i="6"/>
  <c r="CD21" i="6" s="1"/>
  <c r="CC31" i="6" s="1"/>
  <c r="AG20" i="6"/>
  <c r="AG21" i="6" s="1"/>
  <c r="CB20" i="6"/>
  <c r="CB21" i="6" s="1"/>
  <c r="CA31" i="6" s="1"/>
  <c r="CI27" i="6"/>
  <c r="CJ20" i="6"/>
  <c r="CJ21" i="6" s="1"/>
  <c r="CI31" i="6" s="1"/>
  <c r="BN27" i="6"/>
  <c r="BO20" i="6"/>
  <c r="BO21" i="6" s="1"/>
  <c r="BN31" i="6" s="1"/>
  <c r="DC20" i="6"/>
  <c r="DC21" i="6" s="1"/>
  <c r="BQ20" i="6"/>
  <c r="BQ21" i="6" s="1"/>
  <c r="BP31" i="6" s="1"/>
  <c r="AF20" i="6"/>
  <c r="AF21" i="6" s="1"/>
  <c r="AE31" i="6" s="1"/>
  <c r="CG27" i="6"/>
  <c r="CH20" i="6"/>
  <c r="CH21" i="6" s="1"/>
  <c r="CG31" i="6" s="1"/>
  <c r="CT27" i="6"/>
  <c r="CU20" i="6"/>
  <c r="CU21" i="6" s="1"/>
  <c r="CT31" i="6" s="1"/>
  <c r="BT20" i="6"/>
  <c r="BT21" i="6" s="1"/>
  <c r="BS31" i="6" s="1"/>
  <c r="H20" i="6"/>
  <c r="H21" i="6" s="1"/>
  <c r="CR27" i="6"/>
  <c r="CS20" i="6"/>
  <c r="CS21" i="6" s="1"/>
  <c r="CR31" i="6" s="1"/>
  <c r="CO27" i="6"/>
  <c r="CP20" i="6"/>
  <c r="CP21" i="6" s="1"/>
  <c r="CO31" i="6" s="1"/>
  <c r="CJ27" i="6"/>
  <c r="CK20" i="6"/>
  <c r="CK21" i="6" s="1"/>
  <c r="CJ31" i="6" s="1"/>
  <c r="DA20" i="6"/>
  <c r="DA21" i="6" s="1"/>
  <c r="N20" i="6"/>
  <c r="N21" i="6" s="1"/>
  <c r="Z20" i="6"/>
  <c r="Z21" i="6" s="1"/>
  <c r="Y31" i="6" s="1"/>
  <c r="W20" i="6"/>
  <c r="W21" i="6" s="1"/>
  <c r="CW27" i="6"/>
  <c r="CX20" i="6"/>
  <c r="CX21" i="6" s="1"/>
  <c r="CW31" i="6" s="1"/>
  <c r="CN27" i="6"/>
  <c r="CO20" i="6"/>
  <c r="CO21" i="6" s="1"/>
  <c r="CN31" i="6" s="1"/>
  <c r="BP20" i="6"/>
  <c r="BP21" i="6" s="1"/>
  <c r="BO31" i="6" s="1"/>
  <c r="AN20" i="6"/>
  <c r="AN21" i="6" s="1"/>
  <c r="CH27" i="6"/>
  <c r="CI20" i="6"/>
  <c r="CI21" i="6" s="1"/>
  <c r="CH31" i="6" s="1"/>
  <c r="CV27" i="6"/>
  <c r="CW20" i="6"/>
  <c r="CW21" i="6" s="1"/>
  <c r="CV31" i="6" s="1"/>
  <c r="AP20" i="6"/>
  <c r="AP21" i="6" s="1"/>
  <c r="AW20" i="6"/>
  <c r="AW21" i="6" s="1"/>
  <c r="AV31" i="6" s="1"/>
  <c r="CM27" i="6"/>
  <c r="CN20" i="6"/>
  <c r="CN21" i="6" s="1"/>
  <c r="CM31" i="6" s="1"/>
  <c r="CL27" i="6"/>
  <c r="CM20" i="6"/>
  <c r="CM21" i="6" s="1"/>
  <c r="CL31" i="6" s="1"/>
  <c r="CA20" i="6"/>
  <c r="CA21" i="6" s="1"/>
  <c r="BZ31" i="6" s="1"/>
  <c r="BR20" i="6"/>
  <c r="BR21" i="6" s="1"/>
  <c r="BQ31" i="6" s="1"/>
  <c r="AT20" i="6"/>
  <c r="AT21" i="6" s="1"/>
  <c r="R20" i="6"/>
  <c r="R21" i="6" s="1"/>
  <c r="AD20" i="6"/>
  <c r="AD21" i="6" s="1"/>
  <c r="AV20" i="6"/>
  <c r="AV21" i="6" s="1"/>
  <c r="AU31" i="6" s="1"/>
  <c r="BL20" i="6"/>
  <c r="BL21" i="6" s="1"/>
  <c r="AQ20" i="6"/>
  <c r="AQ21" i="6" s="1"/>
  <c r="P20" i="6"/>
  <c r="P21" i="6" s="1"/>
  <c r="BB20" i="6"/>
  <c r="BB21" i="6" s="1"/>
  <c r="V20" i="6"/>
  <c r="V21" i="6" s="1"/>
  <c r="BA20" i="6"/>
  <c r="BA21" i="6" s="1"/>
  <c r="AR20" i="6"/>
  <c r="AR21" i="6" s="1"/>
  <c r="Q20" i="6"/>
  <c r="Q21" i="6" s="1"/>
  <c r="BK20" i="6"/>
  <c r="BK21" i="6" s="1"/>
  <c r="X20" i="6"/>
  <c r="X21" i="6" s="1"/>
  <c r="BE20" i="6"/>
  <c r="BE21" i="6" s="1"/>
  <c r="AO20" i="6"/>
  <c r="AO21" i="6" s="1"/>
  <c r="I20" i="6"/>
  <c r="I21" i="6" s="1"/>
  <c r="BC20" i="6"/>
  <c r="BC21" i="6" s="1"/>
  <c r="BH20" i="6"/>
  <c r="BH21" i="6" s="1"/>
  <c r="BF20" i="6"/>
  <c r="BF21" i="6" s="1"/>
  <c r="BI20" i="6"/>
  <c r="BI21" i="6" s="1"/>
  <c r="BD20" i="6"/>
  <c r="BD21" i="6" s="1"/>
  <c r="AZ20" i="6"/>
  <c r="AZ21" i="6" s="1"/>
  <c r="AX20" i="6"/>
  <c r="AX21" i="6" s="1"/>
  <c r="AW31" i="6" s="1"/>
  <c r="AU20" i="6"/>
  <c r="AU21" i="6" s="1"/>
  <c r="AT31" i="6" s="1"/>
  <c r="L20" i="6"/>
  <c r="L21" i="6" s="1"/>
  <c r="AJ20" i="6"/>
  <c r="AJ21" i="6" s="1"/>
  <c r="AI31" i="6" s="1"/>
  <c r="AL20" i="6"/>
  <c r="AL21" i="6" s="1"/>
  <c r="AK31" i="6" s="1"/>
  <c r="AM20" i="6"/>
  <c r="AM21" i="6" s="1"/>
  <c r="AL31" i="6" s="1"/>
  <c r="AF43" i="6"/>
  <c r="R43" i="6"/>
  <c r="AH43" i="6" s="1"/>
  <c r="AI20" i="6"/>
  <c r="AI21" i="6" s="1"/>
  <c r="AH31" i="6" s="1"/>
  <c r="C17" i="1"/>
  <c r="C18" i="1" s="1"/>
  <c r="C20" i="1" l="1"/>
  <c r="C19" i="1"/>
  <c r="C21" i="1"/>
  <c r="Y3" i="2"/>
  <c r="Z3" i="2"/>
  <c r="AL3" i="2"/>
  <c r="AK3" i="2"/>
  <c r="AJ3" i="2"/>
  <c r="AI3" i="2"/>
  <c r="H3" i="2" l="1"/>
  <c r="H5" i="2" l="1"/>
  <c r="AF3" i="2" l="1"/>
  <c r="AE3" i="2"/>
  <c r="AL24" i="2" l="1"/>
  <c r="AT24" i="2"/>
  <c r="AU24" i="2"/>
  <c r="AV24" i="2"/>
  <c r="AW25" i="2"/>
  <c r="AT26" i="2"/>
  <c r="AW26" i="2"/>
  <c r="AW28" i="2"/>
  <c r="AW29" i="2"/>
  <c r="AI9" i="2"/>
  <c r="AJ9" i="2"/>
  <c r="AK9" i="2"/>
  <c r="AL9" i="2"/>
  <c r="AM9" i="2"/>
  <c r="AL28" i="2" s="1"/>
  <c r="AN9" i="2"/>
  <c r="AO9" i="2"/>
  <c r="AP9" i="2"/>
  <c r="AQ9" i="2"/>
  <c r="AR9" i="2"/>
  <c r="AS9" i="2"/>
  <c r="AT9" i="2"/>
  <c r="AU9" i="2"/>
  <c r="AT28" i="2" s="1"/>
  <c r="AV9" i="2"/>
  <c r="AW9" i="2"/>
  <c r="AI11" i="2"/>
  <c r="AJ11" i="2"/>
  <c r="AK11" i="2"/>
  <c r="AL11" i="2"/>
  <c r="AM11" i="2"/>
  <c r="AL29" i="2" s="1"/>
  <c r="AN11" i="2"/>
  <c r="AO11" i="2"/>
  <c r="AP11" i="2"/>
  <c r="AQ11" i="2"/>
  <c r="AR11" i="2"/>
  <c r="AS11" i="2"/>
  <c r="AT11" i="2"/>
  <c r="AU11" i="2"/>
  <c r="AT29" i="2" s="1"/>
  <c r="AV11" i="2"/>
  <c r="AW11" i="2"/>
  <c r="AI15" i="2"/>
  <c r="AJ15" i="2"/>
  <c r="AK15" i="2"/>
  <c r="AL15" i="2"/>
  <c r="AM15" i="2"/>
  <c r="AL26" i="2" s="1"/>
  <c r="AN15" i="2"/>
  <c r="AO15" i="2"/>
  <c r="AP15" i="2"/>
  <c r="AQ15" i="2"/>
  <c r="AR15" i="2"/>
  <c r="AS15" i="2"/>
  <c r="AT15" i="2"/>
  <c r="AU15" i="2"/>
  <c r="AV15" i="2"/>
  <c r="AW15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I5" i="2"/>
  <c r="AJ5" i="2"/>
  <c r="AK5" i="2"/>
  <c r="AL5" i="2"/>
  <c r="AM5" i="2"/>
  <c r="AL25" i="2" s="1"/>
  <c r="AN5" i="2"/>
  <c r="AO5" i="2"/>
  <c r="AP5" i="2"/>
  <c r="AQ5" i="2"/>
  <c r="AR5" i="2"/>
  <c r="AS5" i="2"/>
  <c r="AT5" i="2"/>
  <c r="AU5" i="2"/>
  <c r="AT25" i="2" s="1"/>
  <c r="AV5" i="2"/>
  <c r="AW5" i="2"/>
  <c r="AC3" i="2"/>
  <c r="X47" i="2"/>
  <c r="Y47" i="2"/>
  <c r="Z47" i="2"/>
  <c r="AA47" i="2"/>
  <c r="AB47" i="2"/>
  <c r="AC47" i="2"/>
  <c r="AD47" i="2"/>
  <c r="AE47" i="2"/>
  <c r="AF47" i="2"/>
  <c r="AG47" i="2"/>
  <c r="AH47" i="2"/>
  <c r="W47" i="2"/>
  <c r="AD3" i="2"/>
  <c r="Y24" i="2" l="1"/>
  <c r="AA3" i="2"/>
  <c r="AB3" i="2"/>
  <c r="AD24" i="2"/>
  <c r="AE24" i="2"/>
  <c r="AG24" i="2"/>
  <c r="AH24" i="2"/>
  <c r="AI24" i="2"/>
  <c r="AK24" i="2"/>
  <c r="Y11" i="2"/>
  <c r="Z11" i="2"/>
  <c r="AA11" i="2"/>
  <c r="AB11" i="2"/>
  <c r="AC11" i="2"/>
  <c r="AD11" i="2"/>
  <c r="AE11" i="2"/>
  <c r="AF11" i="2"/>
  <c r="AG11" i="2"/>
  <c r="AH11" i="2"/>
  <c r="Y15" i="2"/>
  <c r="Z15" i="2"/>
  <c r="AA15" i="2"/>
  <c r="AB15" i="2"/>
  <c r="AC15" i="2"/>
  <c r="AD15" i="2"/>
  <c r="AE15" i="2"/>
  <c r="AF15" i="2"/>
  <c r="AG15" i="2"/>
  <c r="AH15" i="2"/>
  <c r="AH9" i="2"/>
  <c r="AC9" i="2"/>
  <c r="AD9" i="2"/>
  <c r="AE9" i="2"/>
  <c r="AF9" i="2"/>
  <c r="AG9" i="2"/>
  <c r="AC7" i="2"/>
  <c r="AD7" i="2"/>
  <c r="AE7" i="2"/>
  <c r="AF7" i="2"/>
  <c r="AG7" i="2"/>
  <c r="AH7" i="2"/>
  <c r="AC5" i="2"/>
  <c r="AD5" i="2"/>
  <c r="AE5" i="2"/>
  <c r="AF5" i="2"/>
  <c r="AG5" i="2"/>
  <c r="AH5" i="2"/>
  <c r="Y9" i="2"/>
  <c r="Z9" i="2"/>
  <c r="AA9" i="2"/>
  <c r="AB9" i="2"/>
  <c r="Y7" i="2"/>
  <c r="Z7" i="2"/>
  <c r="AA7" i="2"/>
  <c r="AB7" i="2"/>
  <c r="Y5" i="2"/>
  <c r="Z5" i="2"/>
  <c r="AA5" i="2"/>
  <c r="AB5" i="2"/>
  <c r="X3" i="2"/>
  <c r="W3" i="2"/>
  <c r="U3" i="2"/>
  <c r="X43" i="2"/>
  <c r="AI43" i="2" s="1"/>
  <c r="Y43" i="2"/>
  <c r="Z43" i="2"/>
  <c r="AA43" i="2"/>
  <c r="AB43" i="2"/>
  <c r="AC43" i="2"/>
  <c r="AD43" i="2"/>
  <c r="AE43" i="2"/>
  <c r="AG43" i="2"/>
  <c r="W43" i="2"/>
  <c r="U15" i="2"/>
  <c r="V15" i="2"/>
  <c r="W15" i="2"/>
  <c r="X15" i="2"/>
  <c r="U7" i="2"/>
  <c r="V7" i="2"/>
  <c r="W7" i="2"/>
  <c r="X7" i="2"/>
  <c r="U9" i="2"/>
  <c r="V9" i="2"/>
  <c r="W9" i="2"/>
  <c r="X9" i="2"/>
  <c r="U11" i="2"/>
  <c r="V11" i="2"/>
  <c r="W11" i="2"/>
  <c r="X11" i="2"/>
  <c r="X5" i="2"/>
  <c r="W5" i="2"/>
  <c r="V5" i="2"/>
  <c r="AH29" i="2"/>
  <c r="AI29" i="2"/>
  <c r="AK29" i="2"/>
  <c r="AH28" i="2"/>
  <c r="AI28" i="2"/>
  <c r="AK28" i="2"/>
  <c r="AH26" i="2"/>
  <c r="AI26" i="2"/>
  <c r="AK26" i="2"/>
  <c r="AH25" i="2"/>
  <c r="AI25" i="2"/>
  <c r="AK25" i="2"/>
  <c r="T3" i="2" l="1"/>
  <c r="S3" i="2"/>
  <c r="R3" i="2"/>
  <c r="R15" i="2"/>
  <c r="S15" i="2"/>
  <c r="T15" i="2"/>
  <c r="R11" i="2"/>
  <c r="S11" i="2"/>
  <c r="T11" i="2"/>
  <c r="R9" i="2"/>
  <c r="S9" i="2"/>
  <c r="T9" i="2"/>
  <c r="R7" i="2"/>
  <c r="S7" i="2"/>
  <c r="T7" i="2"/>
  <c r="S5" i="2"/>
  <c r="U5" i="2"/>
  <c r="R5" i="2"/>
  <c r="C34" i="2" l="1"/>
  <c r="C33" i="2"/>
  <c r="P37" i="2" s="1"/>
  <c r="R37" i="2" s="1"/>
  <c r="P77" i="2" l="1"/>
  <c r="R77" i="2" s="1"/>
  <c r="P76" i="2"/>
  <c r="R76" i="2" s="1"/>
  <c r="P42" i="2"/>
  <c r="R42" i="2" s="1"/>
  <c r="P74" i="2"/>
  <c r="R74" i="2" s="1"/>
  <c r="P75" i="2"/>
  <c r="R75" i="2" s="1"/>
  <c r="P73" i="2"/>
  <c r="R73" i="2" s="1"/>
  <c r="P63" i="2"/>
  <c r="R63" i="2" s="1"/>
  <c r="P65" i="2"/>
  <c r="R65" i="2" s="1"/>
  <c r="P67" i="2"/>
  <c r="R67" i="2" s="1"/>
  <c r="P69" i="2"/>
  <c r="R69" i="2" s="1"/>
  <c r="P70" i="2"/>
  <c r="R70" i="2" s="1"/>
  <c r="P71" i="2"/>
  <c r="R71" i="2" s="1"/>
  <c r="P64" i="2"/>
  <c r="R64" i="2" s="1"/>
  <c r="P72" i="2"/>
  <c r="R72" i="2" s="1"/>
  <c r="P66" i="2"/>
  <c r="R66" i="2" s="1"/>
  <c r="P68" i="2"/>
  <c r="R68" i="2" s="1"/>
  <c r="P35" i="2"/>
  <c r="R35" i="2" s="1"/>
  <c r="P38" i="2"/>
  <c r="R38" i="2" s="1"/>
  <c r="P34" i="2"/>
  <c r="R34" i="2" s="1"/>
  <c r="P36" i="2"/>
  <c r="R36" i="2" s="1"/>
  <c r="P45" i="2"/>
  <c r="R45" i="2" s="1"/>
  <c r="P47" i="2"/>
  <c r="R47" i="2" s="1"/>
  <c r="P39" i="2"/>
  <c r="R39" i="2" s="1"/>
  <c r="P60" i="2"/>
  <c r="R60" i="2" s="1"/>
  <c r="P59" i="2"/>
  <c r="R59" i="2" s="1"/>
  <c r="P61" i="2"/>
  <c r="R61" i="2" s="1"/>
  <c r="P62" i="2"/>
  <c r="R62" i="2" s="1"/>
  <c r="P57" i="2"/>
  <c r="R57" i="2" s="1"/>
  <c r="P58" i="2"/>
  <c r="R58" i="2" s="1"/>
  <c r="P56" i="2"/>
  <c r="R56" i="2" s="1"/>
  <c r="P54" i="2"/>
  <c r="R54" i="2" s="1"/>
  <c r="P55" i="2"/>
  <c r="R55" i="2" s="1"/>
  <c r="P53" i="2"/>
  <c r="R53" i="2" s="1"/>
  <c r="P48" i="2"/>
  <c r="R48" i="2" s="1"/>
  <c r="P51" i="2"/>
  <c r="R51" i="2" s="1"/>
  <c r="P52" i="2"/>
  <c r="R52" i="2" s="1"/>
  <c r="P49" i="2"/>
  <c r="R49" i="2" s="1"/>
  <c r="P44" i="2"/>
  <c r="R44" i="2" s="1"/>
  <c r="P50" i="2"/>
  <c r="R50" i="2" s="1"/>
  <c r="P43" i="2"/>
  <c r="P46" i="2"/>
  <c r="R46" i="2" s="1"/>
  <c r="P40" i="2"/>
  <c r="R40" i="2" s="1"/>
  <c r="P33" i="2"/>
  <c r="R33" i="2" s="1"/>
  <c r="P41" i="2"/>
  <c r="R41" i="2" s="1"/>
  <c r="G40" i="2"/>
  <c r="Q3" i="2"/>
  <c r="O3" i="2"/>
  <c r="P3" i="2"/>
  <c r="AF43" i="2" l="1"/>
  <c r="R43" i="2"/>
  <c r="AH43" i="2"/>
  <c r="P15" i="2"/>
  <c r="Q15" i="2"/>
  <c r="P11" i="2"/>
  <c r="Q11" i="2"/>
  <c r="P9" i="2"/>
  <c r="Q9" i="2"/>
  <c r="P7" i="2"/>
  <c r="Q7" i="2"/>
  <c r="P5" i="2"/>
  <c r="Q5" i="2"/>
  <c r="N3" i="2"/>
  <c r="M3" i="2"/>
  <c r="C13" i="3"/>
  <c r="C12" i="3"/>
  <c r="C11" i="3"/>
  <c r="C10" i="3"/>
  <c r="C5" i="3"/>
  <c r="C4" i="3"/>
  <c r="C3" i="3"/>
  <c r="L15" i="2"/>
  <c r="L5" i="2"/>
  <c r="G38" i="2"/>
  <c r="G37" i="2"/>
  <c r="L3" i="2"/>
  <c r="G36" i="2"/>
  <c r="G35" i="2"/>
  <c r="J3" i="2"/>
  <c r="G34" i="2"/>
  <c r="G33" i="2"/>
  <c r="I3" i="2"/>
  <c r="I15" i="2" l="1"/>
  <c r="J15" i="2"/>
  <c r="K15" i="2"/>
  <c r="M15" i="2"/>
  <c r="N15" i="2"/>
  <c r="O15" i="2"/>
  <c r="H15" i="2"/>
  <c r="H7" i="2"/>
  <c r="C10" i="2"/>
  <c r="O7" i="2"/>
  <c r="N7" i="2"/>
  <c r="M7" i="2"/>
  <c r="L7" i="2"/>
  <c r="K7" i="2"/>
  <c r="J7" i="2"/>
  <c r="I7" i="2"/>
  <c r="O5" i="2"/>
  <c r="N5" i="2"/>
  <c r="M5" i="2"/>
  <c r="K5" i="2"/>
  <c r="J5" i="2"/>
  <c r="I5" i="2"/>
  <c r="K3" i="2"/>
  <c r="I9" i="2"/>
  <c r="J9" i="2"/>
  <c r="K9" i="2"/>
  <c r="L9" i="2"/>
  <c r="M9" i="2"/>
  <c r="N9" i="2"/>
  <c r="O9" i="2"/>
  <c r="I11" i="2"/>
  <c r="J11" i="2"/>
  <c r="K11" i="2"/>
  <c r="L11" i="2"/>
  <c r="M11" i="2"/>
  <c r="N11" i="2"/>
  <c r="O11" i="2"/>
  <c r="H11" i="2"/>
  <c r="H9" i="2"/>
  <c r="AY17" i="2" l="1"/>
  <c r="AZ17" i="2"/>
  <c r="AY30" i="2" s="1"/>
  <c r="J17" i="2"/>
  <c r="AX17" i="2"/>
  <c r="AW30" i="2" s="1"/>
  <c r="O17" i="2"/>
  <c r="M17" i="2"/>
  <c r="K17" i="2"/>
  <c r="N17" i="2"/>
  <c r="L17" i="2"/>
  <c r="AJ17" i="2"/>
  <c r="AI30" i="2" s="1"/>
  <c r="AR17" i="2"/>
  <c r="AM17" i="2"/>
  <c r="AL30" i="2" s="1"/>
  <c r="AN17" i="2"/>
  <c r="AP17" i="2"/>
  <c r="AK17" i="2"/>
  <c r="AS17" i="2"/>
  <c r="AU17" i="2"/>
  <c r="AT30" i="2" s="1"/>
  <c r="AV17" i="2"/>
  <c r="AW17" i="2"/>
  <c r="AQ17" i="2"/>
  <c r="AL17" i="2"/>
  <c r="AK30" i="2" s="1"/>
  <c r="AT17" i="2"/>
  <c r="AO17" i="2"/>
  <c r="AI17" i="2"/>
  <c r="AH30" i="2" s="1"/>
  <c r="Y17" i="2"/>
  <c r="AG17" i="2"/>
  <c r="AF17" i="2"/>
  <c r="X17" i="2"/>
  <c r="Z17" i="2"/>
  <c r="AH17" i="2"/>
  <c r="AA17" i="2"/>
  <c r="AB17" i="2"/>
  <c r="AC17" i="2"/>
  <c r="U17" i="2"/>
  <c r="AD17" i="2"/>
  <c r="V17" i="2"/>
  <c r="AE17" i="2"/>
  <c r="W17" i="2"/>
  <c r="R17" i="2"/>
  <c r="S17" i="2"/>
  <c r="T17" i="2"/>
  <c r="P17" i="2"/>
  <c r="Q17" i="2"/>
  <c r="I17" i="2"/>
  <c r="H17" i="2"/>
  <c r="C7" i="2"/>
  <c r="C6" i="2"/>
  <c r="C8" i="2"/>
  <c r="C9" i="2"/>
  <c r="AX13" i="2" l="1"/>
  <c r="AZ13" i="2"/>
  <c r="AY13" i="2"/>
  <c r="AY20" i="2" s="1"/>
  <c r="AY21" i="2" s="1"/>
  <c r="AX31" i="2" s="1"/>
  <c r="AX20" i="2"/>
  <c r="AX21" i="2" s="1"/>
  <c r="AW31" i="2" s="1"/>
  <c r="AW27" i="2"/>
  <c r="AP13" i="2"/>
  <c r="AI13" i="2"/>
  <c r="AQ13" i="2"/>
  <c r="AK13" i="2"/>
  <c r="AK20" i="2" s="1"/>
  <c r="AK21" i="2" s="1"/>
  <c r="AS13" i="2"/>
  <c r="AL13" i="2"/>
  <c r="AT13" i="2"/>
  <c r="AM13" i="2"/>
  <c r="AV13" i="2"/>
  <c r="AJ13" i="2"/>
  <c r="AR13" i="2"/>
  <c r="AU13" i="2"/>
  <c r="AN13" i="2"/>
  <c r="AO13" i="2"/>
  <c r="AW13" i="2"/>
  <c r="AD13" i="2"/>
  <c r="AD20" i="2" s="1"/>
  <c r="AD21" i="2" s="1"/>
  <c r="AC13" i="2"/>
  <c r="AC20" i="2" s="1"/>
  <c r="AC21" i="2" s="1"/>
  <c r="AE13" i="2"/>
  <c r="AE20" i="2" s="1"/>
  <c r="AE21" i="2" s="1"/>
  <c r="Y13" i="2"/>
  <c r="Y20" i="2" s="1"/>
  <c r="Y21" i="2" s="1"/>
  <c r="X13" i="2"/>
  <c r="X20" i="2" s="1"/>
  <c r="X21" i="2" s="1"/>
  <c r="AA13" i="2"/>
  <c r="AA20" i="2" s="1"/>
  <c r="AA21" i="2" s="1"/>
  <c r="U13" i="2"/>
  <c r="U20" i="2" s="1"/>
  <c r="U21" i="2" s="1"/>
  <c r="AB13" i="2"/>
  <c r="AB20" i="2" s="1"/>
  <c r="AB21" i="2" s="1"/>
  <c r="AF13" i="2"/>
  <c r="AF20" i="2" s="1"/>
  <c r="AF21" i="2" s="1"/>
  <c r="AE31" i="2" s="1"/>
  <c r="AG13" i="2"/>
  <c r="AG20" i="2" s="1"/>
  <c r="AG21" i="2" s="1"/>
  <c r="Z13" i="2"/>
  <c r="Z20" i="2" s="1"/>
  <c r="Z21" i="2" s="1"/>
  <c r="Y31" i="2" s="1"/>
  <c r="AH13" i="2"/>
  <c r="AH20" i="2" s="1"/>
  <c r="AH21" i="2" s="1"/>
  <c r="AG31" i="2" s="1"/>
  <c r="V13" i="2"/>
  <c r="V20" i="2" s="1"/>
  <c r="V21" i="2" s="1"/>
  <c r="W13" i="2"/>
  <c r="W20" i="2" s="1"/>
  <c r="W21" i="2" s="1"/>
  <c r="S13" i="2"/>
  <c r="S20" i="2" s="1"/>
  <c r="S21" i="2" s="1"/>
  <c r="T13" i="2"/>
  <c r="T20" i="2" s="1"/>
  <c r="T21" i="2" s="1"/>
  <c r="R13" i="2"/>
  <c r="R20" i="2" s="1"/>
  <c r="R21" i="2" s="1"/>
  <c r="Q13" i="2"/>
  <c r="Q20" i="2" s="1"/>
  <c r="Q21" i="2" s="1"/>
  <c r="P13" i="2"/>
  <c r="P20" i="2" s="1"/>
  <c r="P21" i="2" s="1"/>
  <c r="J13" i="2"/>
  <c r="L13" i="2"/>
  <c r="N13" i="2"/>
  <c r="O13" i="2"/>
  <c r="M13" i="2"/>
  <c r="K13" i="2"/>
  <c r="H13" i="2"/>
  <c r="I13" i="2"/>
  <c r="AY27" i="2" l="1"/>
  <c r="AZ20" i="2"/>
  <c r="AZ21" i="2" s="1"/>
  <c r="AY31" i="2" s="1"/>
  <c r="AW20" i="2"/>
  <c r="AW21" i="2" s="1"/>
  <c r="AV31" i="2" s="1"/>
  <c r="AT20" i="2"/>
  <c r="AT21" i="2" s="1"/>
  <c r="AO20" i="2"/>
  <c r="AO21" i="2" s="1"/>
  <c r="AL20" i="2"/>
  <c r="AL21" i="2" s="1"/>
  <c r="AK31" i="2" s="1"/>
  <c r="AK27" i="2"/>
  <c r="AN20" i="2"/>
  <c r="AN21" i="2" s="1"/>
  <c r="AS20" i="2"/>
  <c r="AS21" i="2" s="1"/>
  <c r="AT27" i="2"/>
  <c r="AU20" i="2"/>
  <c r="AU21" i="2" s="1"/>
  <c r="AT31" i="2" s="1"/>
  <c r="AR20" i="2"/>
  <c r="AR21" i="2" s="1"/>
  <c r="AQ20" i="2"/>
  <c r="AQ21" i="2" s="1"/>
  <c r="I21" i="2"/>
  <c r="AI27" i="2"/>
  <c r="AJ20" i="2"/>
  <c r="AJ21" i="2" s="1"/>
  <c r="AI31" i="2" s="1"/>
  <c r="AH27" i="2"/>
  <c r="AI20" i="2"/>
  <c r="AI21" i="2" s="1"/>
  <c r="AH31" i="2" s="1"/>
  <c r="H20" i="2"/>
  <c r="H21" i="2" s="1"/>
  <c r="AV20" i="2"/>
  <c r="AV21" i="2" s="1"/>
  <c r="AU31" i="2" s="1"/>
  <c r="AP20" i="2"/>
  <c r="AP21" i="2" s="1"/>
  <c r="K20" i="2"/>
  <c r="K21" i="2" s="1"/>
  <c r="AL27" i="2"/>
  <c r="AM20" i="2"/>
  <c r="AM21" i="2" s="1"/>
  <c r="AL31" i="2" s="1"/>
  <c r="I20" i="2"/>
  <c r="N20" i="2"/>
  <c r="N21" i="2" s="1"/>
  <c r="L20" i="2"/>
  <c r="L21" i="2" s="1"/>
  <c r="M20" i="2"/>
  <c r="M21" i="2" s="1"/>
  <c r="O20" i="2"/>
  <c r="O21" i="2" s="1"/>
  <c r="J20" i="2"/>
  <c r="J21" i="2" s="1"/>
</calcChain>
</file>

<file path=xl/sharedStrings.xml><?xml version="1.0" encoding="utf-8"?>
<sst xmlns="http://schemas.openxmlformats.org/spreadsheetml/2006/main" count="2526" uniqueCount="368">
  <si>
    <t>area</t>
    <phoneticPr fontId="1"/>
  </si>
  <si>
    <t>M</t>
    <phoneticPr fontId="1"/>
  </si>
  <si>
    <t>グルコース</t>
    <phoneticPr fontId="1"/>
  </si>
  <si>
    <t>キャリブレーションファクター</t>
    <phoneticPr fontId="1"/>
  </si>
  <si>
    <t>面積</t>
    <rPh sb="0" eb="2">
      <t>メンセキ</t>
    </rPh>
    <phoneticPr fontId="1"/>
  </si>
  <si>
    <t>収率</t>
    <rPh sb="0" eb="2">
      <t>シュウリツ</t>
    </rPh>
    <phoneticPr fontId="1"/>
  </si>
  <si>
    <t>セロビオース</t>
    <phoneticPr fontId="1"/>
  </si>
  <si>
    <t>5-HMF</t>
    <phoneticPr fontId="1"/>
  </si>
  <si>
    <t>レボグルコサン</t>
    <phoneticPr fontId="1"/>
  </si>
  <si>
    <t>HBPEK</t>
    <phoneticPr fontId="1"/>
  </si>
  <si>
    <t>フタル酸</t>
    <rPh sb="3" eb="4">
      <t>サン</t>
    </rPh>
    <phoneticPr fontId="1"/>
  </si>
  <si>
    <t>ブランク</t>
    <phoneticPr fontId="1"/>
  </si>
  <si>
    <t>セロオリゴ糖</t>
    <rPh sb="5" eb="6">
      <t>トウ</t>
    </rPh>
    <phoneticPr fontId="1"/>
  </si>
  <si>
    <t>セロトリオース</t>
    <phoneticPr fontId="1"/>
  </si>
  <si>
    <t>フルクトース</t>
    <phoneticPr fontId="1"/>
  </si>
  <si>
    <t>マンノース</t>
    <phoneticPr fontId="1"/>
  </si>
  <si>
    <t>milled</t>
    <phoneticPr fontId="1"/>
  </si>
  <si>
    <t>Avicel</t>
    <phoneticPr fontId="1"/>
  </si>
  <si>
    <t>転化率</t>
    <rPh sb="0" eb="3">
      <t>テンカリツ</t>
    </rPh>
    <phoneticPr fontId="1"/>
  </si>
  <si>
    <t>安息香酸</t>
    <rPh sb="0" eb="4">
      <t>アンソクコウサン</t>
    </rPh>
    <phoneticPr fontId="1"/>
  </si>
  <si>
    <t>合計</t>
    <rPh sb="0" eb="2">
      <t>ゴウケイ</t>
    </rPh>
    <phoneticPr fontId="1"/>
  </si>
  <si>
    <t>その他</t>
    <rPh sb="2" eb="3">
      <t>タ</t>
    </rPh>
    <phoneticPr fontId="1"/>
  </si>
  <si>
    <t>フルフラール</t>
    <phoneticPr fontId="1"/>
  </si>
  <si>
    <t>10--12</t>
    <phoneticPr fontId="1"/>
  </si>
  <si>
    <t>フルクトース，マンノース</t>
    <phoneticPr fontId="1"/>
  </si>
  <si>
    <t>milledセルロース</t>
    <phoneticPr fontId="1"/>
  </si>
  <si>
    <t>blank</t>
    <phoneticPr fontId="1"/>
  </si>
  <si>
    <t>Avicelセルロース</t>
    <phoneticPr fontId="1"/>
  </si>
  <si>
    <t>No catalyst</t>
  </si>
  <si>
    <t>Phthalic acid</t>
  </si>
  <si>
    <t>Benzoic acid</t>
  </si>
  <si>
    <t>HBPEK-(COOH)₃</t>
    <phoneticPr fontId="1"/>
  </si>
  <si>
    <t>モノマー</t>
    <phoneticPr fontId="1"/>
  </si>
  <si>
    <t>末端COOHモノマー</t>
    <rPh sb="0" eb="2">
      <t>マッタン</t>
    </rPh>
    <phoneticPr fontId="1"/>
  </si>
  <si>
    <t>触媒mg</t>
    <rPh sb="0" eb="2">
      <t>ショクバイ</t>
    </rPh>
    <phoneticPr fontId="1"/>
  </si>
  <si>
    <t>micro</t>
    <phoneticPr fontId="1"/>
  </si>
  <si>
    <t>miled</t>
    <phoneticPr fontId="1"/>
  </si>
  <si>
    <t>μmol</t>
    <phoneticPr fontId="1"/>
  </si>
  <si>
    <t>反応時間</t>
    <rPh sb="0" eb="4">
      <t>ハンノウジカン</t>
    </rPh>
    <phoneticPr fontId="1"/>
  </si>
  <si>
    <t>質量比活性</t>
    <rPh sb="0" eb="5">
      <t>シツリョウヒカッセイ</t>
    </rPh>
    <phoneticPr fontId="1"/>
  </si>
  <si>
    <t>ピロメリット酸</t>
    <rPh sb="6" eb="7">
      <t>サン</t>
    </rPh>
    <phoneticPr fontId="1"/>
  </si>
  <si>
    <t>モノマー2回目</t>
    <rPh sb="5" eb="7">
      <t>カイメ</t>
    </rPh>
    <phoneticPr fontId="1"/>
  </si>
  <si>
    <t>モノマー2</t>
    <phoneticPr fontId="1"/>
  </si>
  <si>
    <t>モノマー3</t>
    <phoneticPr fontId="1"/>
  </si>
  <si>
    <t>モノマー3回目</t>
    <rPh sb="5" eb="7">
      <t>カイメ</t>
    </rPh>
    <phoneticPr fontId="1"/>
  </si>
  <si>
    <t>モノマー＋</t>
    <phoneticPr fontId="1"/>
  </si>
  <si>
    <t>Avicel</t>
  </si>
  <si>
    <t>HBPEK2</t>
    <phoneticPr fontId="1"/>
  </si>
  <si>
    <t>milled</t>
  </si>
  <si>
    <t>モノマー+</t>
    <phoneticPr fontId="1"/>
  </si>
  <si>
    <t>Microcrystalline cellulose</t>
    <phoneticPr fontId="1"/>
  </si>
  <si>
    <t>Ball-milled cellulose</t>
    <phoneticPr fontId="1"/>
  </si>
  <si>
    <t>ナフタフタル酸</t>
    <rPh sb="6" eb="7">
      <t>サン</t>
    </rPh>
    <phoneticPr fontId="1"/>
  </si>
  <si>
    <t>マレイン酸</t>
    <rPh sb="4" eb="5">
      <t>サン</t>
    </rPh>
    <phoneticPr fontId="1"/>
  </si>
  <si>
    <t>フマル酸</t>
    <rPh sb="3" eb="4">
      <t>サン</t>
    </rPh>
    <phoneticPr fontId="1"/>
  </si>
  <si>
    <t>フタル酸2倍</t>
    <rPh sb="3" eb="4">
      <t>サン</t>
    </rPh>
    <rPh sb="5" eb="6">
      <t>バイ</t>
    </rPh>
    <phoneticPr fontId="1"/>
  </si>
  <si>
    <t>ナフタフタル酸</t>
    <rPh sb="6" eb="7">
      <t>サン</t>
    </rPh>
    <phoneticPr fontId="1"/>
  </si>
  <si>
    <t>フタル2倍</t>
    <rPh sb="4" eb="5">
      <t>バイ</t>
    </rPh>
    <phoneticPr fontId="1"/>
  </si>
  <si>
    <t>フマル酸</t>
    <rPh sb="3" eb="4">
      <t>サン</t>
    </rPh>
    <phoneticPr fontId="1"/>
  </si>
  <si>
    <t>シクロ</t>
    <phoneticPr fontId="1"/>
  </si>
  <si>
    <t>フタル酸2回目</t>
    <rPh sb="3" eb="4">
      <t>サン</t>
    </rPh>
    <rPh sb="5" eb="7">
      <t>カイメ</t>
    </rPh>
    <phoneticPr fontId="1"/>
  </si>
  <si>
    <t>マレイン</t>
    <phoneticPr fontId="1"/>
  </si>
  <si>
    <t>フマル</t>
    <phoneticPr fontId="1"/>
  </si>
  <si>
    <t>フタル</t>
    <phoneticPr fontId="1"/>
  </si>
  <si>
    <t>ナフタル</t>
    <phoneticPr fontId="1"/>
  </si>
  <si>
    <t>安息香酸</t>
    <rPh sb="0" eb="4">
      <t>アンソクコウサン</t>
    </rPh>
    <phoneticPr fontId="1"/>
  </si>
  <si>
    <t>ピロメリット酸</t>
    <rPh sb="6" eb="7">
      <t>サン</t>
    </rPh>
    <phoneticPr fontId="1"/>
  </si>
  <si>
    <t>シクロヘキサン</t>
    <phoneticPr fontId="1"/>
  </si>
  <si>
    <t>pKa</t>
    <phoneticPr fontId="1"/>
  </si>
  <si>
    <t>シクロヘキサンジカルボン酸</t>
    <rPh sb="12" eb="13">
      <t>サン</t>
    </rPh>
    <phoneticPr fontId="1"/>
  </si>
  <si>
    <t>フタル酸4倍</t>
    <rPh sb="3" eb="4">
      <t>サン</t>
    </rPh>
    <rPh sb="5" eb="6">
      <t>バイ</t>
    </rPh>
    <phoneticPr fontId="1"/>
  </si>
  <si>
    <t>フタル酸2回目</t>
    <rPh sb="3" eb="4">
      <t>サン</t>
    </rPh>
    <rPh sb="5" eb="7">
      <t>カイメ</t>
    </rPh>
    <phoneticPr fontId="1"/>
  </si>
  <si>
    <t>フタル酸10倍</t>
    <rPh sb="3" eb="4">
      <t>サン</t>
    </rPh>
    <rPh sb="6" eb="7">
      <t>バイ</t>
    </rPh>
    <phoneticPr fontId="1"/>
  </si>
  <si>
    <t>フタル酸20倍</t>
    <rPh sb="3" eb="4">
      <t>サン</t>
    </rPh>
    <rPh sb="6" eb="7">
      <t>バイ</t>
    </rPh>
    <phoneticPr fontId="1"/>
  </si>
  <si>
    <t>フタル酸</t>
    <rPh sb="3" eb="4">
      <t>サン</t>
    </rPh>
    <phoneticPr fontId="1"/>
  </si>
  <si>
    <t>3官能</t>
    <rPh sb="1" eb="3">
      <t>カンノウ</t>
    </rPh>
    <phoneticPr fontId="1"/>
  </si>
  <si>
    <t>ペリレン</t>
    <phoneticPr fontId="1"/>
  </si>
  <si>
    <t>3官能2回目</t>
    <rPh sb="1" eb="3">
      <t>カンノウ</t>
    </rPh>
    <rPh sb="4" eb="6">
      <t>カイメ</t>
    </rPh>
    <phoneticPr fontId="1"/>
  </si>
  <si>
    <t>HBPEK2倍</t>
    <rPh sb="6" eb="7">
      <t>バイ</t>
    </rPh>
    <phoneticPr fontId="1"/>
  </si>
  <si>
    <t>HBPEK4倍</t>
    <rPh sb="6" eb="7">
      <t>バイ</t>
    </rPh>
    <phoneticPr fontId="1"/>
  </si>
  <si>
    <t>マレイン2倍</t>
    <rPh sb="5" eb="6">
      <t>バイ</t>
    </rPh>
    <phoneticPr fontId="1"/>
  </si>
  <si>
    <t>シスシクロヘキサンジカルボン酸</t>
    <rPh sb="14" eb="15">
      <t>サン</t>
    </rPh>
    <phoneticPr fontId="1"/>
  </si>
  <si>
    <t>ナフタル酸</t>
    <rPh sb="4" eb="5">
      <t>サン</t>
    </rPh>
    <phoneticPr fontId="1"/>
  </si>
  <si>
    <t>マレイン酸</t>
    <rPh sb="4" eb="5">
      <t>サン</t>
    </rPh>
    <phoneticPr fontId="1"/>
  </si>
  <si>
    <t>フマル酸</t>
    <rPh sb="3" eb="4">
      <t>サン</t>
    </rPh>
    <phoneticPr fontId="1"/>
  </si>
  <si>
    <t>cisシクロヘキサン</t>
    <phoneticPr fontId="1"/>
  </si>
  <si>
    <t>3官能</t>
    <rPh sb="1" eb="3">
      <t>カンノウ</t>
    </rPh>
    <phoneticPr fontId="1"/>
  </si>
  <si>
    <t>COOH</t>
    <phoneticPr fontId="1"/>
  </si>
  <si>
    <t>HBPEK</t>
    <phoneticPr fontId="1"/>
  </si>
  <si>
    <t>4ニトロフタル酸</t>
    <rPh sb="7" eb="8">
      <t>サン</t>
    </rPh>
    <phoneticPr fontId="1"/>
  </si>
  <si>
    <t>3ニトロ</t>
    <phoneticPr fontId="1"/>
  </si>
  <si>
    <t>5ニトロイソフタル酸</t>
    <rPh sb="9" eb="10">
      <t>サン</t>
    </rPh>
    <phoneticPr fontId="1"/>
  </si>
  <si>
    <t>IEC</t>
  </si>
  <si>
    <t>フタル酸</t>
  </si>
  <si>
    <t>分子量　</t>
  </si>
  <si>
    <t>mol/g</t>
  </si>
  <si>
    <t>mg</t>
  </si>
  <si>
    <t>モノマー</t>
  </si>
  <si>
    <t>安息香酸</t>
  </si>
  <si>
    <t>新ポリマー</t>
  </si>
  <si>
    <t>新モノマー</t>
  </si>
  <si>
    <t>ピロメリット酸</t>
  </si>
  <si>
    <t>HBPEK</t>
  </si>
  <si>
    <t>ナフタフタル酸</t>
  </si>
  <si>
    <t>マレイン酸</t>
  </si>
  <si>
    <t>シクロヘキサン</t>
  </si>
  <si>
    <t>3官能</t>
  </si>
  <si>
    <t>ペリレン</t>
  </si>
  <si>
    <t>ニトロフタル</t>
    <phoneticPr fontId="1"/>
  </si>
  <si>
    <t>IEC</t>
    <phoneticPr fontId="1"/>
  </si>
  <si>
    <t>mg</t>
    <phoneticPr fontId="1"/>
  </si>
  <si>
    <t>コハク酸</t>
    <rPh sb="3" eb="4">
      <t>サン</t>
    </rPh>
    <phoneticPr fontId="1"/>
  </si>
  <si>
    <t>コハク酸</t>
    <rPh sb="3" eb="4">
      <t>サン</t>
    </rPh>
    <phoneticPr fontId="1"/>
  </si>
  <si>
    <t>4ニトロ</t>
    <phoneticPr fontId="1"/>
  </si>
  <si>
    <t>フタル酸</t>
    <rPh sb="3" eb="4">
      <t>サン</t>
    </rPh>
    <phoneticPr fontId="1"/>
  </si>
  <si>
    <t>area</t>
    <phoneticPr fontId="1"/>
  </si>
  <si>
    <t>M</t>
    <phoneticPr fontId="1"/>
  </si>
  <si>
    <t>B</t>
    <phoneticPr fontId="1"/>
  </si>
  <si>
    <t>A</t>
    <phoneticPr fontId="1"/>
  </si>
  <si>
    <t>3ニトロ</t>
    <phoneticPr fontId="1"/>
  </si>
  <si>
    <t>コハク酸</t>
    <rPh sb="3" eb="4">
      <t>サン</t>
    </rPh>
    <phoneticPr fontId="1"/>
  </si>
  <si>
    <t>3ニトロ</t>
    <phoneticPr fontId="1"/>
  </si>
  <si>
    <t>4ニトロ</t>
    <phoneticPr fontId="1"/>
  </si>
  <si>
    <t>5ニトロイソ</t>
    <phoneticPr fontId="1"/>
  </si>
  <si>
    <t>transシクロヘキサン</t>
    <phoneticPr fontId="1"/>
  </si>
  <si>
    <t>コハク酸</t>
    <rPh sb="3" eb="4">
      <t>サン</t>
    </rPh>
    <phoneticPr fontId="1"/>
  </si>
  <si>
    <t>area</t>
    <phoneticPr fontId="1"/>
  </si>
  <si>
    <t>M</t>
    <phoneticPr fontId="1"/>
  </si>
  <si>
    <t>A</t>
    <phoneticPr fontId="1"/>
  </si>
  <si>
    <t>塩酸pH2</t>
    <rPh sb="0" eb="2">
      <t>エンサン</t>
    </rPh>
    <phoneticPr fontId="1"/>
  </si>
  <si>
    <t>塩酸pH3</t>
    <rPh sb="0" eb="2">
      <t>エンサン</t>
    </rPh>
    <phoneticPr fontId="1"/>
  </si>
  <si>
    <t>3ニトロ</t>
    <phoneticPr fontId="1"/>
  </si>
  <si>
    <t>4ニトロ2回目</t>
    <rPh sb="5" eb="7">
      <t>カイメ</t>
    </rPh>
    <phoneticPr fontId="1"/>
  </si>
  <si>
    <t>B</t>
    <phoneticPr fontId="1"/>
  </si>
  <si>
    <t>pH</t>
    <phoneticPr fontId="1"/>
  </si>
  <si>
    <t>μmol</t>
    <phoneticPr fontId="1"/>
  </si>
  <si>
    <t>4-ニトロ2回目</t>
    <rPh sb="6" eb="8">
      <t>カイメ</t>
    </rPh>
    <phoneticPr fontId="1"/>
  </si>
  <si>
    <t>コハク酸</t>
    <rPh sb="3" eb="4">
      <t>サン</t>
    </rPh>
    <phoneticPr fontId="1"/>
  </si>
  <si>
    <t>3ニトロ</t>
    <phoneticPr fontId="1"/>
  </si>
  <si>
    <t>4ニトロ</t>
    <phoneticPr fontId="1"/>
  </si>
  <si>
    <t>5イソフタル酸</t>
    <rPh sb="6" eb="7">
      <t>サン</t>
    </rPh>
    <phoneticPr fontId="1"/>
  </si>
  <si>
    <t>transシクロ</t>
    <phoneticPr fontId="1"/>
  </si>
  <si>
    <t>触媒なし</t>
    <rPh sb="0" eb="2">
      <t>ショクバイ</t>
    </rPh>
    <phoneticPr fontId="1"/>
  </si>
  <si>
    <t>安息香酸</t>
    <rPh sb="0" eb="4">
      <t>アンソクコウサン</t>
    </rPh>
    <phoneticPr fontId="1"/>
  </si>
  <si>
    <t>フタル酸</t>
    <rPh sb="3" eb="4">
      <t>サン</t>
    </rPh>
    <phoneticPr fontId="1"/>
  </si>
  <si>
    <t>3官能</t>
    <rPh sb="1" eb="3">
      <t>カンノウ</t>
    </rPh>
    <phoneticPr fontId="1"/>
  </si>
  <si>
    <t>モノマー</t>
    <phoneticPr fontId="1"/>
  </si>
  <si>
    <t>TON</t>
    <phoneticPr fontId="1"/>
  </si>
  <si>
    <t>マレイン4倍</t>
    <rPh sb="5" eb="6">
      <t>バイ</t>
    </rPh>
    <phoneticPr fontId="1"/>
  </si>
  <si>
    <t>3ニトロ</t>
    <phoneticPr fontId="1"/>
  </si>
  <si>
    <t>area</t>
    <phoneticPr fontId="1"/>
  </si>
  <si>
    <t>M</t>
    <phoneticPr fontId="1"/>
  </si>
  <si>
    <t>マレイン</t>
    <phoneticPr fontId="1"/>
  </si>
  <si>
    <t>塩酸pH2.5</t>
    <rPh sb="0" eb="2">
      <t>エンサン</t>
    </rPh>
    <phoneticPr fontId="1"/>
  </si>
  <si>
    <t>HCl2.5</t>
    <phoneticPr fontId="1"/>
  </si>
  <si>
    <t>HCl2</t>
    <phoneticPr fontId="1"/>
  </si>
  <si>
    <t>HCl3</t>
    <phoneticPr fontId="1"/>
  </si>
  <si>
    <t>pH</t>
    <phoneticPr fontId="1"/>
  </si>
  <si>
    <t>収率</t>
    <rPh sb="0" eb="2">
      <t>シュウリツ</t>
    </rPh>
    <phoneticPr fontId="1"/>
  </si>
  <si>
    <t>フタル</t>
    <phoneticPr fontId="1"/>
  </si>
  <si>
    <t>塩酸</t>
    <rPh sb="0" eb="2">
      <t>エンサン</t>
    </rPh>
    <phoneticPr fontId="1"/>
  </si>
  <si>
    <t>マレイン酸</t>
    <rPh sb="4" eb="5">
      <t>サン</t>
    </rPh>
    <phoneticPr fontId="1"/>
  </si>
  <si>
    <t>5ニトロ</t>
    <phoneticPr fontId="1"/>
  </si>
  <si>
    <t>マレイン酸20倍</t>
    <rPh sb="4" eb="5">
      <t>サン</t>
    </rPh>
    <rPh sb="7" eb="8">
      <t>バイ</t>
    </rPh>
    <phoneticPr fontId="1"/>
  </si>
  <si>
    <t>質量比活性</t>
    <rPh sb="0" eb="2">
      <t>シツリョウ</t>
    </rPh>
    <rPh sb="2" eb="5">
      <t>ヒカッセイ</t>
    </rPh>
    <phoneticPr fontId="1"/>
  </si>
  <si>
    <t>3ニトロ2回目</t>
    <rPh sb="5" eb="7">
      <t>カイメ</t>
    </rPh>
    <phoneticPr fontId="1"/>
  </si>
  <si>
    <t>マレイン4倍</t>
    <rPh sb="5" eb="6">
      <t>バイ</t>
    </rPh>
    <phoneticPr fontId="1"/>
  </si>
  <si>
    <t>マレイン20倍</t>
    <rPh sb="6" eb="7">
      <t>バイ</t>
    </rPh>
    <phoneticPr fontId="1"/>
  </si>
  <si>
    <t>5ニトロ</t>
    <phoneticPr fontId="1"/>
  </si>
  <si>
    <t>2,3-ナフタレンジカルボン酸</t>
    <rPh sb="14" eb="15">
      <t>サン</t>
    </rPh>
    <phoneticPr fontId="1"/>
  </si>
  <si>
    <t>1,2-シクロヘキサンジカルボン酸</t>
    <rPh sb="16" eb="17">
      <t>サン</t>
    </rPh>
    <phoneticPr fontId="1"/>
  </si>
  <si>
    <t>4-ニトロフタル酸</t>
    <rPh sb="8" eb="9">
      <t>サン</t>
    </rPh>
    <phoneticPr fontId="1"/>
  </si>
  <si>
    <t>3-ニトロフタル酸</t>
    <rPh sb="8" eb="9">
      <t>サン</t>
    </rPh>
    <phoneticPr fontId="1"/>
  </si>
  <si>
    <t>TE</t>
  </si>
  <si>
    <t>TE</t>
    <phoneticPr fontId="1"/>
  </si>
  <si>
    <t>DE</t>
    <phoneticPr fontId="1"/>
  </si>
  <si>
    <t>EE</t>
    <phoneticPr fontId="1"/>
  </si>
  <si>
    <t>pKa</t>
  </si>
  <si>
    <t>pH</t>
  </si>
  <si>
    <t>TON</t>
  </si>
  <si>
    <t>5-ニトロイソフタル酸</t>
    <rPh sb="10" eb="11">
      <t>サン</t>
    </rPh>
    <phoneticPr fontId="1"/>
  </si>
  <si>
    <t>1,2-シクロヘキサン
ジカルボン酸</t>
    <rPh sb="17" eb="18">
      <t>サン</t>
    </rPh>
    <phoneticPr fontId="1"/>
  </si>
  <si>
    <t>5-ニトロイソ
フタル酸</t>
    <rPh sb="11" eb="12">
      <t>サン</t>
    </rPh>
    <phoneticPr fontId="1"/>
  </si>
  <si>
    <t>2,3-ナフタレン
ジカルボン酸</t>
    <rPh sb="15" eb="16">
      <t>サン</t>
    </rPh>
    <phoneticPr fontId="1"/>
  </si>
  <si>
    <t>塩酸2</t>
    <rPh sb="0" eb="2">
      <t>エンサン</t>
    </rPh>
    <phoneticPr fontId="1"/>
  </si>
  <si>
    <t>塩酸3</t>
    <rPh sb="0" eb="2">
      <t>エンサン</t>
    </rPh>
    <phoneticPr fontId="1"/>
  </si>
  <si>
    <t>塩酸2.5</t>
    <rPh sb="0" eb="2">
      <t>エンサン</t>
    </rPh>
    <phoneticPr fontId="1"/>
  </si>
  <si>
    <t>B</t>
    <phoneticPr fontId="1"/>
  </si>
  <si>
    <t>areaA</t>
    <phoneticPr fontId="1"/>
  </si>
  <si>
    <t>リンゴ酸</t>
    <rPh sb="3" eb="4">
      <t>サン</t>
    </rPh>
    <phoneticPr fontId="1"/>
  </si>
  <si>
    <t>mg</t>
    <phoneticPr fontId="1"/>
  </si>
  <si>
    <t>リンゴ酸</t>
    <rPh sb="3" eb="4">
      <t>サン</t>
    </rPh>
    <phoneticPr fontId="1"/>
  </si>
  <si>
    <t>pトルエンスルホン酸</t>
    <rPh sb="9" eb="10">
      <t>サン</t>
    </rPh>
    <phoneticPr fontId="1"/>
  </si>
  <si>
    <t>フマル</t>
    <phoneticPr fontId="1"/>
  </si>
  <si>
    <t>A</t>
    <phoneticPr fontId="1"/>
  </si>
  <si>
    <t>リンゴ酸</t>
    <rPh sb="3" eb="4">
      <t>サン</t>
    </rPh>
    <phoneticPr fontId="1"/>
  </si>
  <si>
    <t>リンゴ</t>
    <phoneticPr fontId="1"/>
  </si>
  <si>
    <t>マレイン5min</t>
    <phoneticPr fontId="1"/>
  </si>
  <si>
    <t>マレイン10min</t>
    <phoneticPr fontId="1"/>
  </si>
  <si>
    <t>マレイン17min</t>
    <phoneticPr fontId="1"/>
  </si>
  <si>
    <t>芳香族マレイン</t>
    <rPh sb="0" eb="3">
      <t>ホウコウゾク</t>
    </rPh>
    <phoneticPr fontId="1"/>
  </si>
  <si>
    <t>CLE</t>
    <phoneticPr fontId="1"/>
  </si>
  <si>
    <t>中田2</t>
    <rPh sb="0" eb="2">
      <t>ナカダ</t>
    </rPh>
    <phoneticPr fontId="1"/>
  </si>
  <si>
    <t>五十嵐</t>
    <rPh sb="0" eb="3">
      <t>イガラシ</t>
    </rPh>
    <phoneticPr fontId="1"/>
  </si>
  <si>
    <t>中田1</t>
    <rPh sb="0" eb="2">
      <t>ナカダ</t>
    </rPh>
    <phoneticPr fontId="1"/>
  </si>
  <si>
    <t>芳香族ケトンジカルボン酸</t>
    <rPh sb="0" eb="3">
      <t>ホウコウゾク</t>
    </rPh>
    <rPh sb="11" eb="12">
      <t>サン</t>
    </rPh>
    <phoneticPr fontId="1"/>
  </si>
  <si>
    <t>blank-milled</t>
    <phoneticPr fontId="1"/>
  </si>
  <si>
    <t>マレイン0.5+5</t>
    <phoneticPr fontId="1"/>
  </si>
  <si>
    <t>アントラケト</t>
    <phoneticPr fontId="1"/>
  </si>
  <si>
    <t>2回目</t>
    <rPh sb="1" eb="3">
      <t>カイメ</t>
    </rPh>
    <phoneticPr fontId="1"/>
  </si>
  <si>
    <t>pH3-マレイン</t>
    <phoneticPr fontId="1"/>
  </si>
  <si>
    <t>pH3-フタル</t>
    <phoneticPr fontId="1"/>
  </si>
  <si>
    <t>マレインNaCl</t>
    <phoneticPr fontId="1"/>
  </si>
  <si>
    <t>フタルNaCl</t>
    <phoneticPr fontId="1"/>
  </si>
  <si>
    <t>フェニルマレイン酸</t>
    <rPh sb="8" eb="9">
      <t>サン</t>
    </rPh>
    <phoneticPr fontId="1"/>
  </si>
  <si>
    <t>blank-5分</t>
    <rPh sb="7" eb="8">
      <t>フン</t>
    </rPh>
    <phoneticPr fontId="1"/>
  </si>
  <si>
    <t>1mM塩酸＋フタル酸</t>
    <rPh sb="3" eb="5">
      <t>エンサン</t>
    </rPh>
    <rPh sb="9" eb="10">
      <t>サン</t>
    </rPh>
    <phoneticPr fontId="1"/>
  </si>
  <si>
    <t>マレイン酸＋NaCl</t>
    <rPh sb="4" eb="5">
      <t>サン</t>
    </rPh>
    <phoneticPr fontId="1"/>
  </si>
  <si>
    <t>フタル酸＋NaCl</t>
    <rPh sb="3" eb="4">
      <t>サン</t>
    </rPh>
    <phoneticPr fontId="1"/>
  </si>
  <si>
    <t>1mM塩酸+マレイン酸</t>
    <rPh sb="3" eb="5">
      <t>エンサン</t>
    </rPh>
    <rPh sb="10" eb="11">
      <t>サン</t>
    </rPh>
    <phoneticPr fontId="1"/>
  </si>
  <si>
    <t>Catalyst</t>
  </si>
  <si>
    <t>Conv. (%)</t>
  </si>
  <si>
    <t>Yield of product (%)</t>
  </si>
  <si>
    <t>Selectivity (%)</t>
  </si>
  <si>
    <t>Glucose</t>
  </si>
  <si>
    <t>Oligomers</t>
  </si>
  <si>
    <t>Fructose, Mannose</t>
  </si>
  <si>
    <t>5-HMF</t>
  </si>
  <si>
    <t>Levoglucosan</t>
  </si>
  <si>
    <t>Furfural</t>
  </si>
  <si>
    <t>others</t>
  </si>
  <si>
    <t>フタル酸(pH2)</t>
  </si>
  <si>
    <t>塩酸</t>
  </si>
  <si>
    <t>(pH2)</t>
  </si>
  <si>
    <r>
      <rPr>
        <sz val="18"/>
        <rFont val="ＭＳ Ｐゴシック"/>
        <family val="2"/>
        <charset val="128"/>
      </rPr>
      <t>フタル酸</t>
    </r>
    <r>
      <rPr>
        <sz val="18"/>
        <rFont val="Arial"/>
        <family val="2"/>
      </rPr>
      <t>(pH2.2)</t>
    </r>
    <phoneticPr fontId="1"/>
  </si>
  <si>
    <t>4メトキシ</t>
    <phoneticPr fontId="1"/>
  </si>
  <si>
    <t>blank-10分</t>
    <rPh sb="8" eb="9">
      <t>フン</t>
    </rPh>
    <phoneticPr fontId="1"/>
  </si>
  <si>
    <t>スルホン</t>
    <phoneticPr fontId="1"/>
  </si>
  <si>
    <t>22ph</t>
    <phoneticPr fontId="1"/>
  </si>
  <si>
    <t>4メトキシ2回目</t>
    <rPh sb="6" eb="8">
      <t>カイメ</t>
    </rPh>
    <phoneticPr fontId="1"/>
  </si>
  <si>
    <t>blank15min</t>
    <phoneticPr fontId="1"/>
  </si>
  <si>
    <t>22ph3</t>
    <phoneticPr fontId="1"/>
  </si>
  <si>
    <t>アントラ4</t>
    <phoneticPr fontId="1"/>
  </si>
  <si>
    <t>アントラ2</t>
    <phoneticPr fontId="1"/>
  </si>
  <si>
    <t>22ph4</t>
    <phoneticPr fontId="1"/>
  </si>
  <si>
    <t>アントラ10</t>
    <phoneticPr fontId="1"/>
  </si>
  <si>
    <t>アントラ</t>
    <phoneticPr fontId="1"/>
  </si>
  <si>
    <t>アントラ20</t>
    <phoneticPr fontId="1"/>
  </si>
  <si>
    <t>4-メトキシフタル酸</t>
    <rPh sb="9" eb="10">
      <t>サン</t>
    </rPh>
    <phoneticPr fontId="1"/>
  </si>
  <si>
    <t>5-ニトロ
イソフタル酸</t>
    <rPh sb="11" eb="12">
      <t>サン</t>
    </rPh>
    <phoneticPr fontId="1"/>
  </si>
  <si>
    <t>4-メトキシ
フタル酸</t>
    <rPh sb="10" eb="11">
      <t>サン</t>
    </rPh>
    <phoneticPr fontId="1"/>
  </si>
  <si>
    <t>アントラキノン
ジカルボン酸</t>
    <rPh sb="13" eb="14">
      <t>サン</t>
    </rPh>
    <phoneticPr fontId="1"/>
  </si>
  <si>
    <t>フェニル
マレイン酸</t>
    <rPh sb="9" eb="10">
      <t>サン</t>
    </rPh>
    <phoneticPr fontId="1"/>
  </si>
  <si>
    <t>EE</t>
  </si>
  <si>
    <t>アントラキノン-2,3-ジカルボン酸</t>
    <rPh sb="17" eb="18">
      <t>サン</t>
    </rPh>
    <phoneticPr fontId="1"/>
  </si>
  <si>
    <t>アントラキノン-
2,3-ジカルボン酸</t>
    <rPh sb="18" eb="19">
      <t>サン</t>
    </rPh>
    <phoneticPr fontId="1"/>
  </si>
  <si>
    <t>アントラ4-2</t>
    <phoneticPr fontId="1"/>
  </si>
  <si>
    <t>マレイン10</t>
    <phoneticPr fontId="1"/>
  </si>
  <si>
    <t>22ph4-2</t>
    <phoneticPr fontId="1"/>
  </si>
  <si>
    <t>22ph3-2</t>
    <phoneticPr fontId="1"/>
  </si>
  <si>
    <t>3-メトキシ</t>
    <phoneticPr fontId="1"/>
  </si>
  <si>
    <t>22ph3</t>
    <phoneticPr fontId="1"/>
  </si>
  <si>
    <t>22ph4</t>
    <phoneticPr fontId="1"/>
  </si>
  <si>
    <t>22ph4-3</t>
    <phoneticPr fontId="1"/>
  </si>
  <si>
    <t>3-メトキシフタル酸</t>
    <rPh sb="9" eb="10">
      <t>サン</t>
    </rPh>
    <phoneticPr fontId="1"/>
  </si>
  <si>
    <t>3メトキシ</t>
    <phoneticPr fontId="1"/>
  </si>
  <si>
    <t>CL-3</t>
    <phoneticPr fontId="1"/>
  </si>
  <si>
    <t>3メト</t>
    <phoneticPr fontId="1"/>
  </si>
  <si>
    <t>22ph4</t>
    <phoneticPr fontId="1"/>
  </si>
  <si>
    <t>4-NE</t>
    <phoneticPr fontId="1"/>
  </si>
  <si>
    <t>3-NE</t>
    <phoneticPr fontId="1"/>
  </si>
  <si>
    <t>20ph4</t>
    <phoneticPr fontId="1"/>
  </si>
  <si>
    <t>CL-mix</t>
    <phoneticPr fontId="1"/>
  </si>
  <si>
    <t>スルホンNaCl</t>
    <phoneticPr fontId="1"/>
  </si>
  <si>
    <t>calpKa</t>
    <phoneticPr fontId="1"/>
  </si>
  <si>
    <t>4-N</t>
    <phoneticPr fontId="1"/>
  </si>
  <si>
    <t>スルホン10NaCl</t>
    <phoneticPr fontId="1"/>
  </si>
  <si>
    <t>10フタル10NaCl</t>
    <phoneticPr fontId="1"/>
  </si>
  <si>
    <t>10フタルNaCl</t>
    <phoneticPr fontId="1"/>
  </si>
  <si>
    <t>フタル酸(0.18)</t>
  </si>
  <si>
    <t>フタル酸(1.8)</t>
  </si>
  <si>
    <t>フタル酸(0.18)+NaCl(1.0)</t>
    <phoneticPr fontId="1"/>
  </si>
  <si>
    <t>フタル酸(1.8)+NaCl(1.0)</t>
    <phoneticPr fontId="1"/>
  </si>
  <si>
    <t>フタル酸(1.8)+NaCl(10)</t>
    <phoneticPr fontId="1"/>
  </si>
  <si>
    <r>
      <rPr>
        <i/>
        <sz val="11"/>
        <color theme="1"/>
        <rFont val="游ゴシック"/>
        <family val="3"/>
        <charset val="128"/>
        <scheme val="minor"/>
      </rPr>
      <t>p</t>
    </r>
    <r>
      <rPr>
        <sz val="11"/>
        <color theme="1"/>
        <rFont val="游ゴシック"/>
        <family val="2"/>
        <charset val="128"/>
        <scheme val="minor"/>
      </rPr>
      <t>-トルエンスルホン酸(0.18)</t>
    </r>
    <phoneticPr fontId="1"/>
  </si>
  <si>
    <r>
      <rPr>
        <i/>
        <sz val="11"/>
        <color theme="1"/>
        <rFont val="游ゴシック"/>
        <family val="3"/>
        <charset val="128"/>
        <scheme val="minor"/>
      </rPr>
      <t>p</t>
    </r>
    <r>
      <rPr>
        <sz val="11"/>
        <color theme="1"/>
        <rFont val="游ゴシック"/>
        <family val="2"/>
        <charset val="128"/>
        <scheme val="minor"/>
      </rPr>
      <t>-トルエンスルホン酸(0.18)+NaCl(1.0)</t>
    </r>
    <phoneticPr fontId="1"/>
  </si>
  <si>
    <r>
      <rPr>
        <i/>
        <sz val="11"/>
        <color theme="1"/>
        <rFont val="游ゴシック"/>
        <family val="3"/>
        <charset val="128"/>
        <scheme val="minor"/>
      </rPr>
      <t>p</t>
    </r>
    <r>
      <rPr>
        <sz val="11"/>
        <color theme="1"/>
        <rFont val="游ゴシック"/>
        <family val="2"/>
        <charset val="128"/>
        <scheme val="minor"/>
      </rPr>
      <t>-トルエンスルホン酸(0.18)+NaCl(10)</t>
    </r>
    <phoneticPr fontId="1"/>
  </si>
  <si>
    <t>1フタル10NaCl</t>
    <phoneticPr fontId="1"/>
  </si>
  <si>
    <t>4met</t>
    <phoneticPr fontId="1"/>
  </si>
  <si>
    <t>3met</t>
    <phoneticPr fontId="1"/>
  </si>
  <si>
    <t>4アントラ10Nacl</t>
    <phoneticPr fontId="1"/>
  </si>
  <si>
    <t>1アントラ10NaCl</t>
    <phoneticPr fontId="1"/>
  </si>
  <si>
    <t>4アントラNaCl</t>
    <phoneticPr fontId="1"/>
  </si>
  <si>
    <t>アントラNaCl</t>
    <phoneticPr fontId="1"/>
  </si>
  <si>
    <t>HBPEK-mix</t>
    <phoneticPr fontId="1"/>
  </si>
  <si>
    <t>4アントラ3回目</t>
    <rPh sb="6" eb="8">
      <t>カイメ</t>
    </rPh>
    <phoneticPr fontId="1"/>
  </si>
  <si>
    <t>40ph4</t>
    <phoneticPr fontId="1"/>
  </si>
  <si>
    <t>mixmillS2</t>
    <phoneticPr fontId="1"/>
  </si>
  <si>
    <t>40ph4-2</t>
    <phoneticPr fontId="1"/>
  </si>
  <si>
    <t>フタル9</t>
    <phoneticPr fontId="1"/>
  </si>
  <si>
    <t>CL12</t>
    <phoneticPr fontId="1"/>
  </si>
  <si>
    <t>4フタル10NaCl</t>
    <phoneticPr fontId="1"/>
  </si>
  <si>
    <t>404ph</t>
    <phoneticPr fontId="1"/>
  </si>
  <si>
    <t>濃度 C (mol/L)</t>
  </si>
  <si>
    <t>a_H+ = 10^-pH</t>
  </si>
  <si>
    <t>イオン強度 I</t>
  </si>
  <si>
    <t>√I</t>
  </si>
  <si>
    <t>活量係数 γ (H+)</t>
  </si>
  <si>
    <t>[H+] (補正後)</t>
  </si>
  <si>
    <t>[HA]</t>
  </si>
  <si>
    <t>Ka (補正あり)</t>
  </si>
  <si>
    <t>pKa (補正あり)</t>
  </si>
  <si>
    <t>Ka (補正なし)</t>
  </si>
  <si>
    <t>pKa (補正なし)</t>
  </si>
  <si>
    <t>pKa差</t>
  </si>
  <si>
    <t>石原</t>
    <rPh sb="0" eb="2">
      <t>イシハラ</t>
    </rPh>
    <phoneticPr fontId="1"/>
  </si>
  <si>
    <t>溶液</t>
    <rPh sb="0" eb="2">
      <t>ヨウエキ</t>
    </rPh>
    <phoneticPr fontId="1"/>
  </si>
  <si>
    <t>残渣</t>
    <rPh sb="0" eb="2">
      <t>ザンサ</t>
    </rPh>
    <phoneticPr fontId="1"/>
  </si>
  <si>
    <t>4スルホン10NaCl</t>
    <phoneticPr fontId="1"/>
  </si>
  <si>
    <t>CL東大2回目</t>
    <rPh sb="2" eb="4">
      <t>トウダイ</t>
    </rPh>
    <rPh sb="5" eb="7">
      <t>カイメ</t>
    </rPh>
    <phoneticPr fontId="1"/>
  </si>
  <si>
    <t>スルホン2倍</t>
    <rPh sb="5" eb="6">
      <t>バイ</t>
    </rPh>
    <phoneticPr fontId="1"/>
  </si>
  <si>
    <t>触媒量</t>
    <rPh sb="0" eb="3">
      <t>ショクバイリョウ</t>
    </rPh>
    <phoneticPr fontId="1"/>
  </si>
  <si>
    <t>108残渣</t>
    <rPh sb="3" eb="5">
      <t>ザンサ</t>
    </rPh>
    <phoneticPr fontId="1"/>
  </si>
  <si>
    <t>スルホン4倍</t>
    <rPh sb="5" eb="6">
      <t>バイ</t>
    </rPh>
    <phoneticPr fontId="1"/>
  </si>
  <si>
    <t>カルボン</t>
    <phoneticPr fontId="1"/>
  </si>
  <si>
    <t>42ph4</t>
    <phoneticPr fontId="1"/>
  </si>
  <si>
    <t>4スルホン1NaCl</t>
    <phoneticPr fontId="1"/>
  </si>
  <si>
    <t>CL東大3</t>
    <rPh sb="2" eb="4">
      <t>トウダイ</t>
    </rPh>
    <phoneticPr fontId="1"/>
  </si>
  <si>
    <t>millblank3</t>
    <phoneticPr fontId="1"/>
  </si>
  <si>
    <t>mix3-残渣mill1</t>
    <rPh sb="5" eb="7">
      <t>ザンサ</t>
    </rPh>
    <phoneticPr fontId="1"/>
  </si>
  <si>
    <t>Glucose</t>
    <phoneticPr fontId="1"/>
  </si>
  <si>
    <t>Blank</t>
    <phoneticPr fontId="1"/>
  </si>
  <si>
    <t>Run2</t>
    <phoneticPr fontId="1"/>
  </si>
  <si>
    <t>Run3</t>
    <phoneticPr fontId="1"/>
  </si>
  <si>
    <t>Run1</t>
    <phoneticPr fontId="1"/>
  </si>
  <si>
    <r>
      <t>HBPEK-
(COOH)</t>
    </r>
    <r>
      <rPr>
        <vertAlign val="subscript"/>
        <sz val="11"/>
        <color theme="1"/>
        <rFont val="游ゴシック"/>
        <family val="3"/>
        <charset val="128"/>
        <scheme val="minor"/>
      </rPr>
      <t>3</t>
    </r>
    <phoneticPr fontId="1"/>
  </si>
  <si>
    <t>HBPEK-
CLRER</t>
    <phoneticPr fontId="1"/>
  </si>
  <si>
    <t>HBPEK-
CLRER
Mix-milling
Run1</t>
    <phoneticPr fontId="1"/>
  </si>
  <si>
    <t>24ph4</t>
    <phoneticPr fontId="1"/>
  </si>
  <si>
    <t>mix3残渣2milled</t>
    <rPh sb="4" eb="6">
      <t>ザンサ</t>
    </rPh>
    <phoneticPr fontId="1"/>
  </si>
  <si>
    <t>mix4溶液milled</t>
    <rPh sb="4" eb="6">
      <t>ヨウエキ</t>
    </rPh>
    <phoneticPr fontId="1"/>
  </si>
  <si>
    <t>て</t>
    <phoneticPr fontId="1"/>
  </si>
  <si>
    <t>ぐ</t>
    <phoneticPr fontId="1"/>
  </si>
  <si>
    <t>HM</t>
    <phoneticPr fontId="1"/>
  </si>
  <si>
    <t>ふる</t>
    <phoneticPr fontId="1"/>
  </si>
  <si>
    <t>まん</t>
    <phoneticPr fontId="1"/>
  </si>
  <si>
    <t>れ</t>
    <phoneticPr fontId="1"/>
  </si>
  <si>
    <t>おり</t>
    <phoneticPr fontId="1"/>
  </si>
  <si>
    <t>スルホン10</t>
    <phoneticPr fontId="1"/>
  </si>
  <si>
    <t>スルホン4</t>
    <phoneticPr fontId="1"/>
  </si>
  <si>
    <t>4-PO</t>
    <phoneticPr fontId="1"/>
  </si>
  <si>
    <t>4-NO</t>
    <phoneticPr fontId="1"/>
  </si>
  <si>
    <t>4-PE</t>
    <phoneticPr fontId="1"/>
  </si>
  <si>
    <t>4-NB</t>
    <phoneticPr fontId="1"/>
  </si>
  <si>
    <t>スルホン2</t>
    <phoneticPr fontId="1"/>
  </si>
  <si>
    <t>Others</t>
  </si>
  <si>
    <t>LG</t>
    <phoneticPr fontId="1"/>
  </si>
  <si>
    <t>ピリジン</t>
    <phoneticPr fontId="1"/>
  </si>
  <si>
    <t>テトラケトン</t>
    <phoneticPr fontId="1"/>
  </si>
  <si>
    <t>45クロロ</t>
    <phoneticPr fontId="1"/>
  </si>
  <si>
    <t>イミダゾール</t>
    <phoneticPr fontId="1"/>
  </si>
  <si>
    <t>イミダゾール</t>
    <phoneticPr fontId="1"/>
  </si>
  <si>
    <t>45フルオロ</t>
    <phoneticPr fontId="1"/>
  </si>
  <si>
    <t>テトラフルオロ</t>
    <phoneticPr fontId="1"/>
  </si>
  <si>
    <t>45クロロフタル</t>
    <phoneticPr fontId="1"/>
  </si>
  <si>
    <t>45フルオロ</t>
    <phoneticPr fontId="1"/>
  </si>
  <si>
    <t>3クロロ</t>
    <phoneticPr fontId="1"/>
  </si>
  <si>
    <t>テトラフルオロ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</si>
</sst>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);[Red]\(0.00\)"/>
    <numFmt numFmtId="177" formatCode="0.00_ "/>
    <numFmt numFmtId="178" formatCode="0.0_);[Red]\(0.0\)"/>
    <numFmt numFmtId="179" formatCode="0.0_ "/>
    <numFmt numFmtId="180" formatCode="0.0000_);[Red]\(0.0000\)"/>
  </numFmts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8"/>
      <name val="Arial"/>
      <family val="2"/>
    </font>
    <font>
      <b/>
      <sz val="20"/>
      <color rgb="FF000000"/>
      <name val="Arial"/>
      <family val="2"/>
    </font>
    <font>
      <b/>
      <sz val="18"/>
      <color rgb="FFFF0000"/>
      <name val="Arial"/>
      <family val="2"/>
    </font>
    <font>
      <b/>
      <sz val="16"/>
      <color rgb="FFFF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b/>
      <sz val="20"/>
      <color rgb="FF000000"/>
      <name val="ＭＳ Ｐゴシック"/>
      <family val="3"/>
      <charset val="128"/>
    </font>
    <font>
      <b/>
      <sz val="20"/>
      <color rgb="FFFF0000"/>
      <name val="Arial"/>
      <family val="2"/>
    </font>
    <font>
      <sz val="18"/>
      <name val="ＭＳ Ｐゴシック"/>
      <family val="2"/>
      <charset val="128"/>
    </font>
    <font>
      <sz val="18"/>
      <name val="Arial"/>
      <family val="2"/>
      <charset val="128"/>
    </font>
    <font>
      <sz val="11"/>
      <color rgb="FFFFC000"/>
      <name val="游ゴシック"/>
      <family val="2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76" fontId="0" fillId="3" borderId="0" xfId="0" applyNumberFormat="1" applyFill="1">
      <alignment vertical="center"/>
    </xf>
    <xf numFmtId="5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7" xfId="0" applyNumberFormat="1" applyBorder="1">
      <alignment vertical="center"/>
    </xf>
    <xf numFmtId="177" fontId="0" fillId="0" borderId="8" xfId="0" applyNumberFormat="1" applyBorder="1">
      <alignment vertical="center"/>
    </xf>
    <xf numFmtId="178" fontId="0" fillId="0" borderId="0" xfId="0" applyNumberFormat="1">
      <alignment vertical="center"/>
    </xf>
    <xf numFmtId="178" fontId="0" fillId="0" borderId="5" xfId="0" applyNumberFormat="1" applyBorder="1">
      <alignment vertical="center"/>
    </xf>
    <xf numFmtId="179" fontId="0" fillId="0" borderId="7" xfId="0" applyNumberFormat="1" applyBorder="1">
      <alignment vertical="center"/>
    </xf>
    <xf numFmtId="179" fontId="0" fillId="0" borderId="8" xfId="0" applyNumberFormat="1" applyBorder="1">
      <alignment vertical="center"/>
    </xf>
    <xf numFmtId="176" fontId="0" fillId="4" borderId="0" xfId="0" applyNumberFormat="1" applyFill="1">
      <alignment vertical="center"/>
    </xf>
    <xf numFmtId="0" fontId="0" fillId="4" borderId="0" xfId="0" applyFill="1">
      <alignment vertical="center"/>
    </xf>
    <xf numFmtId="0" fontId="0" fillId="6" borderId="0" xfId="0" applyFill="1">
      <alignment vertical="center"/>
    </xf>
    <xf numFmtId="0" fontId="0" fillId="5" borderId="0" xfId="0" applyFill="1">
      <alignment vertical="center"/>
    </xf>
    <xf numFmtId="176" fontId="2" fillId="4" borderId="0" xfId="0" applyNumberFormat="1" applyFont="1" applyFill="1">
      <alignment vertical="center"/>
    </xf>
    <xf numFmtId="176" fontId="0" fillId="5" borderId="0" xfId="0" applyNumberFormat="1" applyFill="1">
      <alignment vertical="center"/>
    </xf>
    <xf numFmtId="180" fontId="0" fillId="0" borderId="0" xfId="0" applyNumberFormat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176" fontId="0" fillId="8" borderId="0" xfId="0" applyNumberFormat="1" applyFill="1">
      <alignment vertical="center"/>
    </xf>
    <xf numFmtId="176" fontId="0" fillId="9" borderId="0" xfId="0" applyNumberFormat="1" applyFill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176" fontId="0" fillId="6" borderId="0" xfId="0" applyNumberFormat="1" applyFill="1">
      <alignment vertical="center"/>
    </xf>
    <xf numFmtId="176" fontId="0" fillId="10" borderId="0" xfId="0" applyNumberFormat="1" applyFill="1">
      <alignment vertical="center"/>
    </xf>
    <xf numFmtId="0" fontId="4" fillId="0" borderId="10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 readingOrder="1"/>
    </xf>
    <xf numFmtId="0" fontId="8" fillId="0" borderId="9" xfId="0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 readingOrder="1"/>
    </xf>
    <xf numFmtId="0" fontId="10" fillId="0" borderId="9" xfId="0" applyFont="1" applyBorder="1" applyAlignment="1">
      <alignment horizontal="center" vertical="center" wrapText="1" readingOrder="1"/>
    </xf>
    <xf numFmtId="0" fontId="11" fillId="0" borderId="10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 readingOrder="1"/>
    </xf>
    <xf numFmtId="0" fontId="0" fillId="11" borderId="0" xfId="0" applyFill="1">
      <alignment vertical="center"/>
    </xf>
    <xf numFmtId="0" fontId="0" fillId="9" borderId="0" xfId="0" applyFill="1">
      <alignment vertical="center"/>
    </xf>
    <xf numFmtId="176" fontId="15" fillId="4" borderId="0" xfId="0" applyNumberFormat="1" applyFont="1" applyFill="1">
      <alignment vertical="center"/>
    </xf>
    <xf numFmtId="0" fontId="17" fillId="0" borderId="0" xfId="0" applyFont="1">
      <alignment vertical="center"/>
    </xf>
    <xf numFmtId="0" fontId="0" fillId="12" borderId="0" xfId="0" applyFill="1">
      <alignment vertical="center"/>
    </xf>
    <xf numFmtId="56" fontId="0" fillId="13" borderId="0" xfId="0" applyNumberFormat="1" applyFill="1">
      <alignment vertical="center"/>
    </xf>
    <xf numFmtId="0" fontId="0" fillId="13" borderId="0" xfId="0" applyFill="1">
      <alignment vertical="center"/>
    </xf>
    <xf numFmtId="176" fontId="0" fillId="13" borderId="0" xfId="0" applyNumberFormat="1" applyFill="1">
      <alignment vertical="center"/>
    </xf>
    <xf numFmtId="0" fontId="0" fillId="14" borderId="0" xfId="0" applyFill="1">
      <alignment vertical="center"/>
    </xf>
    <xf numFmtId="176" fontId="18" fillId="13" borderId="0" xfId="0" applyNumberFormat="1" applyFont="1" applyFill="1">
      <alignment vertical="center"/>
    </xf>
    <xf numFmtId="176" fontId="18" fillId="2" borderId="0" xfId="0" applyNumberFormat="1" applyFont="1" applyFill="1">
      <alignment vertical="center"/>
    </xf>
    <xf numFmtId="176" fontId="18" fillId="0" borderId="0" xfId="0" applyNumberFormat="1" applyFont="1">
      <alignment vertical="center"/>
    </xf>
    <xf numFmtId="0" fontId="0" fillId="15" borderId="0" xfId="0" applyFill="1">
      <alignment vertical="center"/>
    </xf>
    <xf numFmtId="176" fontId="0" fillId="7" borderId="0" xfId="0" applyNumberFormat="1" applyFill="1">
      <alignment vertical="center"/>
    </xf>
    <xf numFmtId="0" fontId="0" fillId="0" borderId="0" xfId="0" applyAlignment="1"/>
    <xf numFmtId="177" fontId="0" fillId="13" borderId="0" xfId="0" applyNumberFormat="1" applyFill="1" applyAlignment="1"/>
    <xf numFmtId="0" fontId="0" fillId="7" borderId="0" xfId="0" applyFill="1" applyAlignment="1"/>
    <xf numFmtId="0" fontId="18" fillId="16" borderId="0" xfId="0" applyFont="1" applyFill="1">
      <alignment vertical="center"/>
    </xf>
    <xf numFmtId="0" fontId="0" fillId="10" borderId="0" xfId="0" applyFill="1">
      <alignment vertical="center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11" fillId="0" borderId="10" xfId="0" applyFont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center" vertical="center" wrapText="1" readingOrder="1"/>
    </xf>
    <xf numFmtId="0" fontId="12" fillId="0" borderId="10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center" vertical="center" wrapText="1" readingOrder="1"/>
    </xf>
    <xf numFmtId="0" fontId="14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キャリブレーション!$A$3:$A$6</c:f>
              <c:numCache>
                <c:formatCode>General</c:formatCode>
                <c:ptCount val="4"/>
                <c:pt idx="0">
                  <c:v>60089</c:v>
                </c:pt>
                <c:pt idx="1">
                  <c:v>148254</c:v>
                </c:pt>
                <c:pt idx="2">
                  <c:v>297751</c:v>
                </c:pt>
                <c:pt idx="3">
                  <c:v>591828</c:v>
                </c:pt>
              </c:numCache>
            </c:numRef>
          </c:xVal>
          <c:yVal>
            <c:numRef>
              <c:f>キャリブレーション!$B$3:$B$6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69-485B-9FB6-EF2B9049DA9B}"/>
            </c:ext>
          </c:extLst>
        </c:ser>
        <c:ser>
          <c:idx val="1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キャリブレーション!$D$3:$D$6</c:f>
              <c:numCache>
                <c:formatCode>General</c:formatCode>
                <c:ptCount val="4"/>
                <c:pt idx="0">
                  <c:v>60074</c:v>
                </c:pt>
                <c:pt idx="1">
                  <c:v>148417</c:v>
                </c:pt>
                <c:pt idx="2">
                  <c:v>298049</c:v>
                </c:pt>
                <c:pt idx="3">
                  <c:v>593967</c:v>
                </c:pt>
              </c:numCache>
            </c:numRef>
          </c:xVal>
          <c:yVal>
            <c:numRef>
              <c:f>キャリブレーション!$E$3:$E$6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69-485B-9FB6-EF2B9049D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キャリブレーション!$A$10:$A$12</c:f>
              <c:numCache>
                <c:formatCode>General</c:formatCode>
                <c:ptCount val="3"/>
                <c:pt idx="0">
                  <c:v>54968</c:v>
                </c:pt>
                <c:pt idx="1">
                  <c:v>136929</c:v>
                </c:pt>
                <c:pt idx="2">
                  <c:v>264022</c:v>
                </c:pt>
              </c:numCache>
            </c:numRef>
          </c:xVal>
          <c:yVal>
            <c:numRef>
              <c:f>キャリブレーション!$B$10:$B$12</c:f>
              <c:numCache>
                <c:formatCode>General</c:formatCode>
                <c:ptCount val="3"/>
                <c:pt idx="0">
                  <c:v>1</c:v>
                </c:pt>
                <c:pt idx="1">
                  <c:v>2.5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B3-49B6-92CC-18E2395B9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キャリブレーション!$A$22:$A$24</c:f>
              <c:strCache>
                <c:ptCount val="3"/>
                <c:pt idx="0">
                  <c:v>24682</c:v>
                </c:pt>
                <c:pt idx="1">
                  <c:v>61691</c:v>
                </c:pt>
                <c:pt idx="2">
                  <c:v>119150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キャリブレーション!$A$22:$A$24</c:f>
              <c:numCache>
                <c:formatCode>General</c:formatCode>
                <c:ptCount val="3"/>
                <c:pt idx="0">
                  <c:v>24682</c:v>
                </c:pt>
                <c:pt idx="1">
                  <c:v>61691</c:v>
                </c:pt>
                <c:pt idx="2">
                  <c:v>119150</c:v>
                </c:pt>
              </c:numCache>
            </c:numRef>
          </c:xVal>
          <c:yVal>
            <c:numRef>
              <c:f>キャリブレーション!$B$22:$B$24</c:f>
              <c:numCache>
                <c:formatCode>General</c:formatCode>
                <c:ptCount val="3"/>
                <c:pt idx="0">
                  <c:v>1</c:v>
                </c:pt>
                <c:pt idx="1">
                  <c:v>2.5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43-4160-8283-D4A36220B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キャリブレーション!$A$16:$A$18</c:f>
              <c:numCache>
                <c:formatCode>General</c:formatCode>
                <c:ptCount val="3"/>
                <c:pt idx="0">
                  <c:v>28505</c:v>
                </c:pt>
                <c:pt idx="1">
                  <c:v>68838</c:v>
                </c:pt>
                <c:pt idx="2">
                  <c:v>134537</c:v>
                </c:pt>
              </c:numCache>
            </c:numRef>
          </c:xVal>
          <c:yVal>
            <c:numRef>
              <c:f>キャリブレーション!$B$10:$B$12</c:f>
              <c:numCache>
                <c:formatCode>General</c:formatCode>
                <c:ptCount val="3"/>
                <c:pt idx="0">
                  <c:v>1</c:v>
                </c:pt>
                <c:pt idx="1">
                  <c:v>2.5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FF-45BD-BF52-6F011DE18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キャリブレーション!$A$27</c:f>
              <c:strCache>
                <c:ptCount val="1"/>
                <c:pt idx="0">
                  <c:v>マレイン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キャリブレーション!$B$27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キャリブレーション!$C$27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33-4288-B6C0-515CDDC52ADE}"/>
            </c:ext>
          </c:extLst>
        </c:ser>
        <c:ser>
          <c:idx val="1"/>
          <c:order val="1"/>
          <c:tx>
            <c:strRef>
              <c:f>キャリブレーション!$A$28</c:f>
              <c:strCache>
                <c:ptCount val="1"/>
                <c:pt idx="0">
                  <c:v>フマル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キャリブレーション!$B$28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キャリブレーション!$C$28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33-4288-B6C0-515CDDC52ADE}"/>
            </c:ext>
          </c:extLst>
        </c:ser>
        <c:ser>
          <c:idx val="2"/>
          <c:order val="2"/>
          <c:tx>
            <c:strRef>
              <c:f>キャリブレーション!$A$29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キャリブレーション!$B$29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キャリブレーション!$C$29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33-4288-B6C0-515CDDC52ADE}"/>
            </c:ext>
          </c:extLst>
        </c:ser>
        <c:ser>
          <c:idx val="3"/>
          <c:order val="3"/>
          <c:tx>
            <c:strRef>
              <c:f>キャリブレーション!$A$30</c:f>
              <c:strCache>
                <c:ptCount val="1"/>
                <c:pt idx="0">
                  <c:v>ナフタル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キャリブレーション!$B$30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キャリブレーション!$C$30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33-4288-B6C0-515CDDC52ADE}"/>
            </c:ext>
          </c:extLst>
        </c:ser>
        <c:ser>
          <c:idx val="4"/>
          <c:order val="4"/>
          <c:tx>
            <c:strRef>
              <c:f>キャリブレーション!$A$31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キャリブレーション!$B$31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キャリブレーション!$C$31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33-4288-B6C0-515CDDC52ADE}"/>
            </c:ext>
          </c:extLst>
        </c:ser>
        <c:ser>
          <c:idx val="5"/>
          <c:order val="5"/>
          <c:tx>
            <c:strRef>
              <c:f>キャリブレーション!$A$32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キャリブレーション!$B$32</c:f>
              <c:numCache>
                <c:formatCode>General</c:formatCode>
                <c:ptCount val="1"/>
                <c:pt idx="0">
                  <c:v>1.92</c:v>
                </c:pt>
              </c:numCache>
            </c:numRef>
          </c:xVal>
          <c:yVal>
            <c:numRef>
              <c:f>キャリブレーション!$C$32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33-4288-B6C0-515CDDC52ADE}"/>
            </c:ext>
          </c:extLst>
        </c:ser>
        <c:ser>
          <c:idx val="6"/>
          <c:order val="6"/>
          <c:tx>
            <c:strRef>
              <c:f>キャリブレーション!$A$33</c:f>
              <c:strCache>
                <c:ptCount val="1"/>
                <c:pt idx="0">
                  <c:v>シクロヘキサン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キャリブレーション!$B$33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キャリブレーション!$C$33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FD-4636-8A4F-B80643EEA37E}"/>
            </c:ext>
          </c:extLst>
        </c:ser>
        <c:ser>
          <c:idx val="7"/>
          <c:order val="7"/>
          <c:tx>
            <c:strRef>
              <c:f>キャリブレーション!$A$35</c:f>
              <c:strCache>
                <c:ptCount val="1"/>
                <c:pt idx="0">
                  <c:v>4ニトロ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キャリブレーション!$B$35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キャリブレーション!$C$35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D-45C1-B828-11DBCBDDF52B}"/>
            </c:ext>
          </c:extLst>
        </c:ser>
        <c:ser>
          <c:idx val="8"/>
          <c:order val="8"/>
          <c:tx>
            <c:strRef>
              <c:f>キャリブレーション!$A$36</c:f>
              <c:strCache>
                <c:ptCount val="1"/>
                <c:pt idx="0">
                  <c:v>3ニトロ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キャリブレーション!$B$36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キャリブレーション!$C$36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D-45C1-B828-11DBCBDDF52B}"/>
            </c:ext>
          </c:extLst>
        </c:ser>
        <c:ser>
          <c:idx val="9"/>
          <c:order val="9"/>
          <c:tx>
            <c:strRef>
              <c:f>キャリブレーション!$A$38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キャリブレーション!$B$38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キャリブレーション!$C$38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61-47A9-9061-48C166522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pKa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キャリブレーション!$A$27</c:f>
              <c:strCache>
                <c:ptCount val="1"/>
                <c:pt idx="0">
                  <c:v>マレイン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キャリブレーション!$B$27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キャリブレーション!$D$27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66-4D9B-8A40-757029831890}"/>
            </c:ext>
          </c:extLst>
        </c:ser>
        <c:ser>
          <c:idx val="1"/>
          <c:order val="1"/>
          <c:tx>
            <c:strRef>
              <c:f>キャリブレーション!$A$28</c:f>
              <c:strCache>
                <c:ptCount val="1"/>
                <c:pt idx="0">
                  <c:v>フマル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キャリブレーション!$B$28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キャリブレーション!$D$28</c:f>
              <c:numCache>
                <c:formatCode>General</c:formatCode>
                <c:ptCount val="1"/>
                <c:pt idx="0">
                  <c:v>8.6515001387182444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66-4D9B-8A40-757029831890}"/>
            </c:ext>
          </c:extLst>
        </c:ser>
        <c:ser>
          <c:idx val="2"/>
          <c:order val="2"/>
          <c:tx>
            <c:strRef>
              <c:f>キャリブレーション!$A$29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キャリブレーション!$B$29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キャリブレーション!$D$29</c:f>
              <c:numCache>
                <c:formatCode>General</c:formatCode>
                <c:ptCount val="1"/>
                <c:pt idx="0">
                  <c:v>8.0126517930399004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66-4D9B-8A40-757029831890}"/>
            </c:ext>
          </c:extLst>
        </c:ser>
        <c:ser>
          <c:idx val="3"/>
          <c:order val="3"/>
          <c:tx>
            <c:strRef>
              <c:f>キャリブレーション!$A$30</c:f>
              <c:strCache>
                <c:ptCount val="1"/>
                <c:pt idx="0">
                  <c:v>ナフタル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キャリブレーション!$B$30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キャリブレーション!$D$30</c:f>
              <c:numCache>
                <c:formatCode>General</c:formatCode>
                <c:ptCount val="1"/>
                <c:pt idx="0">
                  <c:v>5.3459331721786691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66-4D9B-8A40-757029831890}"/>
            </c:ext>
          </c:extLst>
        </c:ser>
        <c:ser>
          <c:idx val="4"/>
          <c:order val="4"/>
          <c:tx>
            <c:strRef>
              <c:f>キャリブレーション!$A$31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キャリブレーション!$B$31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キャリブレーション!$D$31</c:f>
              <c:numCache>
                <c:formatCode>General</c:formatCode>
                <c:ptCount val="1"/>
                <c:pt idx="0">
                  <c:v>1.2081910363899744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66-4D9B-8A40-757029831890}"/>
            </c:ext>
          </c:extLst>
        </c:ser>
        <c:ser>
          <c:idx val="5"/>
          <c:order val="5"/>
          <c:tx>
            <c:strRef>
              <c:f>キャリブレーション!$A$32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キャリブレーション!$B$32</c:f>
              <c:numCache>
                <c:formatCode>General</c:formatCode>
                <c:ptCount val="1"/>
                <c:pt idx="0">
                  <c:v>1.92</c:v>
                </c:pt>
              </c:numCache>
            </c:numRef>
          </c:xVal>
          <c:yVal>
            <c:numRef>
              <c:f>キャリブレーション!$D$32</c:f>
              <c:numCache>
                <c:formatCode>General</c:formatCode>
                <c:ptCount val="1"/>
                <c:pt idx="0">
                  <c:v>9.1956023528812612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66-4D9B-8A40-757029831890}"/>
            </c:ext>
          </c:extLst>
        </c:ser>
        <c:ser>
          <c:idx val="6"/>
          <c:order val="6"/>
          <c:tx>
            <c:strRef>
              <c:f>キャリブレーション!$A$33</c:f>
              <c:strCache>
                <c:ptCount val="1"/>
                <c:pt idx="0">
                  <c:v>シクロヘキサン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キャリブレーション!$B$33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キャリブレーション!$D$33</c:f>
              <c:numCache>
                <c:formatCode>General</c:formatCode>
                <c:ptCount val="1"/>
                <c:pt idx="0">
                  <c:v>3.7035557658362612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8-45A3-8E47-63CDEA3FCC8C}"/>
            </c:ext>
          </c:extLst>
        </c:ser>
        <c:ser>
          <c:idx val="7"/>
          <c:order val="7"/>
          <c:tx>
            <c:strRef>
              <c:f>キャリブレーション!$A$35</c:f>
              <c:strCache>
                <c:ptCount val="1"/>
                <c:pt idx="0">
                  <c:v>4ニトロ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キャリブレーション!$B$35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キャリブレーション!$D$35</c:f>
              <c:numCache>
                <c:formatCode>General</c:formatCode>
                <c:ptCount val="1"/>
                <c:pt idx="0">
                  <c:v>7.3450547696237338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DF-4061-B95F-C3ED12FEC8CC}"/>
            </c:ext>
          </c:extLst>
        </c:ser>
        <c:ser>
          <c:idx val="8"/>
          <c:order val="8"/>
          <c:tx>
            <c:strRef>
              <c:f>キャリブレーション!$A$36</c:f>
              <c:strCache>
                <c:ptCount val="1"/>
                <c:pt idx="0">
                  <c:v>3ニトロ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キャリブレーション!$E$36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キャリブレーション!$D$36</c:f>
              <c:numCache>
                <c:formatCode>General</c:formatCode>
                <c:ptCount val="1"/>
                <c:pt idx="0">
                  <c:v>4.9655282022053191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9-422B-928F-F80F6CB03072}"/>
            </c:ext>
          </c:extLst>
        </c:ser>
        <c:ser>
          <c:idx val="9"/>
          <c:order val="9"/>
          <c:tx>
            <c:strRef>
              <c:f>キャリブレーション!$A$38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キャリブレーション!$B$38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キャリブレーション!$D$38</c:f>
              <c:numCache>
                <c:formatCode>General</c:formatCode>
                <c:ptCount val="1"/>
                <c:pt idx="0">
                  <c:v>2.2803676708920637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59-422B-928F-F80F6CB03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pKa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34532715322058"/>
              <c:y val="0.86432808427189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質量比活性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628018372703416"/>
          <c:h val="0.73181357538641001"/>
        </c:manualLayout>
      </c:layout>
      <c:scatterChart>
        <c:scatterStyle val="lineMarker"/>
        <c:varyColors val="0"/>
        <c:ser>
          <c:idx val="0"/>
          <c:order val="0"/>
          <c:tx>
            <c:v>フタル酸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キャリブレーション!$D$17:$D$21</c:f>
              <c:numCache>
                <c:formatCode>General</c:formatCode>
                <c:ptCount val="5"/>
                <c:pt idx="0">
                  <c:v>29.6</c:v>
                </c:pt>
                <c:pt idx="1">
                  <c:v>59.3</c:v>
                </c:pt>
                <c:pt idx="2">
                  <c:v>118.6</c:v>
                </c:pt>
                <c:pt idx="3">
                  <c:v>296.39999999999998</c:v>
                </c:pt>
                <c:pt idx="4">
                  <c:v>592.79999999999995</c:v>
                </c:pt>
              </c:numCache>
            </c:numRef>
          </c:xVal>
          <c:yVal>
            <c:numRef>
              <c:f>キャリブレーション!$E$17:$E$21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30.598357500000002</c:v>
                </c:pt>
                <c:pt idx="4">
                  <c:v>36.053505000000001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72-46CD-AE55-DFAD257F11D0}"/>
            </c:ext>
          </c:extLst>
        </c:ser>
        <c:ser>
          <c:idx val="1"/>
          <c:order val="1"/>
          <c:tx>
            <c:v>HBPEK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キャリブレーション!$H$17:$H$20</c:f>
              <c:numCache>
                <c:formatCode>General</c:formatCode>
                <c:ptCount val="4"/>
                <c:pt idx="0">
                  <c:v>47.1</c:v>
                </c:pt>
                <c:pt idx="1">
                  <c:v>94.2</c:v>
                </c:pt>
                <c:pt idx="2">
                  <c:v>188.4</c:v>
                </c:pt>
              </c:numCache>
            </c:numRef>
          </c:xVal>
          <c:yVal>
            <c:numRef>
              <c:f>キャリブレーション!$I$17:$I$20</c:f>
              <c:numCache>
                <c:formatCode>General</c:formatCode>
                <c:ptCount val="4"/>
                <c:pt idx="0">
                  <c:v>9.75</c:v>
                </c:pt>
                <c:pt idx="2">
                  <c:v>19.96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66-4358-84C5-A462357E5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79759"/>
        <c:axId val="811011807"/>
      </c:scatterChart>
      <c:valAx>
        <c:axId val="100747975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触媒量</a:t>
                </a:r>
                <a:r>
                  <a:rPr lang="en-US" altLang="ja-JP" sz="1200">
                    <a:solidFill>
                      <a:schemeClr val="tx1"/>
                    </a:solidFill>
                  </a:rPr>
                  <a:t>[mg]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1011807"/>
        <c:crosses val="autoZero"/>
        <c:crossBetween val="midCat"/>
      </c:valAx>
      <c:valAx>
        <c:axId val="811011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479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31517935258087"/>
          <c:y val="0.57002260134149896"/>
          <c:w val="0.15829024496937882"/>
          <c:h val="0.16743438320209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628018372703416"/>
          <c:h val="0.73181357538641001"/>
        </c:manualLayout>
      </c:layout>
      <c:scatterChart>
        <c:scatterStyle val="lineMarker"/>
        <c:varyColors val="0"/>
        <c:ser>
          <c:idx val="0"/>
          <c:order val="0"/>
          <c:tx>
            <c:v>フタル酸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キャリブレーション!$C$17:$C$21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キャリブレーション!$E$17:$E$21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30.598357500000002</c:v>
                </c:pt>
                <c:pt idx="4">
                  <c:v>36.053505000000001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A1-4217-AD4F-DE3D6F160CC2}"/>
            </c:ext>
          </c:extLst>
        </c:ser>
        <c:ser>
          <c:idx val="1"/>
          <c:order val="1"/>
          <c:tx>
            <c:v>HBPEK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キャリブレーション!$C$17:$C$21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キャリブレーション!$I$17:$I$20</c:f>
              <c:numCache>
                <c:formatCode>General</c:formatCode>
                <c:ptCount val="4"/>
                <c:pt idx="0">
                  <c:v>9.75</c:v>
                </c:pt>
                <c:pt idx="2">
                  <c:v>19.96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A1-4217-AD4F-DE3D6F160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79759"/>
        <c:axId val="811011807"/>
      </c:scatterChart>
      <c:valAx>
        <c:axId val="100747975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COOH[mmol]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1011807"/>
        <c:crosses val="autoZero"/>
        <c:crossBetween val="midCat"/>
        <c:majorUnit val="1"/>
      </c:valAx>
      <c:valAx>
        <c:axId val="811011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479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31517935258087"/>
          <c:y val="0.57002260134149896"/>
          <c:w val="0.15829024496937882"/>
          <c:h val="0.16743438320209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キャリブレーション!$A$54:$A$57</c:f>
              <c:numCache>
                <c:formatCode>General</c:formatCode>
                <c:ptCount val="4"/>
                <c:pt idx="0">
                  <c:v>32844</c:v>
                </c:pt>
                <c:pt idx="1">
                  <c:v>68101</c:v>
                </c:pt>
                <c:pt idx="2">
                  <c:v>172180</c:v>
                </c:pt>
                <c:pt idx="3">
                  <c:v>337189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F9-4BAD-9739-D00B1865A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#,##0.000000000000_);[Red]\(#,##0.00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キャリブレーション!$C$54:$C$57</c:f>
              <c:numCache>
                <c:formatCode>General</c:formatCode>
                <c:ptCount val="4"/>
                <c:pt idx="0">
                  <c:v>18120110</c:v>
                </c:pt>
                <c:pt idx="1">
                  <c:v>34688126</c:v>
                </c:pt>
                <c:pt idx="2">
                  <c:v>82161760</c:v>
                </c:pt>
                <c:pt idx="3">
                  <c:v>145981328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E3-475A-A691-6FE19A51D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キャリブレーション!$A$61:$A$64</c:f>
              <c:numCache>
                <c:formatCode>General</c:formatCode>
                <c:ptCount val="4"/>
                <c:pt idx="0">
                  <c:v>83903</c:v>
                </c:pt>
                <c:pt idx="1">
                  <c:v>166140</c:v>
                </c:pt>
                <c:pt idx="2">
                  <c:v>422047</c:v>
                </c:pt>
                <c:pt idx="3">
                  <c:v>842829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0B-42F6-93B5-FF9CB3816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キャリブレーション!$C$61:$C$64</c:f>
              <c:numCache>
                <c:formatCode>General</c:formatCode>
                <c:ptCount val="4"/>
                <c:pt idx="0">
                  <c:v>13419</c:v>
                </c:pt>
                <c:pt idx="1">
                  <c:v>26764</c:v>
                </c:pt>
                <c:pt idx="2">
                  <c:v>68572</c:v>
                </c:pt>
                <c:pt idx="3">
                  <c:v>136874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C8-47DF-8655-6294DC3CC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キャリブレーション!$A$27</c:f>
              <c:strCache>
                <c:ptCount val="1"/>
                <c:pt idx="0">
                  <c:v>マレイン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キャリブレーション!$E$27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キャリブレーション!$D$27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800-4A8D-AD70-EE3C5133FE07}"/>
            </c:ext>
          </c:extLst>
        </c:ser>
        <c:ser>
          <c:idx val="1"/>
          <c:order val="1"/>
          <c:tx>
            <c:strRef>
              <c:f>キャリブレーション!$A$28</c:f>
              <c:strCache>
                <c:ptCount val="1"/>
                <c:pt idx="0">
                  <c:v>フマル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キャリブレーション!$E$28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キャリブレーション!$C$28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00-4A8D-AD70-EE3C5133FE07}"/>
            </c:ext>
          </c:extLst>
        </c:ser>
        <c:ser>
          <c:idx val="2"/>
          <c:order val="2"/>
          <c:tx>
            <c:strRef>
              <c:f>キャリブレーション!$A$29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キャリブレーション!$E$29</c:f>
              <c:numCache>
                <c:formatCode>General</c:formatCode>
                <c:ptCount val="1"/>
                <c:pt idx="0">
                  <c:v>2.73</c:v>
                </c:pt>
              </c:numCache>
            </c:numRef>
          </c:xVal>
          <c:yVal>
            <c:numRef>
              <c:f>キャリブレーション!$C$29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00-4A8D-AD70-EE3C5133FE07}"/>
            </c:ext>
          </c:extLst>
        </c:ser>
        <c:ser>
          <c:idx val="3"/>
          <c:order val="3"/>
          <c:tx>
            <c:strRef>
              <c:f>キャリブレーション!$A$30</c:f>
              <c:strCache>
                <c:ptCount val="1"/>
                <c:pt idx="0">
                  <c:v>ナフタル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キャリブレーション!$E$30</c:f>
              <c:numCache>
                <c:formatCode>General</c:formatCode>
                <c:ptCount val="1"/>
              </c:numCache>
            </c:numRef>
          </c:xVal>
          <c:yVal>
            <c:numRef>
              <c:f>キャリブレーション!$C$30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00-4A8D-AD70-EE3C5133FE07}"/>
            </c:ext>
          </c:extLst>
        </c:ser>
        <c:ser>
          <c:idx val="4"/>
          <c:order val="4"/>
          <c:tx>
            <c:strRef>
              <c:f>キャリブレーション!$A$31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キャリブレーション!$E$31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キャリブレーション!$C$31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00-4A8D-AD70-EE3C5133FE07}"/>
            </c:ext>
          </c:extLst>
        </c:ser>
        <c:ser>
          <c:idx val="5"/>
          <c:order val="5"/>
          <c:tx>
            <c:strRef>
              <c:f>キャリブレーション!$A$32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キャリブレーション!$E$32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キャリブレーション!$C$32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00-4A8D-AD70-EE3C5133FE07}"/>
            </c:ext>
          </c:extLst>
        </c:ser>
        <c:ser>
          <c:idx val="6"/>
          <c:order val="6"/>
          <c:tx>
            <c:strRef>
              <c:f>キャリブレーション!$A$33</c:f>
              <c:strCache>
                <c:ptCount val="1"/>
                <c:pt idx="0">
                  <c:v>シクロヘキサン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キャリブレーション!$E$33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キャリブレーション!$C$33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800-4A8D-AD70-EE3C5133FE07}"/>
            </c:ext>
          </c:extLst>
        </c:ser>
        <c:ser>
          <c:idx val="7"/>
          <c:order val="7"/>
          <c:tx>
            <c:strRef>
              <c:f>キャリブレーション!$A$35</c:f>
              <c:strCache>
                <c:ptCount val="1"/>
                <c:pt idx="0">
                  <c:v>4ニトロ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キャリブレーション!$E$35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キャリブレーション!$C$35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800-4A8D-AD70-EE3C5133FE07}"/>
            </c:ext>
          </c:extLst>
        </c:ser>
        <c:ser>
          <c:idx val="8"/>
          <c:order val="8"/>
          <c:tx>
            <c:strRef>
              <c:f>キャリブレーション!$A$36</c:f>
              <c:strCache>
                <c:ptCount val="1"/>
                <c:pt idx="0">
                  <c:v>3ニトロ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キャリブレーション!$E$36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キャリブレーション!$C$36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00-4A8D-AD70-EE3C5133FE07}"/>
            </c:ext>
          </c:extLst>
        </c:ser>
        <c:ser>
          <c:idx val="9"/>
          <c:order val="9"/>
          <c:tx>
            <c:strRef>
              <c:f>キャリブレーション!$A$38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キャリブレーション!$E$38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キャリブレーション!$C$38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800-4A8D-AD70-EE3C5133FE07}"/>
            </c:ext>
          </c:extLst>
        </c:ser>
        <c:ser>
          <c:idx val="10"/>
          <c:order val="10"/>
          <c:tx>
            <c:strRef>
              <c:f>キャリブレーション!$A$39</c:f>
              <c:strCache>
                <c:ptCount val="1"/>
                <c:pt idx="0">
                  <c:v>HCl2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2857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キャリブレーション!$E$39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キャリブレーション!$C$39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800-4A8D-AD70-EE3C5133FE07}"/>
            </c:ext>
          </c:extLst>
        </c:ser>
        <c:ser>
          <c:idx val="11"/>
          <c:order val="11"/>
          <c:tx>
            <c:strRef>
              <c:f>キャリブレーション!$A$40</c:f>
              <c:strCache>
                <c:ptCount val="1"/>
                <c:pt idx="0">
                  <c:v>HCl3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285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キャリブレーション!$E$40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キャリブレーション!$C$40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800-4A8D-AD70-EE3C5133FE07}"/>
            </c:ext>
          </c:extLst>
        </c:ser>
        <c:ser>
          <c:idx val="12"/>
          <c:order val="12"/>
          <c:tx>
            <c:strRef>
              <c:f>キャリブレーション!$A$41</c:f>
              <c:strCache>
                <c:ptCount val="1"/>
                <c:pt idx="0">
                  <c:v>3官能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キャリブレーション!$E$41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キャリブレーション!$C$41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800-4A8D-AD70-EE3C5133FE07}"/>
            </c:ext>
          </c:extLst>
        </c:ser>
        <c:ser>
          <c:idx val="13"/>
          <c:order val="13"/>
          <c:tx>
            <c:strRef>
              <c:f>キャリブレーション!$A$42</c:f>
              <c:strCache>
                <c:ptCount val="1"/>
                <c:pt idx="0">
                  <c:v>モノマー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キャリブレーション!$E$42</c:f>
              <c:numCache>
                <c:formatCode>General</c:formatCode>
                <c:ptCount val="1"/>
              </c:numCache>
            </c:numRef>
          </c:xVal>
          <c:yVal>
            <c:numRef>
              <c:f>キャリブレーション!$C$42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800-4A8D-AD70-EE3C5133FE07}"/>
            </c:ext>
          </c:extLst>
        </c:ser>
        <c:ser>
          <c:idx val="14"/>
          <c:order val="14"/>
          <c:tx>
            <c:strRef>
              <c:f>キャリブレーション!$A$43</c:f>
              <c:strCache>
                <c:ptCount val="1"/>
                <c:pt idx="0">
                  <c:v>HCl2.5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31750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キャリブレーション!$E$43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キャリブレーション!$C$43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6-4497-B847-1D8495234E4E}"/>
            </c:ext>
          </c:extLst>
        </c:ser>
        <c:ser>
          <c:idx val="15"/>
          <c:order val="15"/>
          <c:tx>
            <c:strRef>
              <c:f>キャリブレーション!$A$37</c:f>
              <c:strCache>
                <c:ptCount val="1"/>
                <c:pt idx="0">
                  <c:v>5ニトロイソフタル酸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キャリブレーション!$E$37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キャリブレーション!$C$37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F-4C0D-9B9C-B8B196DAE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846369117355131"/>
          <c:y val="1.6056775210888104E-2"/>
          <c:w val="0.19374095539095676"/>
          <c:h val="0.89733739575558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キャリブレーション!$A$28</c:f>
              <c:strCache>
                <c:ptCount val="1"/>
                <c:pt idx="0">
                  <c:v>フマル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キャリブレーション!$E$28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キャリブレーション!$C$28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3-421D-AB20-4545EA4A47C6}"/>
            </c:ext>
          </c:extLst>
        </c:ser>
        <c:ser>
          <c:idx val="2"/>
          <c:order val="1"/>
          <c:tx>
            <c:strRef>
              <c:f>キャリブレーション!$A$29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キャリブレーション!$E$29</c:f>
              <c:numCache>
                <c:formatCode>General</c:formatCode>
                <c:ptCount val="1"/>
                <c:pt idx="0">
                  <c:v>2.73</c:v>
                </c:pt>
              </c:numCache>
            </c:numRef>
          </c:xVal>
          <c:yVal>
            <c:numRef>
              <c:f>キャリブレーション!$C$29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53-421D-AB20-4545EA4A47C6}"/>
            </c:ext>
          </c:extLst>
        </c:ser>
        <c:ser>
          <c:idx val="3"/>
          <c:order val="2"/>
          <c:tx>
            <c:strRef>
              <c:f>キャリブレーション!$A$30</c:f>
              <c:strCache>
                <c:ptCount val="1"/>
                <c:pt idx="0">
                  <c:v>ナフタル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キャリブレーション!$E$30</c:f>
              <c:numCache>
                <c:formatCode>General</c:formatCode>
                <c:ptCount val="1"/>
              </c:numCache>
            </c:numRef>
          </c:xVal>
          <c:yVal>
            <c:numRef>
              <c:f>キャリブレーション!$C$30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53-421D-AB20-4545EA4A47C6}"/>
            </c:ext>
          </c:extLst>
        </c:ser>
        <c:ser>
          <c:idx val="4"/>
          <c:order val="3"/>
          <c:tx>
            <c:strRef>
              <c:f>キャリブレーション!$A$31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キャリブレーション!$E$31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キャリブレーション!$C$31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53-421D-AB20-4545EA4A47C6}"/>
            </c:ext>
          </c:extLst>
        </c:ser>
        <c:ser>
          <c:idx val="5"/>
          <c:order val="4"/>
          <c:tx>
            <c:strRef>
              <c:f>キャリブレーション!$A$32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キャリブレーション!$E$32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キャリブレーション!$C$32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53-421D-AB20-4545EA4A47C6}"/>
            </c:ext>
          </c:extLst>
        </c:ser>
        <c:ser>
          <c:idx val="6"/>
          <c:order val="5"/>
          <c:tx>
            <c:strRef>
              <c:f>キャリブレーション!$A$33</c:f>
              <c:strCache>
                <c:ptCount val="1"/>
                <c:pt idx="0">
                  <c:v>シクロヘキサン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キャリブレーション!$E$33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キャリブレーション!$C$33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53-421D-AB20-4545EA4A47C6}"/>
            </c:ext>
          </c:extLst>
        </c:ser>
        <c:ser>
          <c:idx val="7"/>
          <c:order val="6"/>
          <c:tx>
            <c:strRef>
              <c:f>キャリブレーション!$A$35</c:f>
              <c:strCache>
                <c:ptCount val="1"/>
                <c:pt idx="0">
                  <c:v>4ニトロ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キャリブレーション!$E$35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キャリブレーション!$C$35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53-421D-AB20-4545EA4A47C6}"/>
            </c:ext>
          </c:extLst>
        </c:ser>
        <c:ser>
          <c:idx val="8"/>
          <c:order val="7"/>
          <c:tx>
            <c:strRef>
              <c:f>キャリブレーション!$A$36</c:f>
              <c:strCache>
                <c:ptCount val="1"/>
                <c:pt idx="0">
                  <c:v>3ニトロ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キャリブレーション!$E$36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キャリブレーション!$C$36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953-421D-AB20-4545EA4A47C6}"/>
            </c:ext>
          </c:extLst>
        </c:ser>
        <c:ser>
          <c:idx val="9"/>
          <c:order val="8"/>
          <c:tx>
            <c:strRef>
              <c:f>キャリブレーション!$A$38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キャリブレーション!$E$38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キャリブレーション!$C$38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953-421D-AB20-4545EA4A47C6}"/>
            </c:ext>
          </c:extLst>
        </c:ser>
        <c:ser>
          <c:idx val="0"/>
          <c:order val="9"/>
          <c:tx>
            <c:strRef>
              <c:f>キャリブレーション!$A$27</c:f>
              <c:strCache>
                <c:ptCount val="1"/>
                <c:pt idx="0">
                  <c:v>マレイン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キャリブレーション!$E$27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キャリブレーション!$D$27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953-421D-AB20-4545EA4A47C6}"/>
            </c:ext>
          </c:extLst>
        </c:ser>
        <c:ser>
          <c:idx val="10"/>
          <c:order val="10"/>
          <c:tx>
            <c:strRef>
              <c:f>キャリブレーション!$A$39</c:f>
              <c:strCache>
                <c:ptCount val="1"/>
                <c:pt idx="0">
                  <c:v>HCl2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2857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キャリブレーション!$E$39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キャリブレーション!$C$39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953-421D-AB20-4545EA4A47C6}"/>
            </c:ext>
          </c:extLst>
        </c:ser>
        <c:ser>
          <c:idx val="11"/>
          <c:order val="11"/>
          <c:tx>
            <c:strRef>
              <c:f>キャリブレーション!$A$40</c:f>
              <c:strCache>
                <c:ptCount val="1"/>
                <c:pt idx="0">
                  <c:v>HCl3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285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キャリブレーション!$E$40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キャリブレーション!$C$40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953-421D-AB20-4545EA4A4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614535207320538"/>
          <c:y val="6.871510363741655E-2"/>
          <c:w val="0.17199107896980007"/>
          <c:h val="0.93128489636258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キャリブレーション!$A$27</c:f>
              <c:strCache>
                <c:ptCount val="1"/>
                <c:pt idx="0">
                  <c:v>マレイン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キャリブレーション!$E$27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キャリブレーション!$D$27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5-412F-A32B-E6CB56218A48}"/>
            </c:ext>
          </c:extLst>
        </c:ser>
        <c:ser>
          <c:idx val="1"/>
          <c:order val="1"/>
          <c:tx>
            <c:strRef>
              <c:f>キャリブレーション!$A$28</c:f>
              <c:strCache>
                <c:ptCount val="1"/>
                <c:pt idx="0">
                  <c:v>フマル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キャリブレーション!$E$28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キャリブレーション!$D$28</c:f>
              <c:numCache>
                <c:formatCode>General</c:formatCode>
                <c:ptCount val="1"/>
                <c:pt idx="0">
                  <c:v>8.6515001387182444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5-412F-A32B-E6CB56218A48}"/>
            </c:ext>
          </c:extLst>
        </c:ser>
        <c:ser>
          <c:idx val="2"/>
          <c:order val="2"/>
          <c:tx>
            <c:strRef>
              <c:f>キャリブレーション!$A$29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キャリブレーション!$E$29</c:f>
              <c:numCache>
                <c:formatCode>General</c:formatCode>
                <c:ptCount val="1"/>
                <c:pt idx="0">
                  <c:v>2.73</c:v>
                </c:pt>
              </c:numCache>
            </c:numRef>
          </c:xVal>
          <c:yVal>
            <c:numRef>
              <c:f>キャリブレーション!$D$29</c:f>
              <c:numCache>
                <c:formatCode>General</c:formatCode>
                <c:ptCount val="1"/>
                <c:pt idx="0">
                  <c:v>8.0126517930399004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C5-412F-A32B-E6CB56218A48}"/>
            </c:ext>
          </c:extLst>
        </c:ser>
        <c:ser>
          <c:idx val="3"/>
          <c:order val="3"/>
          <c:tx>
            <c:strRef>
              <c:f>キャリブレーション!$A$30</c:f>
              <c:strCache>
                <c:ptCount val="1"/>
                <c:pt idx="0">
                  <c:v>ナフタル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キャリブレーション!$E$30</c:f>
              <c:numCache>
                <c:formatCode>General</c:formatCode>
                <c:ptCount val="1"/>
              </c:numCache>
            </c:numRef>
          </c:xVal>
          <c:yVal>
            <c:numRef>
              <c:f>キャリブレーション!$D$30</c:f>
              <c:numCache>
                <c:formatCode>General</c:formatCode>
                <c:ptCount val="1"/>
                <c:pt idx="0">
                  <c:v>5.3459331721786691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C5-412F-A32B-E6CB56218A48}"/>
            </c:ext>
          </c:extLst>
        </c:ser>
        <c:ser>
          <c:idx val="4"/>
          <c:order val="4"/>
          <c:tx>
            <c:strRef>
              <c:f>キャリブレーション!$A$31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キャリブレーション!$E$31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キャリブレーション!$D$31</c:f>
              <c:numCache>
                <c:formatCode>General</c:formatCode>
                <c:ptCount val="1"/>
                <c:pt idx="0">
                  <c:v>1.2081910363899744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C5-412F-A32B-E6CB56218A48}"/>
            </c:ext>
          </c:extLst>
        </c:ser>
        <c:ser>
          <c:idx val="5"/>
          <c:order val="5"/>
          <c:tx>
            <c:strRef>
              <c:f>キャリブレーション!$A$32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キャリブレーション!$E$32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キャリブレーション!$D$32</c:f>
              <c:numCache>
                <c:formatCode>General</c:formatCode>
                <c:ptCount val="1"/>
                <c:pt idx="0">
                  <c:v>9.1956023528812612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C5-412F-A32B-E6CB56218A48}"/>
            </c:ext>
          </c:extLst>
        </c:ser>
        <c:ser>
          <c:idx val="6"/>
          <c:order val="6"/>
          <c:tx>
            <c:strRef>
              <c:f>キャリブレーション!$A$33</c:f>
              <c:strCache>
                <c:ptCount val="1"/>
                <c:pt idx="0">
                  <c:v>シクロヘキサン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キャリブレーション!$E$33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キャリブレーション!$D$33</c:f>
              <c:numCache>
                <c:formatCode>General</c:formatCode>
                <c:ptCount val="1"/>
                <c:pt idx="0">
                  <c:v>3.7035557658362612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C5-412F-A32B-E6CB56218A48}"/>
            </c:ext>
          </c:extLst>
        </c:ser>
        <c:ser>
          <c:idx val="7"/>
          <c:order val="7"/>
          <c:tx>
            <c:strRef>
              <c:f>キャリブレーション!$A$35</c:f>
              <c:strCache>
                <c:ptCount val="1"/>
                <c:pt idx="0">
                  <c:v>4ニトロ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キャリブレーション!$E$35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キャリブレーション!$D$35</c:f>
              <c:numCache>
                <c:formatCode>General</c:formatCode>
                <c:ptCount val="1"/>
                <c:pt idx="0">
                  <c:v>7.3450547696237338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C5-412F-A32B-E6CB56218A48}"/>
            </c:ext>
          </c:extLst>
        </c:ser>
        <c:ser>
          <c:idx val="8"/>
          <c:order val="8"/>
          <c:tx>
            <c:strRef>
              <c:f>キャリブレーション!$A$36</c:f>
              <c:strCache>
                <c:ptCount val="1"/>
                <c:pt idx="0">
                  <c:v>3ニトロ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キャリブレーション!$E$36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キャリブレーション!$D$36</c:f>
              <c:numCache>
                <c:formatCode>General</c:formatCode>
                <c:ptCount val="1"/>
                <c:pt idx="0">
                  <c:v>4.9655282022053191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8C5-412F-A32B-E6CB56218A48}"/>
            </c:ext>
          </c:extLst>
        </c:ser>
        <c:ser>
          <c:idx val="9"/>
          <c:order val="9"/>
          <c:tx>
            <c:strRef>
              <c:f>キャリブレーション!$A$38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キャリブレーション!$E$38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キャリブレーション!$D$38</c:f>
              <c:numCache>
                <c:formatCode>General</c:formatCode>
                <c:ptCount val="1"/>
                <c:pt idx="0">
                  <c:v>2.2803676708920637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8C5-412F-A32B-E6CB56218A48}"/>
            </c:ext>
          </c:extLst>
        </c:ser>
        <c:ser>
          <c:idx val="10"/>
          <c:order val="10"/>
          <c:tx>
            <c:strRef>
              <c:f>キャリブレーション!$A$41</c:f>
              <c:strCache>
                <c:ptCount val="1"/>
                <c:pt idx="0">
                  <c:v>3官能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キャリブレーション!$E$41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キャリブレーション!$C$41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8C5-412F-A32B-E6CB56218A48}"/>
            </c:ext>
          </c:extLst>
        </c:ser>
        <c:ser>
          <c:idx val="11"/>
          <c:order val="11"/>
          <c:tx>
            <c:strRef>
              <c:f>キャリブレーション!$A$42</c:f>
              <c:strCache>
                <c:ptCount val="1"/>
                <c:pt idx="0">
                  <c:v>モノマー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キャリブレーション!$E$42</c:f>
              <c:numCache>
                <c:formatCode>General</c:formatCode>
                <c:ptCount val="1"/>
              </c:numCache>
            </c:numRef>
          </c:xVal>
          <c:yVal>
            <c:numRef>
              <c:f>キャリブレーション!$D$42</c:f>
              <c:numCache>
                <c:formatCode>General</c:formatCode>
                <c:ptCount val="1"/>
                <c:pt idx="0">
                  <c:v>5.1939306064432262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8C5-412F-A32B-E6CB56218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34532715322058"/>
              <c:y val="0.86432808427189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質量比活性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キャリブレーション!$C$68:$C$71</c:f>
              <c:numCache>
                <c:formatCode>General</c:formatCode>
                <c:ptCount val="4"/>
                <c:pt idx="0">
                  <c:v>17023090</c:v>
                </c:pt>
                <c:pt idx="1">
                  <c:v>34133468</c:v>
                </c:pt>
                <c:pt idx="2">
                  <c:v>84503417</c:v>
                </c:pt>
                <c:pt idx="3">
                  <c:v>157354931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DE-472A-A8F9-AD1902175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キャリブレーション!$C$73:$C$76</c:f>
              <c:numCache>
                <c:formatCode>General</c:formatCode>
                <c:ptCount val="4"/>
                <c:pt idx="0">
                  <c:v>15101659</c:v>
                </c:pt>
                <c:pt idx="1">
                  <c:v>29584110</c:v>
                </c:pt>
                <c:pt idx="2">
                  <c:v>71555602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2-4548-98DF-6264A6628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キャリブレーション!$V$55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キャリブレーション!$W$56:$W$60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キャリブレーション!$X$56:$X$60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30.598357500000002</c:v>
                </c:pt>
                <c:pt idx="4">
                  <c:v>36.053505000000001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C3D-4B10-96D6-4351D8D61E6E}"/>
            </c:ext>
          </c:extLst>
        </c:ser>
        <c:ser>
          <c:idx val="1"/>
          <c:order val="1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キャリブレーション!$Y$56:$Y$58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キャリブレーション!$Z$56:$Z$58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C3D-4B10-96D6-4351D8D61E6E}"/>
            </c:ext>
          </c:extLst>
        </c:ser>
        <c:ser>
          <c:idx val="2"/>
          <c:order val="2"/>
          <c:tx>
            <c:strRef>
              <c:f>キャリブレーション!$AA$55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キャリブレーション!$AA$56:$AA$59</c:f>
              <c:numCache>
                <c:formatCode>General</c:formatCode>
                <c:ptCount val="4"/>
                <c:pt idx="0">
                  <c:v>2.44</c:v>
                </c:pt>
                <c:pt idx="1">
                  <c:v>2.15</c:v>
                </c:pt>
                <c:pt idx="2">
                  <c:v>1.98</c:v>
                </c:pt>
                <c:pt idx="3">
                  <c:v>1.6</c:v>
                </c:pt>
              </c:numCache>
            </c:numRef>
          </c:xVal>
          <c:yVal>
            <c:numRef>
              <c:f>キャリブレーション!$AB$56:$AB$59</c:f>
              <c:numCache>
                <c:formatCode>General</c:formatCode>
                <c:ptCount val="4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C3D-4B10-96D6-4351D8D61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.6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614535207320538"/>
          <c:y val="6.871510363741655E-2"/>
          <c:w val="0.13244584911315152"/>
          <c:h val="0.23524621398367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キャリブレーション!$C$81:$C$84</c:f>
              <c:numCache>
                <c:formatCode>General</c:formatCode>
                <c:ptCount val="4"/>
                <c:pt idx="0">
                  <c:v>42042</c:v>
                </c:pt>
                <c:pt idx="1">
                  <c:v>88354</c:v>
                </c:pt>
                <c:pt idx="2">
                  <c:v>213211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78-4179-884C-7FE154EF6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キャリブレーション!$A$81:$A$84</c:f>
              <c:numCache>
                <c:formatCode>General</c:formatCode>
                <c:ptCount val="4"/>
                <c:pt idx="0">
                  <c:v>17575858</c:v>
                </c:pt>
                <c:pt idx="1">
                  <c:v>34895572</c:v>
                </c:pt>
                <c:pt idx="2">
                  <c:v>83052369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F3-4A1B-AA67-5AA8CD430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キャリブレーション!$A$88:$A$91</c:f>
              <c:numCache>
                <c:formatCode>General</c:formatCode>
                <c:ptCount val="4"/>
                <c:pt idx="0">
                  <c:v>16607000</c:v>
                </c:pt>
                <c:pt idx="1">
                  <c:v>33020328</c:v>
                </c:pt>
                <c:pt idx="2">
                  <c:v>79179758</c:v>
                </c:pt>
              </c:numCache>
            </c:numRef>
          </c:xVal>
          <c:yVal>
            <c:numRef>
              <c:f>キャリブレーション!$B$88:$B$91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F0-477B-A9A4-CF2B42A5A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キャリブレーション!$C$88:$C$91</c:f>
              <c:numCache>
                <c:formatCode>General</c:formatCode>
                <c:ptCount val="4"/>
                <c:pt idx="0">
                  <c:v>17638</c:v>
                </c:pt>
                <c:pt idx="1">
                  <c:v>35672</c:v>
                </c:pt>
                <c:pt idx="2">
                  <c:v>88988</c:v>
                </c:pt>
              </c:numCache>
            </c:numRef>
          </c:xVal>
          <c:yVal>
            <c:numRef>
              <c:f>キャリブレーション!$B$88:$B$91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8E-41FB-A831-B98082AD0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キャリブレーション!$A$73:$A$76</c:f>
              <c:numCache>
                <c:formatCode>General</c:formatCode>
                <c:ptCount val="4"/>
                <c:pt idx="0">
                  <c:v>18424</c:v>
                </c:pt>
                <c:pt idx="1">
                  <c:v>36390</c:v>
                </c:pt>
                <c:pt idx="2">
                  <c:v>92204</c:v>
                </c:pt>
              </c:numCache>
            </c:numRef>
          </c:xVal>
          <c:yVal>
            <c:numRef>
              <c:f>キャリブレーション!$B$81:$B$84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AD-4C50-AD4D-86105F095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キャリブレーション!$A$96:$A$100</c:f>
              <c:numCache>
                <c:formatCode>General</c:formatCode>
                <c:ptCount val="5"/>
                <c:pt idx="0">
                  <c:v>144952</c:v>
                </c:pt>
                <c:pt idx="1">
                  <c:v>286840</c:v>
                </c:pt>
                <c:pt idx="2">
                  <c:v>727634</c:v>
                </c:pt>
                <c:pt idx="3">
                  <c:v>1457309</c:v>
                </c:pt>
                <c:pt idx="4">
                  <c:v>4079445</c:v>
                </c:pt>
              </c:numCache>
            </c:numRef>
          </c:xVal>
          <c:yVal>
            <c:numRef>
              <c:f>キャリブレーション!$B$96:$B$100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28.34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C4-4953-A318-25B08B6A6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計算!$S$38:$S$44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E-4883-A8E5-78ADC50CECB9}"/>
            </c:ext>
          </c:extLst>
        </c:ser>
        <c:ser>
          <c:idx val="1"/>
          <c:order val="1"/>
          <c:tx>
            <c:strRef>
              <c:f>○!$M$16</c:f>
              <c:strCache>
                <c:ptCount val="1"/>
                <c:pt idx="0">
                  <c:v>Ball-milled cellulose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計算!$T$38:$T$44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5.9760070932662677</c:v>
                </c:pt>
                <c:pt idx="2">
                  <c:v>33.288693912358958</c:v>
                </c:pt>
                <c:pt idx="3">
                  <c:v>39.818479611431158</c:v>
                </c:pt>
                <c:pt idx="4">
                  <c:v>15.401817758345068</c:v>
                </c:pt>
                <c:pt idx="5">
                  <c:v>26.408719241178947</c:v>
                </c:pt>
                <c:pt idx="6">
                  <c:v>13.64685686465433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2E-4883-A8E5-78ADC50CEC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○!$L$17:$L$33</c:f>
              <c:strCache>
                <c:ptCount val="1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  <c:pt idx="7">
                  <c:v>ナフタル酸</c:v>
                </c:pt>
                <c:pt idx="8">
                  <c:v>マレイン酸</c:v>
                </c:pt>
                <c:pt idx="9">
                  <c:v>フマル酸</c:v>
                </c:pt>
                <c:pt idx="10">
                  <c:v>cisシクロヘキサン</c:v>
                </c:pt>
                <c:pt idx="11">
                  <c:v>3官能</c:v>
                </c:pt>
                <c:pt idx="12">
                  <c:v>コハク酸</c:v>
                </c:pt>
                <c:pt idx="13">
                  <c:v>3ニトロ</c:v>
                </c:pt>
                <c:pt idx="14">
                  <c:v>4ニトロ</c:v>
                </c:pt>
                <c:pt idx="15">
                  <c:v>5イソフタル酸</c:v>
                </c:pt>
                <c:pt idx="16">
                  <c:v>transシクロ</c:v>
                </c:pt>
              </c:strCache>
            </c:strRef>
          </c:cat>
          <c:val>
            <c:numRef>
              <c:f>計算!$S$38:$S$54</c:f>
              <c:numCache>
                <c:formatCode>General</c:formatCode>
                <c:ptCount val="1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  <c:pt idx="7">
                  <c:v>5.3459331721786691</c:v>
                </c:pt>
                <c:pt idx="8">
                  <c:v>16.427803853754938</c:v>
                </c:pt>
                <c:pt idx="9">
                  <c:v>8.6515001387182444</c:v>
                </c:pt>
                <c:pt idx="10">
                  <c:v>3.7035557658362612</c:v>
                </c:pt>
                <c:pt idx="11">
                  <c:v>1.831319115716616</c:v>
                </c:pt>
                <c:pt idx="12">
                  <c:v>2.2803676708920637</c:v>
                </c:pt>
                <c:pt idx="13">
                  <c:v>4.9655282022053191</c:v>
                </c:pt>
                <c:pt idx="14">
                  <c:v>7.3450547696237338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B-4608-B12F-E4A1225AA5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○!$M$16</c15:sqref>
                        </c15:formulaRef>
                      </c:ext>
                    </c:extLst>
                    <c:strCache>
                      <c:ptCount val="1"/>
                      <c:pt idx="0">
                        <c:v>Ball-milled cellulose</c:v>
                      </c:pt>
                    </c:strCache>
                  </c:strRef>
                </c:tx>
                <c:spPr>
                  <a:solidFill>
                    <a:srgbClr val="0070C0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_);[Red]\(#,##0.0\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○!$L$17:$L$33</c15:sqref>
                        </c15:formulaRef>
                      </c:ext>
                    </c:extLst>
                    <c:strCache>
                      <c:ptCount val="17"/>
                      <c:pt idx="0">
                        <c:v>触媒なし</c:v>
                      </c:pt>
                      <c:pt idx="1">
                        <c:v>安息香酸</c:v>
                      </c:pt>
                      <c:pt idx="2">
                        <c:v>フタル酸</c:v>
                      </c:pt>
                      <c:pt idx="3">
                        <c:v>ピロメリット酸</c:v>
                      </c:pt>
                      <c:pt idx="4">
                        <c:v>モノマー+</c:v>
                      </c:pt>
                      <c:pt idx="5">
                        <c:v>末端COOHモノマー</c:v>
                      </c:pt>
                      <c:pt idx="6">
                        <c:v>HBPEK-(COOH)₃</c:v>
                      </c:pt>
                      <c:pt idx="7">
                        <c:v>ナフタル酸</c:v>
                      </c:pt>
                      <c:pt idx="8">
                        <c:v>マレイン酸</c:v>
                      </c:pt>
                      <c:pt idx="9">
                        <c:v>フマル酸</c:v>
                      </c:pt>
                      <c:pt idx="10">
                        <c:v>cisシクロヘキサン</c:v>
                      </c:pt>
                      <c:pt idx="11">
                        <c:v>3官能</c:v>
                      </c:pt>
                      <c:pt idx="12">
                        <c:v>コハク酸</c:v>
                      </c:pt>
                      <c:pt idx="13">
                        <c:v>3ニトロ</c:v>
                      </c:pt>
                      <c:pt idx="14">
                        <c:v>4ニトロ</c:v>
                      </c:pt>
                      <c:pt idx="15">
                        <c:v>5イソフタル酸</c:v>
                      </c:pt>
                      <c:pt idx="16">
                        <c:v>transシクロ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計算!$T$38:$T$44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 formatCode="0.00_ ">
                        <c:v>0</c:v>
                      </c:pt>
                      <c:pt idx="1">
                        <c:v>5.9760070932662677</c:v>
                      </c:pt>
                      <c:pt idx="2">
                        <c:v>33.288693912358958</c:v>
                      </c:pt>
                      <c:pt idx="3">
                        <c:v>39.818479611431158</c:v>
                      </c:pt>
                      <c:pt idx="4">
                        <c:v>15.401817758345068</c:v>
                      </c:pt>
                      <c:pt idx="5">
                        <c:v>26.408719241178947</c:v>
                      </c:pt>
                      <c:pt idx="6">
                        <c:v>13.64685686465433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12B-4608-B12F-E4A1225AA519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'計算 (2)'!$S$38:$S$44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A-4EAD-A85D-0ED6916CB52A}"/>
            </c:ext>
          </c:extLst>
        </c:ser>
        <c:ser>
          <c:idx val="1"/>
          <c:order val="1"/>
          <c:tx>
            <c:strRef>
              <c:f>○!$M$16</c:f>
              <c:strCache>
                <c:ptCount val="1"/>
                <c:pt idx="0">
                  <c:v>Ball-milled cellulose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'計算 (2)'!$T$38:$T$44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5.9760070932662677</c:v>
                </c:pt>
                <c:pt idx="2">
                  <c:v>33.288693912358958</c:v>
                </c:pt>
                <c:pt idx="3">
                  <c:v>39.818479611431158</c:v>
                </c:pt>
                <c:pt idx="4">
                  <c:v>15.401817758345068</c:v>
                </c:pt>
                <c:pt idx="5">
                  <c:v>26.408719241178947</c:v>
                </c:pt>
                <c:pt idx="6">
                  <c:v>13.64685686465433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BA-4EAD-A85D-0ED6916CB5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○!$L$17:$L$33</c:f>
              <c:strCache>
                <c:ptCount val="1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  <c:pt idx="7">
                  <c:v>ナフタル酸</c:v>
                </c:pt>
                <c:pt idx="8">
                  <c:v>マレイン酸</c:v>
                </c:pt>
                <c:pt idx="9">
                  <c:v>フマル酸</c:v>
                </c:pt>
                <c:pt idx="10">
                  <c:v>cisシクロヘキサン</c:v>
                </c:pt>
                <c:pt idx="11">
                  <c:v>3官能</c:v>
                </c:pt>
                <c:pt idx="12">
                  <c:v>コハク酸</c:v>
                </c:pt>
                <c:pt idx="13">
                  <c:v>3ニトロ</c:v>
                </c:pt>
                <c:pt idx="14">
                  <c:v>4ニトロ</c:v>
                </c:pt>
                <c:pt idx="15">
                  <c:v>5イソフタル酸</c:v>
                </c:pt>
                <c:pt idx="16">
                  <c:v>transシクロ</c:v>
                </c:pt>
              </c:strCache>
            </c:strRef>
          </c:cat>
          <c:val>
            <c:numRef>
              <c:f>'計算 (2)'!$S$38:$S$54</c:f>
              <c:numCache>
                <c:formatCode>General</c:formatCode>
                <c:ptCount val="1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  <c:pt idx="7">
                  <c:v>5.3459331721786691</c:v>
                </c:pt>
                <c:pt idx="8">
                  <c:v>16.427803853754938</c:v>
                </c:pt>
                <c:pt idx="9">
                  <c:v>8.6515001387182444</c:v>
                </c:pt>
                <c:pt idx="10">
                  <c:v>3.7035557658362612</c:v>
                </c:pt>
                <c:pt idx="11">
                  <c:v>1.831319115716616</c:v>
                </c:pt>
                <c:pt idx="12">
                  <c:v>2.2803676708920637</c:v>
                </c:pt>
                <c:pt idx="13">
                  <c:v>4.9655282022053191</c:v>
                </c:pt>
                <c:pt idx="14">
                  <c:v>7.3450547696237338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F-4F2E-A70D-504F9D1819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○!$M$16</c15:sqref>
                        </c15:formulaRef>
                      </c:ext>
                    </c:extLst>
                    <c:strCache>
                      <c:ptCount val="1"/>
                      <c:pt idx="0">
                        <c:v>Ball-milled cellulose</c:v>
                      </c:pt>
                    </c:strCache>
                  </c:strRef>
                </c:tx>
                <c:spPr>
                  <a:solidFill>
                    <a:srgbClr val="0070C0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_);[Red]\(#,##0.0\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○!$L$17:$L$33</c15:sqref>
                        </c15:formulaRef>
                      </c:ext>
                    </c:extLst>
                    <c:strCache>
                      <c:ptCount val="17"/>
                      <c:pt idx="0">
                        <c:v>触媒なし</c:v>
                      </c:pt>
                      <c:pt idx="1">
                        <c:v>安息香酸</c:v>
                      </c:pt>
                      <c:pt idx="2">
                        <c:v>フタル酸</c:v>
                      </c:pt>
                      <c:pt idx="3">
                        <c:v>ピロメリット酸</c:v>
                      </c:pt>
                      <c:pt idx="4">
                        <c:v>モノマー+</c:v>
                      </c:pt>
                      <c:pt idx="5">
                        <c:v>末端COOHモノマー</c:v>
                      </c:pt>
                      <c:pt idx="6">
                        <c:v>HBPEK-(COOH)₃</c:v>
                      </c:pt>
                      <c:pt idx="7">
                        <c:v>ナフタル酸</c:v>
                      </c:pt>
                      <c:pt idx="8">
                        <c:v>マレイン酸</c:v>
                      </c:pt>
                      <c:pt idx="9">
                        <c:v>フマル酸</c:v>
                      </c:pt>
                      <c:pt idx="10">
                        <c:v>cisシクロヘキサン</c:v>
                      </c:pt>
                      <c:pt idx="11">
                        <c:v>3官能</c:v>
                      </c:pt>
                      <c:pt idx="12">
                        <c:v>コハク酸</c:v>
                      </c:pt>
                      <c:pt idx="13">
                        <c:v>3ニトロ</c:v>
                      </c:pt>
                      <c:pt idx="14">
                        <c:v>4ニトロ</c:v>
                      </c:pt>
                      <c:pt idx="15">
                        <c:v>5イソフタル酸</c:v>
                      </c:pt>
                      <c:pt idx="16">
                        <c:v>transシクロ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'計算 (2)'!$T$38:$T$44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 formatCode="0.00_ ">
                        <c:v>0</c:v>
                      </c:pt>
                      <c:pt idx="1">
                        <c:v>5.9760070932662677</c:v>
                      </c:pt>
                      <c:pt idx="2">
                        <c:v>33.288693912358958</c:v>
                      </c:pt>
                      <c:pt idx="3">
                        <c:v>39.818479611431158</c:v>
                      </c:pt>
                      <c:pt idx="4">
                        <c:v>15.401817758345068</c:v>
                      </c:pt>
                      <c:pt idx="5">
                        <c:v>26.408719241178947</c:v>
                      </c:pt>
                      <c:pt idx="6">
                        <c:v>13.64685686465433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81F-4F2E-A70D-504F9D1819DF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'計算 (3)'!$S$38:$S$44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E-4B89-87F5-5075CCBE325F}"/>
            </c:ext>
          </c:extLst>
        </c:ser>
        <c:ser>
          <c:idx val="1"/>
          <c:order val="1"/>
          <c:tx>
            <c:strRef>
              <c:f>○!$M$16</c:f>
              <c:strCache>
                <c:ptCount val="1"/>
                <c:pt idx="0">
                  <c:v>Ball-milled cellulose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'計算 (3)'!$T$38:$T$44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5.9760070932662677</c:v>
                </c:pt>
                <c:pt idx="2">
                  <c:v>33.288693912358958</c:v>
                </c:pt>
                <c:pt idx="3">
                  <c:v>39.818479611431158</c:v>
                </c:pt>
                <c:pt idx="4">
                  <c:v>15.401817758345068</c:v>
                </c:pt>
                <c:pt idx="5">
                  <c:v>26.408719241178947</c:v>
                </c:pt>
                <c:pt idx="6">
                  <c:v>13.64685686465433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E-4B89-87F5-5075CCBE32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○!$L$17:$L$33</c:f>
              <c:strCache>
                <c:ptCount val="1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  <c:pt idx="7">
                  <c:v>ナフタル酸</c:v>
                </c:pt>
                <c:pt idx="8">
                  <c:v>マレイン酸</c:v>
                </c:pt>
                <c:pt idx="9">
                  <c:v>フマル酸</c:v>
                </c:pt>
                <c:pt idx="10">
                  <c:v>cisシクロヘキサン</c:v>
                </c:pt>
                <c:pt idx="11">
                  <c:v>3官能</c:v>
                </c:pt>
                <c:pt idx="12">
                  <c:v>コハク酸</c:v>
                </c:pt>
                <c:pt idx="13">
                  <c:v>3ニトロ</c:v>
                </c:pt>
                <c:pt idx="14">
                  <c:v>4ニトロ</c:v>
                </c:pt>
                <c:pt idx="15">
                  <c:v>5イソフタル酸</c:v>
                </c:pt>
                <c:pt idx="16">
                  <c:v>transシクロ</c:v>
                </c:pt>
              </c:strCache>
            </c:strRef>
          </c:cat>
          <c:val>
            <c:numRef>
              <c:f>'計算 (3)'!$S$38:$S$54</c:f>
              <c:numCache>
                <c:formatCode>General</c:formatCode>
                <c:ptCount val="1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  <c:pt idx="7">
                  <c:v>5.3459331721786691</c:v>
                </c:pt>
                <c:pt idx="8">
                  <c:v>16.427803853754938</c:v>
                </c:pt>
                <c:pt idx="9">
                  <c:v>8.6515001387182444</c:v>
                </c:pt>
                <c:pt idx="10">
                  <c:v>3.7035557658362612</c:v>
                </c:pt>
                <c:pt idx="11">
                  <c:v>1.831319115716616</c:v>
                </c:pt>
                <c:pt idx="12">
                  <c:v>2.2803676708920637</c:v>
                </c:pt>
                <c:pt idx="13">
                  <c:v>4.9655282022053191</c:v>
                </c:pt>
                <c:pt idx="14">
                  <c:v>7.3450547696237338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9-43FA-9DC3-EE28C53EAF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○!$M$16</c15:sqref>
                        </c15:formulaRef>
                      </c:ext>
                    </c:extLst>
                    <c:strCache>
                      <c:ptCount val="1"/>
                      <c:pt idx="0">
                        <c:v>Ball-milled cellulose</c:v>
                      </c:pt>
                    </c:strCache>
                  </c:strRef>
                </c:tx>
                <c:spPr>
                  <a:solidFill>
                    <a:srgbClr val="0070C0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_);[Red]\(#,##0.0\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○!$L$17:$L$33</c15:sqref>
                        </c15:formulaRef>
                      </c:ext>
                    </c:extLst>
                    <c:strCache>
                      <c:ptCount val="17"/>
                      <c:pt idx="0">
                        <c:v>触媒なし</c:v>
                      </c:pt>
                      <c:pt idx="1">
                        <c:v>安息香酸</c:v>
                      </c:pt>
                      <c:pt idx="2">
                        <c:v>フタル酸</c:v>
                      </c:pt>
                      <c:pt idx="3">
                        <c:v>ピロメリット酸</c:v>
                      </c:pt>
                      <c:pt idx="4">
                        <c:v>モノマー+</c:v>
                      </c:pt>
                      <c:pt idx="5">
                        <c:v>末端COOHモノマー</c:v>
                      </c:pt>
                      <c:pt idx="6">
                        <c:v>HBPEK-(COOH)₃</c:v>
                      </c:pt>
                      <c:pt idx="7">
                        <c:v>ナフタル酸</c:v>
                      </c:pt>
                      <c:pt idx="8">
                        <c:v>マレイン酸</c:v>
                      </c:pt>
                      <c:pt idx="9">
                        <c:v>フマル酸</c:v>
                      </c:pt>
                      <c:pt idx="10">
                        <c:v>cisシクロヘキサン</c:v>
                      </c:pt>
                      <c:pt idx="11">
                        <c:v>3官能</c:v>
                      </c:pt>
                      <c:pt idx="12">
                        <c:v>コハク酸</c:v>
                      </c:pt>
                      <c:pt idx="13">
                        <c:v>3ニトロ</c:v>
                      </c:pt>
                      <c:pt idx="14">
                        <c:v>4ニトロ</c:v>
                      </c:pt>
                      <c:pt idx="15">
                        <c:v>5イソフタル酸</c:v>
                      </c:pt>
                      <c:pt idx="16">
                        <c:v>transシクロ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'計算 (3)'!$T$38:$T$44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 formatCode="0.00_ ">
                        <c:v>0</c:v>
                      </c:pt>
                      <c:pt idx="1">
                        <c:v>5.9760070932662677</c:v>
                      </c:pt>
                      <c:pt idx="2">
                        <c:v>33.288693912358958</c:v>
                      </c:pt>
                      <c:pt idx="3">
                        <c:v>39.818479611431158</c:v>
                      </c:pt>
                      <c:pt idx="4">
                        <c:v>15.401817758345068</c:v>
                      </c:pt>
                      <c:pt idx="5">
                        <c:v>26.408719241178947</c:v>
                      </c:pt>
                      <c:pt idx="6">
                        <c:v>13.64685686465433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709-43FA-9DC3-EE28C53EAF7F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'計算 (4)'!$S$38:$S$44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D-4F34-9FB5-CD07F2264238}"/>
            </c:ext>
          </c:extLst>
        </c:ser>
        <c:ser>
          <c:idx val="1"/>
          <c:order val="1"/>
          <c:tx>
            <c:strRef>
              <c:f>○!$M$16</c:f>
              <c:strCache>
                <c:ptCount val="1"/>
                <c:pt idx="0">
                  <c:v>Ball-milled cellulose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'計算 (4)'!$T$38:$T$44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5.9760070932662677</c:v>
                </c:pt>
                <c:pt idx="2">
                  <c:v>33.288693912358958</c:v>
                </c:pt>
                <c:pt idx="3">
                  <c:v>39.818479611431158</c:v>
                </c:pt>
                <c:pt idx="4">
                  <c:v>15.401817758345068</c:v>
                </c:pt>
                <c:pt idx="5">
                  <c:v>26.408719241178947</c:v>
                </c:pt>
                <c:pt idx="6">
                  <c:v>13.64685686465433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7D-4F34-9FB5-CD07F22642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○!$L$17:$L$33</c:f>
              <c:strCache>
                <c:ptCount val="1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  <c:pt idx="7">
                  <c:v>ナフタル酸</c:v>
                </c:pt>
                <c:pt idx="8">
                  <c:v>マレイン酸</c:v>
                </c:pt>
                <c:pt idx="9">
                  <c:v>フマル酸</c:v>
                </c:pt>
                <c:pt idx="10">
                  <c:v>cisシクロヘキサン</c:v>
                </c:pt>
                <c:pt idx="11">
                  <c:v>3官能</c:v>
                </c:pt>
                <c:pt idx="12">
                  <c:v>コハク酸</c:v>
                </c:pt>
                <c:pt idx="13">
                  <c:v>3ニトロ</c:v>
                </c:pt>
                <c:pt idx="14">
                  <c:v>4ニトロ</c:v>
                </c:pt>
                <c:pt idx="15">
                  <c:v>5イソフタル酸</c:v>
                </c:pt>
                <c:pt idx="16">
                  <c:v>transシクロ</c:v>
                </c:pt>
              </c:strCache>
            </c:strRef>
          </c:cat>
          <c:val>
            <c:numRef>
              <c:f>'計算 (4)'!$S$38:$S$54</c:f>
              <c:numCache>
                <c:formatCode>General</c:formatCode>
                <c:ptCount val="1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  <c:pt idx="7">
                  <c:v>5.3459331721786691</c:v>
                </c:pt>
                <c:pt idx="8">
                  <c:v>16.427803853754938</c:v>
                </c:pt>
                <c:pt idx="9">
                  <c:v>8.6515001387182444</c:v>
                </c:pt>
                <c:pt idx="10">
                  <c:v>3.7035557658362612</c:v>
                </c:pt>
                <c:pt idx="11">
                  <c:v>1.831319115716616</c:v>
                </c:pt>
                <c:pt idx="12">
                  <c:v>2.2803676708920637</c:v>
                </c:pt>
                <c:pt idx="13">
                  <c:v>4.9655282022053191</c:v>
                </c:pt>
                <c:pt idx="14">
                  <c:v>7.3450547696237338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F-44B8-A3A9-57F107180B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○!$M$16</c15:sqref>
                        </c15:formulaRef>
                      </c:ext>
                    </c:extLst>
                    <c:strCache>
                      <c:ptCount val="1"/>
                      <c:pt idx="0">
                        <c:v>Ball-milled cellulose</c:v>
                      </c:pt>
                    </c:strCache>
                  </c:strRef>
                </c:tx>
                <c:spPr>
                  <a:solidFill>
                    <a:srgbClr val="0070C0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_);[Red]\(#,##0.0\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○!$L$17:$L$33</c15:sqref>
                        </c15:formulaRef>
                      </c:ext>
                    </c:extLst>
                    <c:strCache>
                      <c:ptCount val="17"/>
                      <c:pt idx="0">
                        <c:v>触媒なし</c:v>
                      </c:pt>
                      <c:pt idx="1">
                        <c:v>安息香酸</c:v>
                      </c:pt>
                      <c:pt idx="2">
                        <c:v>フタル酸</c:v>
                      </c:pt>
                      <c:pt idx="3">
                        <c:v>ピロメリット酸</c:v>
                      </c:pt>
                      <c:pt idx="4">
                        <c:v>モノマー+</c:v>
                      </c:pt>
                      <c:pt idx="5">
                        <c:v>末端COOHモノマー</c:v>
                      </c:pt>
                      <c:pt idx="6">
                        <c:v>HBPEK-(COOH)₃</c:v>
                      </c:pt>
                      <c:pt idx="7">
                        <c:v>ナフタル酸</c:v>
                      </c:pt>
                      <c:pt idx="8">
                        <c:v>マレイン酸</c:v>
                      </c:pt>
                      <c:pt idx="9">
                        <c:v>フマル酸</c:v>
                      </c:pt>
                      <c:pt idx="10">
                        <c:v>cisシクロヘキサン</c:v>
                      </c:pt>
                      <c:pt idx="11">
                        <c:v>3官能</c:v>
                      </c:pt>
                      <c:pt idx="12">
                        <c:v>コハク酸</c:v>
                      </c:pt>
                      <c:pt idx="13">
                        <c:v>3ニトロ</c:v>
                      </c:pt>
                      <c:pt idx="14">
                        <c:v>4ニトロ</c:v>
                      </c:pt>
                      <c:pt idx="15">
                        <c:v>5イソフタル酸</c:v>
                      </c:pt>
                      <c:pt idx="16">
                        <c:v>transシクロ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'計算 (4)'!$T$38:$T$44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 formatCode="0.00_ ">
                        <c:v>0</c:v>
                      </c:pt>
                      <c:pt idx="1">
                        <c:v>5.9760070932662677</c:v>
                      </c:pt>
                      <c:pt idx="2">
                        <c:v>33.288693912358958</c:v>
                      </c:pt>
                      <c:pt idx="3">
                        <c:v>39.818479611431158</c:v>
                      </c:pt>
                      <c:pt idx="4">
                        <c:v>15.401817758345068</c:v>
                      </c:pt>
                      <c:pt idx="5">
                        <c:v>26.408719241178947</c:v>
                      </c:pt>
                      <c:pt idx="6">
                        <c:v>13.64685686465433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F9F-44B8-A3A9-57F107180BC8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DB-4F25-A5C6-FFE7E3E401D3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4DB-4F25-A5C6-FFE7E3E401D3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DB-4F25-A5C6-FFE7E3E401D3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DB-4F25-A5C6-FFE7E3E401D3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DB-4F25-A5C6-FFE7E3E401D3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DB-4F25-A5C6-FFE7E3E401D3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DB-4F25-A5C6-FFE7E3E401D3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DB-4F25-A5C6-FFE7E3E401D3}"/>
            </c:ext>
          </c:extLst>
        </c:ser>
        <c:ser>
          <c:idx val="3"/>
          <c:order val="7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DB-4F25-A5C6-FFE7E3E401D3}"/>
            </c:ext>
          </c:extLst>
        </c:ser>
        <c:ser>
          <c:idx val="6"/>
          <c:order val="8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FF00"/>
              </a:solidFill>
              <a:ln w="920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DB-4F25-A5C6-FFE7E3E401D3}"/>
            </c:ext>
          </c:extLst>
        </c:ser>
        <c:ser>
          <c:idx val="12"/>
          <c:order val="9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DB-4F25-A5C6-FFE7E3E401D3}"/>
            </c:ext>
          </c:extLst>
        </c:ser>
        <c:ser>
          <c:idx val="4"/>
          <c:order val="10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DB-4F25-A5C6-FFE7E3E401D3}"/>
            </c:ext>
          </c:extLst>
        </c:ser>
        <c:ser>
          <c:idx val="9"/>
          <c:order val="11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DB-4F25-A5C6-FFE7E3E401D3}"/>
            </c:ext>
          </c:extLst>
        </c:ser>
        <c:ser>
          <c:idx val="10"/>
          <c:order val="12"/>
          <c:tx>
            <c:strRef>
              <c:f>'データベース pH'!$A$22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rgbClr val="FFC000"/>
                </a:solidFill>
              </a:ln>
              <a:effectLst/>
            </c:spPr>
          </c:marker>
          <c:xVal>
            <c:numRef>
              <c:f>'データベース pH'!$E$22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'データベース pH'!$C$22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DB-4F25-A5C6-FFE7E3E401D3}"/>
            </c:ext>
          </c:extLst>
        </c:ser>
        <c:ser>
          <c:idx val="11"/>
          <c:order val="13"/>
          <c:tx>
            <c:strRef>
              <c:f>'データベース pH'!$A$28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'データベース pH'!$E$28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'データベース pH'!$C$28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DB-4F25-A5C6-FFE7E3E401D3}"/>
            </c:ext>
          </c:extLst>
        </c:ser>
        <c:ser>
          <c:idx val="13"/>
          <c:order val="14"/>
          <c:tx>
            <c:strRef>
              <c:f>'データベース pH'!$A$30</c:f>
              <c:strCache>
                <c:ptCount val="1"/>
                <c:pt idx="0">
                  <c:v>3-メトキシフタル酸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chemeClr val="tx1"/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54DB-4F25-A5C6-FFE7E3E401D3}"/>
              </c:ext>
            </c:extLst>
          </c:dPt>
          <c:xVal>
            <c:numRef>
              <c:f>'データベース pH'!$E$30</c:f>
              <c:numCache>
                <c:formatCode>General</c:formatCode>
                <c:ptCount val="1"/>
                <c:pt idx="0">
                  <c:v>2.75</c:v>
                </c:pt>
              </c:numCache>
            </c:numRef>
          </c:xVal>
          <c:yVal>
            <c:numRef>
              <c:f>'データベース pH'!$C$30</c:f>
              <c:numCache>
                <c:formatCode>General</c:formatCode>
                <c:ptCount val="1"/>
                <c:pt idx="0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4DB-4F25-A5C6-FFE7E3E40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000960669652001"/>
          <c:h val="0.9052342811599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11-46F3-B556-BBC062E796A5}"/>
            </c:ext>
          </c:extLst>
        </c:ser>
        <c:ser>
          <c:idx val="1"/>
          <c:order val="1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11-46F3-B556-BBC062E796A5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11-46F3-B556-BBC062E796A5}"/>
            </c:ext>
          </c:extLst>
        </c:ser>
        <c:ser>
          <c:idx val="3"/>
          <c:order val="3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'データベース pH'!$C$5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11-46F3-B556-BBC062E796A5}"/>
            </c:ext>
          </c:extLst>
        </c:ser>
        <c:ser>
          <c:idx val="4"/>
          <c:order val="4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'データベース pH'!$B$6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11-46F3-B556-BBC062E796A5}"/>
            </c:ext>
          </c:extLst>
        </c:ser>
        <c:ser>
          <c:idx val="5"/>
          <c:order val="5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'データベース pH'!$B$7</c:f>
              <c:numCache>
                <c:formatCode>General</c:formatCode>
                <c:ptCount val="1"/>
                <c:pt idx="0">
                  <c:v>1.92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11-46F3-B556-BBC062E796A5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D11-46F3-B556-BBC062E796A5}"/>
            </c:ext>
          </c:extLst>
        </c:ser>
        <c:ser>
          <c:idx val="7"/>
          <c:order val="7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11-46F3-B556-BBC062E796A5}"/>
            </c:ext>
          </c:extLst>
        </c:ser>
        <c:ser>
          <c:idx val="8"/>
          <c:order val="8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pH'!$B$11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D11-46F3-B556-BBC062E796A5}"/>
            </c:ext>
          </c:extLst>
        </c:ser>
        <c:ser>
          <c:idx val="9"/>
          <c:order val="9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D11-46F3-B556-BBC062E79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pKa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1554171452038173"/>
          <c:y val="5.2761372179622151E-2"/>
          <c:w val="0.28445828547961827"/>
          <c:h val="0.894477255640755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'データベース pH'!$D$2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B-4131-83E0-96F1EC417D36}"/>
            </c:ext>
          </c:extLst>
        </c:ser>
        <c:ser>
          <c:idx val="1"/>
          <c:order val="1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'データベース pH'!$D$3</c:f>
              <c:numCache>
                <c:formatCode>General</c:formatCode>
                <c:ptCount val="1"/>
                <c:pt idx="0">
                  <c:v>8.6515001387182444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AB-4131-83E0-96F1EC417D36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'データベース pH'!$D$4</c:f>
              <c:numCache>
                <c:formatCode>General</c:formatCode>
                <c:ptCount val="1"/>
                <c:pt idx="0">
                  <c:v>8.0126517930399004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AB-4131-83E0-96F1EC417D36}"/>
            </c:ext>
          </c:extLst>
        </c:ser>
        <c:ser>
          <c:idx val="3"/>
          <c:order val="3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'データベース pH'!$D$5</c:f>
              <c:numCache>
                <c:formatCode>General</c:formatCode>
                <c:ptCount val="1"/>
                <c:pt idx="0">
                  <c:v>5.3459331721786691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AB-4131-83E0-96F1EC417D36}"/>
            </c:ext>
          </c:extLst>
        </c:ser>
        <c:ser>
          <c:idx val="4"/>
          <c:order val="4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'データベース pH'!$B$6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'データベース pH'!$D$6</c:f>
              <c:numCache>
                <c:formatCode>General</c:formatCode>
                <c:ptCount val="1"/>
                <c:pt idx="0">
                  <c:v>1.2081910363899744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AB-4131-83E0-96F1EC417D36}"/>
            </c:ext>
          </c:extLst>
        </c:ser>
        <c:ser>
          <c:idx val="5"/>
          <c:order val="5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'データベース pH'!$B$7</c:f>
              <c:numCache>
                <c:formatCode>General</c:formatCode>
                <c:ptCount val="1"/>
                <c:pt idx="0">
                  <c:v>1.92</c:v>
                </c:pt>
              </c:numCache>
            </c:numRef>
          </c:xVal>
          <c:yVal>
            <c:numRef>
              <c:f>'データベース pH'!$D$7</c:f>
              <c:numCache>
                <c:formatCode>General</c:formatCode>
                <c:ptCount val="1"/>
                <c:pt idx="0">
                  <c:v>9.1956023528812612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AB-4131-83E0-96F1EC417D36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'データベース pH'!$D$8</c:f>
              <c:numCache>
                <c:formatCode>General</c:formatCode>
                <c:ptCount val="1"/>
                <c:pt idx="0">
                  <c:v>3.7035557658362612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9AB-4131-83E0-96F1EC417D36}"/>
            </c:ext>
          </c:extLst>
        </c:ser>
        <c:ser>
          <c:idx val="7"/>
          <c:order val="7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'データベース pH'!$D$10</c:f>
              <c:numCache>
                <c:formatCode>General</c:formatCode>
                <c:ptCount val="1"/>
                <c:pt idx="0">
                  <c:v>7.3450547696237338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9AB-4131-83E0-96F1EC417D36}"/>
            </c:ext>
          </c:extLst>
        </c:ser>
        <c:ser>
          <c:idx val="8"/>
          <c:order val="8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pH'!$D$11</c:f>
              <c:numCache>
                <c:formatCode>General</c:formatCode>
                <c:ptCount val="1"/>
                <c:pt idx="0">
                  <c:v>5.7449647183189496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9AB-4131-83E0-96F1EC417D36}"/>
            </c:ext>
          </c:extLst>
        </c:ser>
        <c:ser>
          <c:idx val="9"/>
          <c:order val="9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'データベース pH'!$D$13</c:f>
              <c:numCache>
                <c:formatCode>General</c:formatCode>
                <c:ptCount val="1"/>
                <c:pt idx="0">
                  <c:v>2.2803676708920637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9AB-4131-83E0-96F1EC417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pKa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34532715322058"/>
              <c:y val="0.86432808427189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質量比活性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628018372703416"/>
          <c:h val="0.73181357538641001"/>
        </c:manualLayout>
      </c:layout>
      <c:scatterChart>
        <c:scatterStyle val="lineMarker"/>
        <c:varyColors val="0"/>
        <c:ser>
          <c:idx val="0"/>
          <c:order val="0"/>
          <c:tx>
            <c:v>フタル酸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pH'!$B$50:$B$54</c:f>
              <c:numCache>
                <c:formatCode>General</c:formatCode>
                <c:ptCount val="5"/>
                <c:pt idx="0">
                  <c:v>29.6</c:v>
                </c:pt>
                <c:pt idx="1">
                  <c:v>59.3</c:v>
                </c:pt>
                <c:pt idx="2">
                  <c:v>118.6</c:v>
                </c:pt>
                <c:pt idx="3">
                  <c:v>296.39999999999998</c:v>
                </c:pt>
                <c:pt idx="4">
                  <c:v>592.79999999999995</c:v>
                </c:pt>
              </c:numCache>
            </c:numRef>
          </c:xVal>
          <c:yVal>
            <c:numRef>
              <c:f>'データベース pH'!$C$50:$C$54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67-4FCA-B3F0-3395A2E9762B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pH'!$F$50:$F$54</c:f>
              <c:numCache>
                <c:formatCode>General</c:formatCode>
                <c:ptCount val="5"/>
                <c:pt idx="0">
                  <c:v>20.7</c:v>
                </c:pt>
                <c:pt idx="1">
                  <c:v>41.4</c:v>
                </c:pt>
                <c:pt idx="2">
                  <c:v>82.8</c:v>
                </c:pt>
                <c:pt idx="3">
                  <c:v>207.1</c:v>
                </c:pt>
                <c:pt idx="4">
                  <c:v>414.2</c:v>
                </c:pt>
              </c:numCache>
            </c:numRef>
          </c:xVal>
          <c:yVal>
            <c:numRef>
              <c:f>'データベース pH'!$G$50:$G$54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67-4FCA-B3F0-3395A2E97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79759"/>
        <c:axId val="811011807"/>
      </c:scatterChart>
      <c:valAx>
        <c:axId val="100747975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触媒量</a:t>
                </a:r>
                <a:r>
                  <a:rPr lang="en-US" altLang="ja-JP" sz="1200">
                    <a:solidFill>
                      <a:schemeClr val="tx1"/>
                    </a:solidFill>
                  </a:rPr>
                  <a:t>[mg]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1011807"/>
        <c:crosses val="autoZero"/>
        <c:crossBetween val="midCat"/>
      </c:valAx>
      <c:valAx>
        <c:axId val="811011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479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253746226214732"/>
          <c:y val="0.50520778652668419"/>
          <c:w val="0.21106797658180737"/>
          <c:h val="0.20910104986876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628018372703416"/>
          <c:h val="0.73181357538641001"/>
        </c:manualLayout>
      </c:layout>
      <c:scatterChart>
        <c:scatterStyle val="lineMarker"/>
        <c:varyColors val="0"/>
        <c:ser>
          <c:idx val="0"/>
          <c:order val="0"/>
          <c:tx>
            <c:v>フタル酸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2-4493-94B7-81D39C0F7CD5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92-4493-94B7-81D39C0F7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79759"/>
        <c:axId val="811011807"/>
      </c:scatterChart>
      <c:valAx>
        <c:axId val="100747975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COOH[mmol]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1011807"/>
        <c:crosses val="autoZero"/>
        <c:crossBetween val="midCat"/>
        <c:majorUnit val="1"/>
      </c:valAx>
      <c:valAx>
        <c:axId val="811011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479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1113169001085608"/>
          <c:y val="0.50057815689705454"/>
          <c:w val="0.19802270893352339"/>
          <c:h val="0.16743438320209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7914818192746"/>
          <c:y val="4.1576486612086835E-2"/>
          <c:w val="0.64075406747508379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5C-45A6-A492-685B4A7E624E}"/>
            </c:ext>
          </c:extLst>
        </c:ser>
        <c:ser>
          <c:idx val="1"/>
          <c:order val="1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5C-45A6-A492-685B4A7E624E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5C-45A6-A492-685B4A7E624E}"/>
            </c:ext>
          </c:extLst>
        </c:ser>
        <c:ser>
          <c:idx val="3"/>
          <c:order val="3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pH'!$E$5</c:f>
              <c:numCache>
                <c:formatCode>General</c:formatCode>
                <c:ptCount val="1"/>
              </c:numCache>
            </c:numRef>
          </c:xVal>
          <c:yVal>
            <c:numRef>
              <c:f>'データベース pH'!$C$5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5C-45A6-A492-685B4A7E624E}"/>
            </c:ext>
          </c:extLst>
        </c:ser>
        <c:ser>
          <c:idx val="4"/>
          <c:order val="4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5C-45A6-A492-685B4A7E624E}"/>
            </c:ext>
          </c:extLst>
        </c:ser>
        <c:ser>
          <c:idx val="5"/>
          <c:order val="5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5C-45A6-A492-685B4A7E624E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85C-45A6-A492-685B4A7E624E}"/>
            </c:ext>
          </c:extLst>
        </c:ser>
        <c:ser>
          <c:idx val="7"/>
          <c:order val="7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5C-45A6-A492-685B4A7E624E}"/>
            </c:ext>
          </c:extLst>
        </c:ser>
        <c:ser>
          <c:idx val="8"/>
          <c:order val="8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85C-45A6-A492-685B4A7E624E}"/>
            </c:ext>
          </c:extLst>
        </c:ser>
        <c:ser>
          <c:idx val="9"/>
          <c:order val="9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5C-45A6-A492-685B4A7E624E}"/>
            </c:ext>
          </c:extLst>
        </c:ser>
        <c:ser>
          <c:idx val="10"/>
          <c:order val="10"/>
          <c:tx>
            <c:strRef>
              <c:f>'データベース pH'!$A$14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2857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85C-45A6-A492-685B4A7E624E}"/>
            </c:ext>
          </c:extLst>
        </c:ser>
        <c:ser>
          <c:idx val="11"/>
          <c:order val="11"/>
          <c:tx>
            <c:strRef>
              <c:f>'データベース pH'!$A$15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285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5C-45A6-A492-685B4A7E624E}"/>
            </c:ext>
          </c:extLst>
        </c:ser>
        <c:ser>
          <c:idx val="12"/>
          <c:order val="12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85C-45A6-A492-685B4A7E624E}"/>
            </c:ext>
          </c:extLst>
        </c:ser>
        <c:ser>
          <c:idx val="13"/>
          <c:order val="13"/>
          <c:tx>
            <c:strRef>
              <c:f>'データベース pH'!$A$17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pH'!$E$17</c:f>
              <c:numCache>
                <c:formatCode>General</c:formatCode>
                <c:ptCount val="1"/>
              </c:numCache>
            </c:numRef>
          </c:xVal>
          <c:yVal>
            <c:numRef>
              <c:f>'データベース pH'!$C$17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85C-45A6-A492-685B4A7E624E}"/>
            </c:ext>
          </c:extLst>
        </c:ser>
        <c:ser>
          <c:idx val="14"/>
          <c:order val="14"/>
          <c:tx>
            <c:strRef>
              <c:f>'データベース pH'!$A$18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31750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85C-45A6-A492-685B4A7E624E}"/>
            </c:ext>
          </c:extLst>
        </c:ser>
        <c:ser>
          <c:idx val="15"/>
          <c:order val="1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85C-45A6-A492-685B4A7E6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846369117355131"/>
          <c:y val="1.6056775210888104E-2"/>
          <c:w val="0.19374095539095676"/>
          <c:h val="0.89733739575558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57-43C3-B531-2BCE6C7FF5D7}"/>
            </c:ext>
          </c:extLst>
        </c:ser>
        <c:ser>
          <c:idx val="1"/>
          <c:order val="1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pH'!$D$3</c:f>
              <c:numCache>
                <c:formatCode>General</c:formatCode>
                <c:ptCount val="1"/>
                <c:pt idx="0">
                  <c:v>8.6515001387182444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57-43C3-B531-2BCE6C7FF5D7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pH'!$D$4</c:f>
              <c:numCache>
                <c:formatCode>General</c:formatCode>
                <c:ptCount val="1"/>
                <c:pt idx="0">
                  <c:v>8.0126517930399004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57-43C3-B531-2BCE6C7FF5D7}"/>
            </c:ext>
          </c:extLst>
        </c:ser>
        <c:ser>
          <c:idx val="3"/>
          <c:order val="3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pH'!$E$5</c:f>
              <c:numCache>
                <c:formatCode>General</c:formatCode>
                <c:ptCount val="1"/>
              </c:numCache>
            </c:numRef>
          </c:xVal>
          <c:yVal>
            <c:numRef>
              <c:f>'データベース pH'!$D$5</c:f>
              <c:numCache>
                <c:formatCode>General</c:formatCode>
                <c:ptCount val="1"/>
                <c:pt idx="0">
                  <c:v>5.3459331721786691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57-43C3-B531-2BCE6C7FF5D7}"/>
            </c:ext>
          </c:extLst>
        </c:ser>
        <c:ser>
          <c:idx val="4"/>
          <c:order val="4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pH'!$D$6</c:f>
              <c:numCache>
                <c:formatCode>General</c:formatCode>
                <c:ptCount val="1"/>
                <c:pt idx="0">
                  <c:v>1.2081910363899744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57-43C3-B531-2BCE6C7FF5D7}"/>
            </c:ext>
          </c:extLst>
        </c:ser>
        <c:ser>
          <c:idx val="5"/>
          <c:order val="5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pH'!$D$7</c:f>
              <c:numCache>
                <c:formatCode>General</c:formatCode>
                <c:ptCount val="1"/>
                <c:pt idx="0">
                  <c:v>9.1956023528812612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57-43C3-B531-2BCE6C7FF5D7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pH'!$D$8</c:f>
              <c:numCache>
                <c:formatCode>General</c:formatCode>
                <c:ptCount val="1"/>
                <c:pt idx="0">
                  <c:v>3.7035557658362612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57-43C3-B531-2BCE6C7FF5D7}"/>
            </c:ext>
          </c:extLst>
        </c:ser>
        <c:ser>
          <c:idx val="7"/>
          <c:order val="7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pH'!$D$10</c:f>
              <c:numCache>
                <c:formatCode>General</c:formatCode>
                <c:ptCount val="1"/>
                <c:pt idx="0">
                  <c:v>7.3450547696237338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57-43C3-B531-2BCE6C7FF5D7}"/>
            </c:ext>
          </c:extLst>
        </c:ser>
        <c:ser>
          <c:idx val="8"/>
          <c:order val="8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pH'!$D$11</c:f>
              <c:numCache>
                <c:formatCode>General</c:formatCode>
                <c:ptCount val="1"/>
                <c:pt idx="0">
                  <c:v>5.7449647183189496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357-43C3-B531-2BCE6C7FF5D7}"/>
            </c:ext>
          </c:extLst>
        </c:ser>
        <c:ser>
          <c:idx val="9"/>
          <c:order val="9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pH'!$D$13</c:f>
              <c:numCache>
                <c:formatCode>General</c:formatCode>
                <c:ptCount val="1"/>
                <c:pt idx="0">
                  <c:v>2.2803676708920637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357-43C3-B531-2BCE6C7FF5D7}"/>
            </c:ext>
          </c:extLst>
        </c:ser>
        <c:ser>
          <c:idx val="10"/>
          <c:order val="10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357-43C3-B531-2BCE6C7FF5D7}"/>
            </c:ext>
          </c:extLst>
        </c:ser>
        <c:ser>
          <c:idx val="11"/>
          <c:order val="11"/>
          <c:tx>
            <c:strRef>
              <c:f>'データベース pH'!$A$17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pH'!$E$17</c:f>
              <c:numCache>
                <c:formatCode>General</c:formatCode>
                <c:ptCount val="1"/>
              </c:numCache>
            </c:numRef>
          </c:xVal>
          <c:yVal>
            <c:numRef>
              <c:f>'データベース pH'!$D$17</c:f>
              <c:numCache>
                <c:formatCode>General</c:formatCode>
                <c:ptCount val="1"/>
                <c:pt idx="0">
                  <c:v>5.409977354025723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357-43C3-B531-2BCE6C7FF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34532715322058"/>
              <c:y val="0.86432808427189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質量比活性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'データベース pH'!$A$71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'データベース pH'!$C$72:$C$76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D-42B7-B134-797B1E50F9F0}"/>
            </c:ext>
          </c:extLst>
        </c:ser>
        <c:ser>
          <c:idx val="1"/>
          <c:order val="1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'データベース pH'!$E$72:$E$74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DD-42B7-B134-797B1E50F9F0}"/>
            </c:ext>
          </c:extLst>
        </c:ser>
        <c:ser>
          <c:idx val="2"/>
          <c:order val="2"/>
          <c:tx>
            <c:strRef>
              <c:f>'データベース pH'!$F$71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'データベース pH'!$G$72:$G$76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DD-42B7-B134-797B1E50F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.6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614535207320538"/>
          <c:y val="6.871510363741655E-2"/>
          <c:w val="0.13244584911315152"/>
          <c:h val="0.23524621398367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6243813071054"/>
          <c:y val="1.9102288239246187E-2"/>
          <c:w val="0.80323498062921483"/>
          <c:h val="0.640293452877951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pH'!$A$89:$A$105</c:f>
              <c:strCache>
                <c:ptCount val="16"/>
                <c:pt idx="0">
                  <c:v>マレイン酸</c:v>
                </c:pt>
                <c:pt idx="1">
                  <c:v>4-ニトロフタル酸</c:v>
                </c:pt>
                <c:pt idx="2">
                  <c:v>フタル酸</c:v>
                </c:pt>
                <c:pt idx="3">
                  <c:v>3-ニトロフタル酸</c:v>
                </c:pt>
                <c:pt idx="4">
                  <c:v>DE</c:v>
                </c:pt>
                <c:pt idx="5">
                  <c:v>2,3-ナフタレンジカルボン酸</c:v>
                </c:pt>
                <c:pt idx="6">
                  <c:v>ピロメリット酸</c:v>
                </c:pt>
                <c:pt idx="7">
                  <c:v>5-ニトロイソフタル酸</c:v>
                </c:pt>
                <c:pt idx="8">
                  <c:v>フマル酸</c:v>
                </c:pt>
                <c:pt idx="9">
                  <c:v>HBPEK</c:v>
                </c:pt>
                <c:pt idx="10">
                  <c:v>EE</c:v>
                </c:pt>
                <c:pt idx="11">
                  <c:v>1,2-シクロヘキサンジカルボン酸</c:v>
                </c:pt>
                <c:pt idx="12">
                  <c:v>TE</c:v>
                </c:pt>
                <c:pt idx="13">
                  <c:v>安息香酸</c:v>
                </c:pt>
                <c:pt idx="14">
                  <c:v>コハク酸</c:v>
                </c:pt>
                <c:pt idx="15">
                  <c:v>リンゴ酸</c:v>
                </c:pt>
              </c:strCache>
            </c:strRef>
          </c:cat>
          <c:val>
            <c:numRef>
              <c:f>'データベース pH'!$C$89:$C$103</c:f>
              <c:numCache>
                <c:formatCode>General</c:formatCode>
                <c:ptCount val="15"/>
                <c:pt idx="0">
                  <c:v>18.649999999999999</c:v>
                </c:pt>
                <c:pt idx="1">
                  <c:v>15.65</c:v>
                </c:pt>
                <c:pt idx="2">
                  <c:v>13.32</c:v>
                </c:pt>
                <c:pt idx="3">
                  <c:v>12.49</c:v>
                </c:pt>
                <c:pt idx="4">
                  <c:v>11.82</c:v>
                </c:pt>
                <c:pt idx="5">
                  <c:v>11.8</c:v>
                </c:pt>
                <c:pt idx="6">
                  <c:v>11.53</c:v>
                </c:pt>
                <c:pt idx="7">
                  <c:v>10.76</c:v>
                </c:pt>
                <c:pt idx="8">
                  <c:v>10.52</c:v>
                </c:pt>
                <c:pt idx="9">
                  <c:v>9.75</c:v>
                </c:pt>
                <c:pt idx="10">
                  <c:v>8.74</c:v>
                </c:pt>
                <c:pt idx="11">
                  <c:v>6.8</c:v>
                </c:pt>
                <c:pt idx="12">
                  <c:v>4.18</c:v>
                </c:pt>
                <c:pt idx="13">
                  <c:v>3.45</c:v>
                </c:pt>
                <c:pt idx="14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5-4B3B-9FF8-54193FAA93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'データベース pH'!$F$89:$F$103</c:f>
              <c:numCache>
                <c:formatCode>General</c:formatCode>
                <c:ptCount val="15"/>
                <c:pt idx="0">
                  <c:v>1.0058785714285716</c:v>
                </c:pt>
                <c:pt idx="1">
                  <c:v>0.83770658263305331</c:v>
                </c:pt>
                <c:pt idx="2">
                  <c:v>0.70725252100840341</c:v>
                </c:pt>
                <c:pt idx="3">
                  <c:v>0.6606757703081233</c:v>
                </c:pt>
                <c:pt idx="4">
                  <c:v>0.62044033613445382</c:v>
                </c:pt>
                <c:pt idx="5">
                  <c:v>0.62194915966386555</c:v>
                </c:pt>
                <c:pt idx="6">
                  <c:v>0.60692521008403366</c:v>
                </c:pt>
                <c:pt idx="7">
                  <c:v>0.56389915966386561</c:v>
                </c:pt>
                <c:pt idx="8">
                  <c:v>0.55030084033613447</c:v>
                </c:pt>
                <c:pt idx="9">
                  <c:v>0.50696848739495803</c:v>
                </c:pt>
                <c:pt idx="10">
                  <c:v>0.45034789915966389</c:v>
                </c:pt>
                <c:pt idx="11">
                  <c:v>0.34205294117647067</c:v>
                </c:pt>
                <c:pt idx="12">
                  <c:v>0.19537184873949578</c:v>
                </c:pt>
                <c:pt idx="13">
                  <c:v>0.1541949579831933</c:v>
                </c:pt>
                <c:pt idx="14">
                  <c:v>0.1458298319327731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5-4B3B-9FF8-54193FAA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168144"/>
        <c:axId val="1548538256"/>
      </c:line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valAx>
        <c:axId val="1548538256"/>
        <c:scaling>
          <c:orientation val="minMax"/>
          <c:max val="1.0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</a:rPr>
                  <a:t>TON</a:t>
                </a:r>
                <a:endParaRPr lang="ja-JP" altLang="en-US" sz="18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between"/>
      </c:valAx>
      <c:cat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auto val="1"/>
        <c:lblAlgn val="ctr"/>
        <c:lblOffset val="100"/>
        <c:noMultiLvlLbl val="0"/>
      </c:cat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717292693192787E-2"/>
          <c:y val="1.5415195470651307E-2"/>
          <c:w val="0.84957434699168854"/>
          <c:h val="0.810769372135863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D3-43F7-B48C-431682463218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D3-43F7-B48C-431682463218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7D3-43F7-B48C-431682463218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pH'!$A$115:$A$130</c:f>
              <c:strCache>
                <c:ptCount val="16"/>
                <c:pt idx="0">
                  <c:v>マレイン酸</c:v>
                </c:pt>
                <c:pt idx="1">
                  <c:v>フマル酸</c:v>
                </c:pt>
                <c:pt idx="2">
                  <c:v>リンゴ酸</c:v>
                </c:pt>
                <c:pt idx="3">
                  <c:v>コハク酸</c:v>
                </c:pt>
                <c:pt idx="4">
                  <c:v>1,2-シクロヘキサン
ジカルボン酸</c:v>
                </c:pt>
                <c:pt idx="5">
                  <c:v>フタル酸</c:v>
                </c:pt>
                <c:pt idx="6">
                  <c:v>ピロメリット酸</c:v>
                </c:pt>
                <c:pt idx="7">
                  <c:v>2,3-ナフタレン
ジカルボン酸</c:v>
                </c:pt>
                <c:pt idx="8">
                  <c:v>4-ニトロフタル酸</c:v>
                </c:pt>
                <c:pt idx="9">
                  <c:v>3-ニトロフタル酸</c:v>
                </c:pt>
                <c:pt idx="10">
                  <c:v>5-ニトロイソ
フタル酸</c:v>
                </c:pt>
                <c:pt idx="11">
                  <c:v>安息香酸</c:v>
                </c:pt>
                <c:pt idx="12">
                  <c:v>DE</c:v>
                </c:pt>
                <c:pt idx="13">
                  <c:v>EE</c:v>
                </c:pt>
                <c:pt idx="14">
                  <c:v>TE</c:v>
                </c:pt>
                <c:pt idx="15">
                  <c:v>HBPEK</c:v>
                </c:pt>
              </c:strCache>
            </c:strRef>
          </c:cat>
          <c:val>
            <c:numRef>
              <c:f>'データベース pH'!$C$115:$C$130</c:f>
              <c:numCache>
                <c:formatCode>General</c:formatCode>
                <c:ptCount val="16"/>
                <c:pt idx="0">
                  <c:v>18.649999999999999</c:v>
                </c:pt>
                <c:pt idx="1">
                  <c:v>10.52</c:v>
                </c:pt>
                <c:pt idx="2">
                  <c:v>9.27</c:v>
                </c:pt>
                <c:pt idx="3">
                  <c:v>3.3</c:v>
                </c:pt>
                <c:pt idx="4">
                  <c:v>6.8</c:v>
                </c:pt>
                <c:pt idx="5">
                  <c:v>13.32</c:v>
                </c:pt>
                <c:pt idx="6">
                  <c:v>11.53</c:v>
                </c:pt>
                <c:pt idx="7">
                  <c:v>11.8</c:v>
                </c:pt>
                <c:pt idx="8">
                  <c:v>15.65</c:v>
                </c:pt>
                <c:pt idx="9">
                  <c:v>12.49</c:v>
                </c:pt>
                <c:pt idx="10">
                  <c:v>10.76</c:v>
                </c:pt>
                <c:pt idx="11">
                  <c:v>3.45</c:v>
                </c:pt>
                <c:pt idx="12">
                  <c:v>11.82</c:v>
                </c:pt>
                <c:pt idx="13">
                  <c:v>8.74</c:v>
                </c:pt>
                <c:pt idx="14">
                  <c:v>4.18</c:v>
                </c:pt>
                <c:pt idx="15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D3-43F7-B48C-4316824632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'データベース pH'!$F$115:$F$117</c:f>
              <c:numCache>
                <c:formatCode>General</c:formatCode>
                <c:ptCount val="3"/>
                <c:pt idx="0">
                  <c:v>1.0058785714285716</c:v>
                </c:pt>
                <c:pt idx="1">
                  <c:v>0.55030084033613447</c:v>
                </c:pt>
                <c:pt idx="2">
                  <c:v>0.4804865546218488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D3-43F7-B48C-431682463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valAx>
        <c:axId val="1548538256"/>
        <c:scaling>
          <c:orientation val="minMax"/>
          <c:max val="1.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</a:rPr>
                  <a:t>TON</a:t>
                </a:r>
                <a:endParaRPr lang="ja-JP" altLang="en-US" sz="18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E-4643-A96A-7A9520B7EE2F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2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46E-4643-A96A-7A9520B7EE2F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6E-4643-A96A-7A9520B7EE2F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4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6E-4643-A96A-7A9520B7EE2F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6E-4643-A96A-7A9520B7EE2F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6E-4643-A96A-7A9520B7EE2F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6E-4643-A96A-7A9520B7EE2F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46E-4643-A96A-7A9520B7EE2F}"/>
            </c:ext>
          </c:extLst>
        </c:ser>
        <c:ser>
          <c:idx val="6"/>
          <c:order val="7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6E-4643-A96A-7A9520B7EE2F}"/>
            </c:ext>
          </c:extLst>
        </c:ser>
        <c:ser>
          <c:idx val="12"/>
          <c:order val="8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46E-4643-A96A-7A9520B7EE2F}"/>
            </c:ext>
          </c:extLst>
        </c:ser>
        <c:ser>
          <c:idx val="4"/>
          <c:order val="9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46E-4643-A96A-7A9520B7EE2F}"/>
            </c:ext>
          </c:extLst>
        </c:ser>
        <c:ser>
          <c:idx val="9"/>
          <c:order val="10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46E-4643-A96A-7A9520B7E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8678422262"/>
          <c:y val="0.14382019897224776"/>
          <c:w val="0.14139191321577732"/>
          <c:h val="0.62369843808378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54868581935908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1-4646-9FB7-404FA6915B05}"/>
            </c:ext>
          </c:extLst>
        </c:ser>
        <c:ser>
          <c:idx val="1"/>
          <c:order val="1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1-4646-9FB7-404FA6915B05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F1-4646-9FB7-404FA6915B05}"/>
            </c:ext>
          </c:extLst>
        </c:ser>
        <c:ser>
          <c:idx val="3"/>
          <c:order val="3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pH'!$E$5</c:f>
              <c:numCache>
                <c:formatCode>General</c:formatCode>
                <c:ptCount val="1"/>
              </c:numCache>
            </c:numRef>
          </c:xVal>
          <c:yVal>
            <c:numRef>
              <c:f>'データベース pH'!$C$5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F1-4646-9FB7-404FA6915B05}"/>
            </c:ext>
          </c:extLst>
        </c:ser>
        <c:ser>
          <c:idx val="4"/>
          <c:order val="4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F1-4646-9FB7-404FA6915B05}"/>
            </c:ext>
          </c:extLst>
        </c:ser>
        <c:ser>
          <c:idx val="5"/>
          <c:order val="5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F1-4646-9FB7-404FA6915B05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DF1-4646-9FB7-404FA6915B05}"/>
            </c:ext>
          </c:extLst>
        </c:ser>
        <c:ser>
          <c:idx val="7"/>
          <c:order val="7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F1-4646-9FB7-404FA6915B05}"/>
            </c:ext>
          </c:extLst>
        </c:ser>
        <c:ser>
          <c:idx val="8"/>
          <c:order val="8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DF1-4646-9FB7-404FA6915B05}"/>
            </c:ext>
          </c:extLst>
        </c:ser>
        <c:ser>
          <c:idx val="9"/>
          <c:order val="9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DF1-4646-9FB7-404FA6915B05}"/>
            </c:ext>
          </c:extLst>
        </c:ser>
        <c:ser>
          <c:idx val="12"/>
          <c:order val="10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DF1-4646-9FB7-404FA6915B05}"/>
            </c:ext>
          </c:extLst>
        </c:ser>
        <c:ser>
          <c:idx val="13"/>
          <c:order val="11"/>
          <c:tx>
            <c:strRef>
              <c:f>'データベース pH'!$A$17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pH'!$E$17</c:f>
              <c:numCache>
                <c:formatCode>General</c:formatCode>
                <c:ptCount val="1"/>
              </c:numCache>
            </c:numRef>
          </c:xVal>
          <c:yVal>
            <c:numRef>
              <c:f>'データベース pH'!$C$17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DF1-4646-9FB7-404FA6915B05}"/>
            </c:ext>
          </c:extLst>
        </c:ser>
        <c:ser>
          <c:idx val="15"/>
          <c:order val="12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DF1-4646-9FB7-404FA6915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  <a:cs typeface="+mn-cs"/>
                  </a:defRPr>
                </a:pPr>
                <a:r>
                  <a:rPr lang="en-US" altLang="ja-JP" sz="1600">
                    <a:solidFill>
                      <a:schemeClr val="tx1"/>
                    </a:solidFill>
                    <a:latin typeface="Arial" panose="020B0604020202020204" pitchFamily="34" charset="0"/>
                    <a:ea typeface="ＭＳ Ｐゴシック" panose="020B0600070205080204" pitchFamily="50" charset="-128"/>
                    <a:cs typeface="Arial" panose="020B0604020202020204" pitchFamily="34" charset="0"/>
                  </a:rPr>
                  <a:t>Yield</a:t>
                </a:r>
                <a:r>
                  <a:rPr lang="en-US" altLang="ja-JP" sz="1600" baseline="0">
                    <a:solidFill>
                      <a:schemeClr val="tx1"/>
                    </a:solidFill>
                    <a:latin typeface="Arial" panose="020B0604020202020204" pitchFamily="34" charset="0"/>
                    <a:ea typeface="ＭＳ Ｐゴシック" panose="020B0600070205080204" pitchFamily="50" charset="-128"/>
                    <a:cs typeface="Arial" panose="020B0604020202020204" pitchFamily="34" charset="0"/>
                  </a:rPr>
                  <a:t> of glucose (%)</a:t>
                </a:r>
                <a:endParaRPr lang="ja-JP" altLang="en-US" sz="16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50" charset="-128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846369117355131"/>
          <c:y val="1.6056775210888104E-2"/>
          <c:w val="0.19374095539095676"/>
          <c:h val="0.89733739575558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89637450307768"/>
          <c:y val="3.8027502669422765E-2"/>
          <c:w val="0.84320392438755154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508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'データベース pH'!$E$72:$E$74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D-4F97-9AB0-844F0F633CBF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3175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'データベース pH'!$G$72:$G$76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2D-4F97-9AB0-844F0F633CBF}"/>
            </c:ext>
          </c:extLst>
        </c:ser>
        <c:ser>
          <c:idx val="2"/>
          <c:order val="2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31750">
                <a:solidFill>
                  <a:srgbClr val="00B0F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00B0F0"/>
                </a:solidFill>
                <a:ln w="1905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B2D-4F97-9AB0-844F0F633CBF}"/>
              </c:ext>
            </c:extLst>
          </c:dPt>
          <c:xVal>
            <c:numRef>
              <c:f>'データベース pH'!$B$72:$B$76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'データベース pH'!$C$72:$C$76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2D-4F97-9AB0-844F0F633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2"/>
          <c:min val="1.5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8641805194383432"/>
          <c:y val="0.15446715080023998"/>
          <c:w val="0.12765234170810252"/>
          <c:h val="0.21144846330392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83-4351-98E4-6D5BBD61CBD7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83-4351-98E4-6D5BBD61CBD7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83-4351-98E4-6D5BBD61CBD7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83-4351-98E4-6D5BBD61CBD7}"/>
            </c:ext>
          </c:extLst>
        </c:ser>
        <c:ser>
          <c:idx val="15"/>
          <c:order val="4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283-4351-98E4-6D5BBD61C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scatterChart>
        <c:scatterStyle val="lineMarker"/>
        <c:varyColors val="0"/>
        <c:ser>
          <c:idx val="10"/>
          <c:order val="5"/>
          <c:tx>
            <c:v>-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'データベース pH'!$E$139:$E$153</c:f>
              <c:numCache>
                <c:formatCode>General</c:formatCode>
                <c:ptCount val="15"/>
                <c:pt idx="0">
                  <c:v>2.44</c:v>
                </c:pt>
                <c:pt idx="1">
                  <c:v>2.44</c:v>
                </c:pt>
                <c:pt idx="2">
                  <c:v>2.73</c:v>
                </c:pt>
                <c:pt idx="3">
                  <c:v>2.39</c:v>
                </c:pt>
                <c:pt idx="6">
                  <c:v>2.5299999999999998</c:v>
                </c:pt>
                <c:pt idx="7">
                  <c:v>2.64</c:v>
                </c:pt>
                <c:pt idx="8">
                  <c:v>2.76</c:v>
                </c:pt>
                <c:pt idx="11">
                  <c:v>3.37</c:v>
                </c:pt>
                <c:pt idx="12">
                  <c:v>3.14</c:v>
                </c:pt>
                <c:pt idx="13">
                  <c:v>3.08</c:v>
                </c:pt>
                <c:pt idx="14">
                  <c:v>3.29</c:v>
                </c:pt>
              </c:numCache>
            </c:numRef>
          </c:xVal>
          <c:yVal>
            <c:numRef>
              <c:f>'データベース pH'!$F$139:$F$153</c:f>
              <c:numCache>
                <c:formatCode>General</c:formatCode>
                <c:ptCount val="15"/>
                <c:pt idx="0">
                  <c:v>1.0058785714285716</c:v>
                </c:pt>
                <c:pt idx="1">
                  <c:v>0.83770658263305331</c:v>
                </c:pt>
                <c:pt idx="2">
                  <c:v>0.70725252100840341</c:v>
                </c:pt>
                <c:pt idx="3">
                  <c:v>0.6606757703081233</c:v>
                </c:pt>
                <c:pt idx="6">
                  <c:v>0.60692521008403366</c:v>
                </c:pt>
                <c:pt idx="7">
                  <c:v>0.56389915966386561</c:v>
                </c:pt>
                <c:pt idx="8">
                  <c:v>0.55030084033613447</c:v>
                </c:pt>
                <c:pt idx="11">
                  <c:v>0.34205294117647067</c:v>
                </c:pt>
                <c:pt idx="12">
                  <c:v>0.19537184873949578</c:v>
                </c:pt>
                <c:pt idx="13">
                  <c:v>0.1541949579831933</c:v>
                </c:pt>
                <c:pt idx="14">
                  <c:v>0.1458298319327731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283-4351-98E4-6D5BBD61C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624"/>
        <c:axId val="1918673344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valAx>
        <c:axId val="1918673344"/>
        <c:scaling>
          <c:orientation val="minMax"/>
          <c:max val="1.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8384147900047344"/>
              <c:y val="0.34943715070802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624"/>
        <c:crosses val="max"/>
        <c:crossBetween val="midCat"/>
        <c:majorUnit val="0.2"/>
      </c:valAx>
      <c:valAx>
        <c:axId val="172116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867334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2975276629"/>
          <c:y val="0.17882772448840642"/>
          <c:w val="0.14139191321577732"/>
          <c:h val="0.62369843808378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A1-45BB-B5B2-3A7A55578DAD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A1-45BB-B5B2-3A7A55578DAD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A1-45BB-B5B2-3A7A55578DAD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A1-45BB-B5B2-3A7A55578DAD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A1-45BB-B5B2-3A7A55578DAD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A1-45BB-B5B2-3A7A55578DAD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A1-45BB-B5B2-3A7A55578DAD}"/>
            </c:ext>
          </c:extLst>
        </c:ser>
        <c:ser>
          <c:idx val="6"/>
          <c:order val="7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A1-45BB-B5B2-3A7A55578DAD}"/>
            </c:ext>
          </c:extLst>
        </c:ser>
        <c:ser>
          <c:idx val="12"/>
          <c:order val="8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A1-45BB-B5B2-3A7A55578DAD}"/>
            </c:ext>
          </c:extLst>
        </c:ser>
        <c:ser>
          <c:idx val="4"/>
          <c:order val="9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A1-45BB-B5B2-3A7A55578DAD}"/>
            </c:ext>
          </c:extLst>
        </c:ser>
        <c:ser>
          <c:idx val="9"/>
          <c:order val="10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CA1-45BB-B5B2-3A7A55578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scatterChart>
        <c:scatterStyle val="lineMarker"/>
        <c:varyColors val="0"/>
        <c:ser>
          <c:idx val="10"/>
          <c:order val="11"/>
          <c:tx>
            <c:v>-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'データベース pH'!$E$139:$E$153</c:f>
              <c:numCache>
                <c:formatCode>General</c:formatCode>
                <c:ptCount val="15"/>
                <c:pt idx="0">
                  <c:v>2.44</c:v>
                </c:pt>
                <c:pt idx="1">
                  <c:v>2.44</c:v>
                </c:pt>
                <c:pt idx="2">
                  <c:v>2.73</c:v>
                </c:pt>
                <c:pt idx="3">
                  <c:v>2.39</c:v>
                </c:pt>
                <c:pt idx="6">
                  <c:v>2.5299999999999998</c:v>
                </c:pt>
                <c:pt idx="7">
                  <c:v>2.64</c:v>
                </c:pt>
                <c:pt idx="8">
                  <c:v>2.76</c:v>
                </c:pt>
                <c:pt idx="11">
                  <c:v>3.37</c:v>
                </c:pt>
                <c:pt idx="12">
                  <c:v>3.14</c:v>
                </c:pt>
                <c:pt idx="13">
                  <c:v>3.08</c:v>
                </c:pt>
                <c:pt idx="14">
                  <c:v>3.29</c:v>
                </c:pt>
              </c:numCache>
            </c:numRef>
          </c:xVal>
          <c:yVal>
            <c:numRef>
              <c:f>'データベース pH'!$F$139:$F$153</c:f>
              <c:numCache>
                <c:formatCode>General</c:formatCode>
                <c:ptCount val="15"/>
                <c:pt idx="0">
                  <c:v>1.0058785714285716</c:v>
                </c:pt>
                <c:pt idx="1">
                  <c:v>0.83770658263305331</c:v>
                </c:pt>
                <c:pt idx="2">
                  <c:v>0.70725252100840341</c:v>
                </c:pt>
                <c:pt idx="3">
                  <c:v>0.6606757703081233</c:v>
                </c:pt>
                <c:pt idx="6">
                  <c:v>0.60692521008403366</c:v>
                </c:pt>
                <c:pt idx="7">
                  <c:v>0.56389915966386561</c:v>
                </c:pt>
                <c:pt idx="8">
                  <c:v>0.55030084033613447</c:v>
                </c:pt>
                <c:pt idx="11">
                  <c:v>0.34205294117647067</c:v>
                </c:pt>
                <c:pt idx="12">
                  <c:v>0.19537184873949578</c:v>
                </c:pt>
                <c:pt idx="13">
                  <c:v>0.1541949579831933</c:v>
                </c:pt>
                <c:pt idx="14">
                  <c:v>0.1458298319327731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CA1-45BB-B5B2-3A7A55578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624"/>
        <c:axId val="1918673344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valAx>
        <c:axId val="1918673344"/>
        <c:scaling>
          <c:orientation val="minMax"/>
          <c:max val="1.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8384147900047344"/>
              <c:y val="0.34943715070802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624"/>
        <c:crosses val="max"/>
        <c:crossBetween val="midCat"/>
        <c:majorUnit val="0.2"/>
      </c:valAx>
      <c:valAx>
        <c:axId val="172116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867334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8678422262"/>
          <c:y val="0.14382019897224776"/>
          <c:w val="0.14139191321577732"/>
          <c:h val="0.62369843808378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D-40A7-82C5-D4C45D757459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5D-40A7-82C5-D4C45D757459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5D-40A7-82C5-D4C45D757459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5D-40A7-82C5-D4C45D757459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5D-40A7-82C5-D4C45D757459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5D-40A7-82C5-D4C45D757459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5D-40A7-82C5-D4C45D757459}"/>
            </c:ext>
          </c:extLst>
        </c:ser>
        <c:ser>
          <c:idx val="6"/>
          <c:order val="7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35D-40A7-82C5-D4C45D757459}"/>
            </c:ext>
          </c:extLst>
        </c:ser>
        <c:ser>
          <c:idx val="12"/>
          <c:order val="8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35D-40A7-82C5-D4C45D757459}"/>
            </c:ext>
          </c:extLst>
        </c:ser>
        <c:ser>
          <c:idx val="4"/>
          <c:order val="9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35D-40A7-82C5-D4C45D757459}"/>
            </c:ext>
          </c:extLst>
        </c:ser>
        <c:ser>
          <c:idx val="9"/>
          <c:order val="10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35D-40A7-82C5-D4C45D757459}"/>
            </c:ext>
          </c:extLst>
        </c:ser>
        <c:ser>
          <c:idx val="3"/>
          <c:order val="11"/>
          <c:tx>
            <c:strRef>
              <c:f>'データベース pH'!$A$14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35D-40A7-82C5-D4C45D757459}"/>
            </c:ext>
          </c:extLst>
        </c:ser>
        <c:ser>
          <c:idx val="10"/>
          <c:order val="12"/>
          <c:tx>
            <c:strRef>
              <c:f>'データベース pH'!$A$18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35D-40A7-82C5-D4C45D757459}"/>
            </c:ext>
          </c:extLst>
        </c:ser>
        <c:ser>
          <c:idx val="11"/>
          <c:order val="13"/>
          <c:tx>
            <c:strRef>
              <c:f>'データベース pH'!$A$15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35D-40A7-82C5-D4C45D757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8678422262"/>
          <c:y val="0.14382019897224776"/>
          <c:w val="0.14139191321577735"/>
          <c:h val="0.740814908191697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45174035692485E-2"/>
          <c:y val="3.6873310372921526E-2"/>
          <c:w val="0.89829276489146348"/>
          <c:h val="0.788806044258258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FC-4469-9DDB-23FB5BCA96EF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9FC-4469-9DDB-23FB5BCA96EF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FC-4469-9DDB-23FB5BCA96EF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FC-4469-9DDB-23FB5BCA96EF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FC-4469-9DDB-23FB5BCA96EF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FC-4469-9DDB-23FB5BCA96EF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FC-4469-9DDB-23FB5BCA96EF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FC-4469-9DDB-23FB5BCA96EF}"/>
            </c:ext>
          </c:extLst>
        </c:ser>
        <c:ser>
          <c:idx val="13"/>
          <c:order val="7"/>
          <c:tx>
            <c:strRef>
              <c:f>'データベース pH'!$A$104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pH'!$E$104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pH'!$C$104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FC-4469-9DDB-23FB5BCA96EF}"/>
            </c:ext>
          </c:extLst>
        </c:ser>
        <c:ser>
          <c:idx val="6"/>
          <c:order val="8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9FC-4469-9DDB-23FB5BCA96EF}"/>
            </c:ext>
          </c:extLst>
        </c:ser>
        <c:ser>
          <c:idx val="12"/>
          <c:order val="9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9FC-4469-9DDB-23FB5BCA96EF}"/>
            </c:ext>
          </c:extLst>
        </c:ser>
        <c:ser>
          <c:idx val="4"/>
          <c:order val="10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9FC-4469-9DDB-23FB5BCA96EF}"/>
            </c:ext>
          </c:extLst>
        </c:ser>
        <c:ser>
          <c:idx val="9"/>
          <c:order val="11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9FC-4469-9DDB-23FB5BCA96EF}"/>
            </c:ext>
          </c:extLst>
        </c:ser>
        <c:ser>
          <c:idx val="3"/>
          <c:order val="12"/>
          <c:tx>
            <c:strRef>
              <c:f>'データベース pH'!$A$14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9FC-4469-9DDB-23FB5BCA96EF}"/>
            </c:ext>
          </c:extLst>
        </c:ser>
        <c:ser>
          <c:idx val="10"/>
          <c:order val="13"/>
          <c:tx>
            <c:strRef>
              <c:f>'データベース pH'!$A$18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9FC-4469-9DDB-23FB5BCA96EF}"/>
            </c:ext>
          </c:extLst>
        </c:ser>
        <c:ser>
          <c:idx val="11"/>
          <c:order val="14"/>
          <c:tx>
            <c:strRef>
              <c:f>'データベース pH'!$A$15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9FC-4469-9DDB-23FB5BCA9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1480883769973507"/>
              <c:y val="0.89837709701616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3033045688759228"/>
          <c:y val="6.2826661077188664E-2"/>
          <c:w val="0.44524435909180188"/>
          <c:h val="0.304639498823168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198451091548297"/>
          <c:y val="2.2391924887133752E-2"/>
          <c:w val="0.81044711594405827"/>
          <c:h val="0.757241093098656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FF-487C-9E34-790082A0467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FF-487C-9E34-790082A0467C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FF-487C-9E34-790082A0467C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BFF-487C-9E34-790082A0467C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pH'!$A$115:$A$130</c:f>
              <c:strCache>
                <c:ptCount val="16"/>
                <c:pt idx="0">
                  <c:v>マレイン酸</c:v>
                </c:pt>
                <c:pt idx="1">
                  <c:v>フマル酸</c:v>
                </c:pt>
                <c:pt idx="2">
                  <c:v>リンゴ酸</c:v>
                </c:pt>
                <c:pt idx="3">
                  <c:v>コハク酸</c:v>
                </c:pt>
                <c:pt idx="4">
                  <c:v>1,2-シクロヘキサン
ジカルボン酸</c:v>
                </c:pt>
                <c:pt idx="5">
                  <c:v>フタル酸</c:v>
                </c:pt>
                <c:pt idx="6">
                  <c:v>ピロメリット酸</c:v>
                </c:pt>
                <c:pt idx="7">
                  <c:v>2,3-ナフタレン
ジカルボン酸</c:v>
                </c:pt>
                <c:pt idx="8">
                  <c:v>4-ニトロフタル酸</c:v>
                </c:pt>
                <c:pt idx="9">
                  <c:v>3-ニトロフタル酸</c:v>
                </c:pt>
                <c:pt idx="10">
                  <c:v>5-ニトロイソ
フタル酸</c:v>
                </c:pt>
                <c:pt idx="11">
                  <c:v>安息香酸</c:v>
                </c:pt>
                <c:pt idx="12">
                  <c:v>DE</c:v>
                </c:pt>
                <c:pt idx="13">
                  <c:v>EE</c:v>
                </c:pt>
                <c:pt idx="14">
                  <c:v>TE</c:v>
                </c:pt>
                <c:pt idx="15">
                  <c:v>HBPEK</c:v>
                </c:pt>
              </c:strCache>
            </c:strRef>
          </c:cat>
          <c:val>
            <c:numRef>
              <c:f>'データベース pH'!$C$115:$C$130</c:f>
              <c:numCache>
                <c:formatCode>General</c:formatCode>
                <c:ptCount val="16"/>
                <c:pt idx="0">
                  <c:v>18.649999999999999</c:v>
                </c:pt>
                <c:pt idx="1">
                  <c:v>10.52</c:v>
                </c:pt>
                <c:pt idx="2">
                  <c:v>9.27</c:v>
                </c:pt>
                <c:pt idx="3">
                  <c:v>3.3</c:v>
                </c:pt>
                <c:pt idx="4">
                  <c:v>6.8</c:v>
                </c:pt>
                <c:pt idx="5">
                  <c:v>13.32</c:v>
                </c:pt>
                <c:pt idx="6">
                  <c:v>11.53</c:v>
                </c:pt>
                <c:pt idx="7">
                  <c:v>11.8</c:v>
                </c:pt>
                <c:pt idx="8">
                  <c:v>15.65</c:v>
                </c:pt>
                <c:pt idx="9">
                  <c:v>12.49</c:v>
                </c:pt>
                <c:pt idx="10">
                  <c:v>10.76</c:v>
                </c:pt>
                <c:pt idx="11">
                  <c:v>3.45</c:v>
                </c:pt>
                <c:pt idx="12">
                  <c:v>11.82</c:v>
                </c:pt>
                <c:pt idx="13">
                  <c:v>8.74</c:v>
                </c:pt>
                <c:pt idx="14">
                  <c:v>4.18</c:v>
                </c:pt>
                <c:pt idx="15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FF-487C-9E34-790082A046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8100">
                <a:solidFill>
                  <a:sysClr val="windowText" lastClr="000000"/>
                </a:solidFill>
              </a:ln>
              <a:effectLst/>
            </c:spPr>
          </c:marker>
          <c:yVal>
            <c:numRef>
              <c:f>'データベース pH'!$F$115:$F$130</c:f>
              <c:numCache>
                <c:formatCode>General</c:formatCode>
                <c:ptCount val="16"/>
                <c:pt idx="0">
                  <c:v>1.0058785714285716</c:v>
                </c:pt>
                <c:pt idx="1">
                  <c:v>0.55030084033613447</c:v>
                </c:pt>
                <c:pt idx="2">
                  <c:v>0.4804865546218488</c:v>
                </c:pt>
                <c:pt idx="3">
                  <c:v>0.1458298319327731</c:v>
                </c:pt>
                <c:pt idx="4">
                  <c:v>0.34205294117647067</c:v>
                </c:pt>
                <c:pt idx="5">
                  <c:v>0.70725252100840341</c:v>
                </c:pt>
                <c:pt idx="6">
                  <c:v>0.60692521008403366</c:v>
                </c:pt>
                <c:pt idx="7">
                  <c:v>0.62194915966386555</c:v>
                </c:pt>
                <c:pt idx="8">
                  <c:v>0.83770658263305331</c:v>
                </c:pt>
                <c:pt idx="9">
                  <c:v>0.6606757703081233</c:v>
                </c:pt>
                <c:pt idx="10">
                  <c:v>0.56389915966386561</c:v>
                </c:pt>
                <c:pt idx="11">
                  <c:v>0.1541949579831933</c:v>
                </c:pt>
                <c:pt idx="12">
                  <c:v>0.62044033613445382</c:v>
                </c:pt>
                <c:pt idx="13">
                  <c:v>0.45034789915966389</c:v>
                </c:pt>
                <c:pt idx="14">
                  <c:v>0.19537184873949578</c:v>
                </c:pt>
                <c:pt idx="15">
                  <c:v>0.50696848739495803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BFF-487C-9E34-790082A04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137654196155956E-2"/>
              <c:y val="0.1872978444314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valAx>
        <c:axId val="1548538256"/>
        <c:scaling>
          <c:orientation val="minMax"/>
          <c:max val="1.100000000000000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38100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8298310887021243"/>
        </c:manualLayout>
      </c:layout>
      <c:scatterChart>
        <c:scatterStyle val="lineMarker"/>
        <c:varyColors val="0"/>
        <c:ser>
          <c:idx val="0"/>
          <c:order val="0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508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'データベース pH'!$E$72:$E$74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3-480B-87EE-A6BFE1569276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'データベース pH'!$G$72:$G$76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13-480B-87EE-A6BFE1569276}"/>
            </c:ext>
          </c:extLst>
        </c:ser>
        <c:ser>
          <c:idx val="2"/>
          <c:order val="2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F0"/>
              </a:solidFill>
              <a:ln w="38100">
                <a:solidFill>
                  <a:srgbClr val="00B0F0"/>
                </a:solidFill>
              </a:ln>
              <a:effectLst/>
            </c:spPr>
          </c:marker>
          <c:dPt>
            <c:idx val="4"/>
            <c:marker>
              <c:symbol val="circle"/>
              <c:size val="7"/>
              <c:spPr>
                <a:solidFill>
                  <a:srgbClr val="00B0F0"/>
                </a:solidFill>
                <a:ln w="3175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113-480B-87EE-A6BFE1569276}"/>
              </c:ext>
            </c:extLst>
          </c:dPt>
          <c:xVal>
            <c:numRef>
              <c:f>'データベース pH'!$B$72:$B$76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'データベース pH'!$C$72:$C$76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13-480B-87EE-A6BFE1569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2"/>
          <c:min val="1.5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0082538947842299"/>
          <c:y val="3.8557794925142996E-2"/>
          <c:w val="0.25710647316925922"/>
          <c:h val="0.21144846330392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77-4BB5-94D6-FB0B7C4646F0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F77-4BB5-94D6-FB0B7C4646F0}"/>
              </c:ext>
            </c:extLst>
          </c:dPt>
          <c:xVal>
            <c:numRef>
              <c:f>'データベース pH'!$B$10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77-4BB5-94D6-FB0B7C4646F0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77-4BB5-94D6-FB0B7C4646F0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pH'!$B$11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77-4BB5-94D6-FB0B7C4646F0}"/>
            </c:ext>
          </c:extLst>
        </c:ser>
        <c:ser>
          <c:idx val="15"/>
          <c:order val="4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pH'!$B$12</c:f>
              <c:numCache>
                <c:formatCode>General</c:formatCode>
                <c:ptCount val="1"/>
                <c:pt idx="0">
                  <c:v>2.81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77-4BB5-94D6-FB0B7C4646F0}"/>
            </c:ext>
          </c:extLst>
        </c:ser>
        <c:ser>
          <c:idx val="1"/>
          <c:order val="5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77-4BB5-94D6-FB0B7C4646F0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77-4BB5-94D6-FB0B7C4646F0}"/>
            </c:ext>
          </c:extLst>
        </c:ser>
        <c:ser>
          <c:idx val="4"/>
          <c:order val="7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77-4BB5-94D6-FB0B7C4646F0}"/>
            </c:ext>
          </c:extLst>
        </c:ser>
        <c:ser>
          <c:idx val="9"/>
          <c:order val="8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77-4BB5-94D6-FB0B7C4646F0}"/>
            </c:ext>
          </c:extLst>
        </c:ser>
        <c:ser>
          <c:idx val="3"/>
          <c:order val="9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pH'!$B$21</c:f>
              <c:numCache>
                <c:formatCode>General</c:formatCode>
                <c:ptCount val="1"/>
                <c:pt idx="0">
                  <c:v>3.4</c:v>
                </c:pt>
              </c:numCache>
            </c:numRef>
          </c:xVal>
          <c:yVal>
            <c:numRef>
              <c:f>'データベース pH'!$C$21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77-4BB5-94D6-FB0B7C4646F0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pH'!$B$22</c:f>
              <c:numCache>
                <c:formatCode>General</c:formatCode>
                <c:ptCount val="1"/>
                <c:pt idx="0">
                  <c:v>2.38</c:v>
                </c:pt>
              </c:numCache>
            </c:numRef>
          </c:xVal>
          <c:yVal>
            <c:numRef>
              <c:f>'データベース pH'!$C$22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77-4BB5-94D6-FB0B7C4646F0}"/>
            </c:ext>
          </c:extLst>
        </c:ser>
        <c:ser>
          <c:idx val="5"/>
          <c:order val="11"/>
          <c:tx>
            <c:v>アントラキノンジカルボン酸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pH'!$B$23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'データベース pH'!$C$23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77-4BB5-94D6-FB0B7C4646F0}"/>
            </c:ext>
          </c:extLst>
        </c:ser>
        <c:ser>
          <c:idx val="11"/>
          <c:order val="12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'データベース pH'!$C$5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77-4BB5-94D6-FB0B7C464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3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50486677120001"/>
          <c:y val="0"/>
          <c:w val="0.22335336345148193"/>
          <c:h val="0.92727575389565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55474807152017"/>
          <c:y val="3.6873310372921526E-2"/>
          <c:w val="0.86288059501002523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FB-4121-803B-0280B88BB2B8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0FB-4121-803B-0280B88BB2B8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FB-4121-803B-0280B88BB2B8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FB-4121-803B-0280B88BB2B8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FB-4121-803B-0280B88BB2B8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FB-4121-803B-0280B88BB2B8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0FB-4121-803B-0280B88BB2B8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FB-4121-803B-0280B88BB2B8}"/>
            </c:ext>
          </c:extLst>
        </c:ser>
        <c:ser>
          <c:idx val="6"/>
          <c:order val="7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0FB-4121-803B-0280B88BB2B8}"/>
            </c:ext>
          </c:extLst>
        </c:ser>
        <c:ser>
          <c:idx val="12"/>
          <c:order val="8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FB-4121-803B-0280B88BB2B8}"/>
            </c:ext>
          </c:extLst>
        </c:ser>
        <c:ser>
          <c:idx val="4"/>
          <c:order val="9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0FB-4121-803B-0280B88BB2B8}"/>
            </c:ext>
          </c:extLst>
        </c:ser>
        <c:ser>
          <c:idx val="9"/>
          <c:order val="10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0FB-4121-803B-0280B88BB2B8}"/>
            </c:ext>
          </c:extLst>
        </c:ser>
        <c:ser>
          <c:idx val="3"/>
          <c:order val="11"/>
          <c:tx>
            <c:strRef>
              <c:f>'データベース pH'!$A$14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0FB-4121-803B-0280B88BB2B8}"/>
            </c:ext>
          </c:extLst>
        </c:ser>
        <c:ser>
          <c:idx val="10"/>
          <c:order val="12"/>
          <c:tx>
            <c:strRef>
              <c:f>'データベース pH'!$A$18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0FB-4121-803B-0280B88BB2B8}"/>
            </c:ext>
          </c:extLst>
        </c:ser>
        <c:ser>
          <c:idx val="11"/>
          <c:order val="13"/>
          <c:tx>
            <c:strRef>
              <c:f>'データベース pH'!$A$15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0FB-4121-803B-0280B88BB2B8}"/>
            </c:ext>
          </c:extLst>
        </c:ser>
        <c:ser>
          <c:idx val="13"/>
          <c:order val="14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pH'!$C$20:$C$21</c:f>
              <c:numCache>
                <c:formatCode>General</c:formatCode>
                <c:ptCount val="2"/>
                <c:pt idx="0">
                  <c:v>8.7356475000000007</c:v>
                </c:pt>
                <c:pt idx="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0FB-4121-803B-0280B88BB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567287210917311"/>
              <c:y val="0.92445074415308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2-4BA1-9A06-85B167BA9D56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F0"/>
              </a:solidFill>
              <a:ln w="381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2-4BA1-9A06-85B167BA9D56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pH'!$K$50:$K$54</c:f>
              <c:numCache>
                <c:formatCode>General</c:formatCode>
                <c:ptCount val="5"/>
                <c:pt idx="0">
                  <c:v>17.690000000000001</c:v>
                </c:pt>
                <c:pt idx="1">
                  <c:v>24.85</c:v>
                </c:pt>
                <c:pt idx="2">
                  <c:v>30.73</c:v>
                </c:pt>
                <c:pt idx="3">
                  <c:v>37.79</c:v>
                </c:pt>
                <c:pt idx="4">
                  <c:v>43.95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12-4BA1-9A06-85B167BA9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COOH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4567893685995226"/>
          <c:y val="0.53292626576844992"/>
          <c:w val="0.32464895648098691"/>
          <c:h val="0.347921320014447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C7-4229-ADC5-80BCE0B63CEC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BC7-4229-ADC5-80BCE0B63CEC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C7-4229-ADC5-80BCE0B63CEC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C7-4229-ADC5-80BCE0B63CEC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C7-4229-ADC5-80BCE0B63CEC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C7-4229-ADC5-80BCE0B63CEC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C7-4229-ADC5-80BCE0B63CEC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C7-4229-ADC5-80BCE0B63CEC}"/>
            </c:ext>
          </c:extLst>
        </c:ser>
        <c:ser>
          <c:idx val="3"/>
          <c:order val="7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BC7-4229-ADC5-80BCE0B63CEC}"/>
            </c:ext>
          </c:extLst>
        </c:ser>
        <c:ser>
          <c:idx val="6"/>
          <c:order val="8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BC7-4229-ADC5-80BCE0B63CEC}"/>
            </c:ext>
          </c:extLst>
        </c:ser>
        <c:ser>
          <c:idx val="12"/>
          <c:order val="9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BC7-4229-ADC5-80BCE0B63CEC}"/>
            </c:ext>
          </c:extLst>
        </c:ser>
        <c:ser>
          <c:idx val="4"/>
          <c:order val="10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BC7-4229-ADC5-80BCE0B63CEC}"/>
            </c:ext>
          </c:extLst>
        </c:ser>
        <c:ser>
          <c:idx val="9"/>
          <c:order val="11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BC7-4229-ADC5-80BCE0B63CEC}"/>
            </c:ext>
          </c:extLst>
        </c:ser>
        <c:ser>
          <c:idx val="10"/>
          <c:order val="12"/>
          <c:tx>
            <c:strRef>
              <c:f>'データベース pH'!$A$22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'データベース pH'!$C$22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BC7-4229-ADC5-80BCE0B63CEC}"/>
            </c:ext>
          </c:extLst>
        </c:ser>
        <c:ser>
          <c:idx val="11"/>
          <c:order val="13"/>
          <c:tx>
            <c:strRef>
              <c:f>'データベース pH'!$A$28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'データベース pH'!$C$28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BC7-4229-ADC5-80BCE0B63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000960669652001"/>
          <c:h val="0.90349484327893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383791217249426E-2"/>
          <c:y val="2.2391924887133752E-2"/>
          <c:w val="0.83347341520353302"/>
          <c:h val="0.725239268334554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7C-47D0-9BA0-1AD030CD7D3C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7C-47D0-9BA0-1AD030CD7D3C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7C-47D0-9BA0-1AD030CD7D3C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pH'!$H$115:$H$123</c:f>
              <c:strCache>
                <c:ptCount val="9"/>
                <c:pt idx="0">
                  <c:v>3-ニトロフタル酸</c:v>
                </c:pt>
                <c:pt idx="1">
                  <c:v>マレイン酸</c:v>
                </c:pt>
                <c:pt idx="2">
                  <c:v>4-ニトロフタル酸</c:v>
                </c:pt>
                <c:pt idx="3">
                  <c:v>ピロメリット酸</c:v>
                </c:pt>
                <c:pt idx="4">
                  <c:v>フェニル
マレイン酸</c:v>
                </c:pt>
                <c:pt idx="5">
                  <c:v>5-ニトロ
イソフタル酸</c:v>
                </c:pt>
                <c:pt idx="6">
                  <c:v>フタル酸</c:v>
                </c:pt>
                <c:pt idx="7">
                  <c:v>4-メトキシ
フタル酸</c:v>
                </c:pt>
                <c:pt idx="8">
                  <c:v>3メト</c:v>
                </c:pt>
              </c:strCache>
            </c:strRef>
          </c:cat>
          <c:val>
            <c:numRef>
              <c:f>'データベース pH'!$J$115:$J$123</c:f>
              <c:numCache>
                <c:formatCode>General</c:formatCode>
                <c:ptCount val="9"/>
                <c:pt idx="0">
                  <c:v>12.49</c:v>
                </c:pt>
                <c:pt idx="1">
                  <c:v>18.649999999999999</c:v>
                </c:pt>
                <c:pt idx="2">
                  <c:v>15.65</c:v>
                </c:pt>
                <c:pt idx="3">
                  <c:v>11.53</c:v>
                </c:pt>
                <c:pt idx="4">
                  <c:v>12.66</c:v>
                </c:pt>
                <c:pt idx="5">
                  <c:v>10.76</c:v>
                </c:pt>
                <c:pt idx="6">
                  <c:v>13.32</c:v>
                </c:pt>
                <c:pt idx="7">
                  <c:v>13.29</c:v>
                </c:pt>
                <c:pt idx="8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7C-47D0-9BA0-1AD030CD7D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8100">
                <a:solidFill>
                  <a:sysClr val="windowText" lastClr="000000"/>
                </a:solidFill>
              </a:ln>
              <a:effectLst/>
            </c:spPr>
          </c:marker>
          <c:yVal>
            <c:numRef>
              <c:f>'データベース pH'!$M$115:$M$123</c:f>
              <c:numCache>
                <c:formatCode>General</c:formatCode>
                <c:ptCount val="9"/>
                <c:pt idx="0">
                  <c:v>0.6606757703081233</c:v>
                </c:pt>
                <c:pt idx="1">
                  <c:v>1.0058785714285716</c:v>
                </c:pt>
                <c:pt idx="2">
                  <c:v>0.83770658263305331</c:v>
                </c:pt>
                <c:pt idx="3">
                  <c:v>0.60692521008403366</c:v>
                </c:pt>
                <c:pt idx="4">
                  <c:v>0.67108999999999996</c:v>
                </c:pt>
                <c:pt idx="5">
                  <c:v>0.56389915966386561</c:v>
                </c:pt>
                <c:pt idx="6">
                  <c:v>0.70725252100840341</c:v>
                </c:pt>
                <c:pt idx="7">
                  <c:v>0.7054936974789916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7C-47D0-9BA0-1AD030CD7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Mark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valAx>
        <c:axId val="1548538256"/>
        <c:scaling>
          <c:orientation val="minMax"/>
          <c:max val="1.100000000000000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38100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55474807152017"/>
          <c:y val="3.6873310372921526E-2"/>
          <c:w val="0.86288059501002523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AA-4E0C-B55C-7A569BA69F3B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DAA-4E0C-B55C-7A569BA69F3B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AA-4E0C-B55C-7A569BA69F3B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AA-4E0C-B55C-7A569BA69F3B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AA-4E0C-B55C-7A569BA69F3B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AA-4E0C-B55C-7A569BA69F3B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AA-4E0C-B55C-7A569BA69F3B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DAA-4E0C-B55C-7A569BA69F3B}"/>
            </c:ext>
          </c:extLst>
        </c:ser>
        <c:ser>
          <c:idx val="6"/>
          <c:order val="7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DAA-4E0C-B55C-7A569BA69F3B}"/>
            </c:ext>
          </c:extLst>
        </c:ser>
        <c:ser>
          <c:idx val="12"/>
          <c:order val="8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DAA-4E0C-B55C-7A569BA69F3B}"/>
            </c:ext>
          </c:extLst>
        </c:ser>
        <c:ser>
          <c:idx val="4"/>
          <c:order val="9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DAA-4E0C-B55C-7A569BA69F3B}"/>
            </c:ext>
          </c:extLst>
        </c:ser>
        <c:ser>
          <c:idx val="9"/>
          <c:order val="10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DAA-4E0C-B55C-7A569BA69F3B}"/>
            </c:ext>
          </c:extLst>
        </c:ser>
        <c:ser>
          <c:idx val="3"/>
          <c:order val="11"/>
          <c:tx>
            <c:strRef>
              <c:f>'データベース pH'!$A$14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DAA-4E0C-B55C-7A569BA69F3B}"/>
            </c:ext>
          </c:extLst>
        </c:ser>
        <c:ser>
          <c:idx val="10"/>
          <c:order val="12"/>
          <c:tx>
            <c:strRef>
              <c:f>'データベース pH'!$A$18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DAA-4E0C-B55C-7A569BA69F3B}"/>
            </c:ext>
          </c:extLst>
        </c:ser>
        <c:ser>
          <c:idx val="11"/>
          <c:order val="13"/>
          <c:tx>
            <c:strRef>
              <c:f>'データベース pH'!$A$15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DAA-4E0C-B55C-7A569BA69F3B}"/>
            </c:ext>
          </c:extLst>
        </c:ser>
        <c:ser>
          <c:idx val="13"/>
          <c:order val="14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pH'!$C$20:$C$21</c:f>
              <c:numCache>
                <c:formatCode>General</c:formatCode>
                <c:ptCount val="2"/>
                <c:pt idx="0">
                  <c:v>8.7356475000000007</c:v>
                </c:pt>
                <c:pt idx="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DAA-4E0C-B55C-7A569BA69F3B}"/>
            </c:ext>
          </c:extLst>
        </c:ser>
        <c:ser>
          <c:idx val="14"/>
          <c:order val="15"/>
          <c:tx>
            <c:strRef>
              <c:f>'データベース pH'!$A$24</c:f>
              <c:strCache>
                <c:ptCount val="1"/>
                <c:pt idx="0">
                  <c:v>1mM塩酸+マレイン酸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ysClr val="windowText" lastClr="000000"/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pH'!$E$24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'データベース pH'!$C$24</c:f>
              <c:numCache>
                <c:formatCode>General</c:formatCode>
                <c:ptCount val="1"/>
                <c:pt idx="0">
                  <c:v>22.94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DAA-4E0C-B55C-7A569BA69F3B}"/>
            </c:ext>
          </c:extLst>
        </c:ser>
        <c:ser>
          <c:idx val="16"/>
          <c:order val="16"/>
          <c:tx>
            <c:strRef>
              <c:f>'データベース pH'!$A$25</c:f>
              <c:strCache>
                <c:ptCount val="1"/>
                <c:pt idx="0">
                  <c:v>1mM塩酸＋フタル酸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5">
                  <a:lumMod val="80000"/>
                  <a:lumOff val="20000"/>
                </a:schemeClr>
              </a:solidFill>
              <a:ln w="2857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pH'!$E$25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pH'!$C$25</c:f>
              <c:numCache>
                <c:formatCode>General</c:formatCode>
                <c:ptCount val="1"/>
                <c:pt idx="0">
                  <c:v>18.440000000000001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DAA-4E0C-B55C-7A569BA69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567287210917311"/>
              <c:y val="0.92445074415308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6748781014441"/>
          <c:y val="3.0312423154732017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25400">
                <a:noFill/>
              </a:ln>
              <a:effectLst/>
            </c:spPr>
          </c:marker>
          <c:xVal>
            <c:numRef>
              <c:f>'データベース pH'!$F$72:$F$76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'データベース pH'!$G$72:$G$76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A-48AF-A770-6F776C3E7ACD}"/>
            </c:ext>
          </c:extLst>
        </c:ser>
        <c:ser>
          <c:idx val="2"/>
          <c:order val="1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'データベース pH'!$C$72:$C$76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EA-48AF-A770-6F776C3E7ACD}"/>
            </c:ext>
          </c:extLst>
        </c:ser>
        <c:ser>
          <c:idx val="8"/>
          <c:order val="2"/>
          <c:tx>
            <c:strRef>
              <c:f>'データベース pH'!$A$24</c:f>
              <c:strCache>
                <c:ptCount val="1"/>
                <c:pt idx="0">
                  <c:v>1mM塩酸+マレイン酸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FF0000">
                  <a:alpha val="97000"/>
                </a:srgbClr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pH'!$E$24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'データベース pH'!$C$24</c:f>
              <c:numCache>
                <c:formatCode>General</c:formatCode>
                <c:ptCount val="1"/>
                <c:pt idx="0">
                  <c:v>22.94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EA-48AF-A770-6F776C3E7ACD}"/>
            </c:ext>
          </c:extLst>
        </c:ser>
        <c:ser>
          <c:idx val="5"/>
          <c:order val="3"/>
          <c:tx>
            <c:strRef>
              <c:f>'データベース pH'!$A$25</c:f>
              <c:strCache>
                <c:ptCount val="1"/>
                <c:pt idx="0">
                  <c:v>1mM塩酸＋フタル酸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00B0F0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pH'!$E$25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pH'!$C$25</c:f>
              <c:numCache>
                <c:formatCode>General</c:formatCode>
                <c:ptCount val="1"/>
                <c:pt idx="0">
                  <c:v>18.440000000000001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EA-48AF-A770-6F776C3E7ACD}"/>
            </c:ext>
          </c:extLst>
        </c:ser>
        <c:ser>
          <c:idx val="15"/>
          <c:order val="4"/>
          <c:tx>
            <c:strRef>
              <c:f>'データベース pH'!$A$26</c:f>
              <c:strCache>
                <c:ptCount val="1"/>
                <c:pt idx="0">
                  <c:v>マレイン酸＋NaCl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pH'!$E$26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pH'!$C$26</c:f>
              <c:numCache>
                <c:formatCode>General</c:formatCode>
                <c:ptCount val="1"/>
                <c:pt idx="0">
                  <c:v>10.99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3EA-48AF-A770-6F776C3E7ACD}"/>
            </c:ext>
          </c:extLst>
        </c:ser>
        <c:ser>
          <c:idx val="1"/>
          <c:order val="5"/>
          <c:tx>
            <c:strRef>
              <c:f>'データベース pH'!$A$27</c:f>
              <c:strCache>
                <c:ptCount val="1"/>
                <c:pt idx="0">
                  <c:v>フタル酸＋NaCl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00B0F0"/>
              </a:solidFill>
              <a:ln w="25400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00B0F0"/>
                </a:solidFill>
                <a:ln w="3810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3EA-48AF-A770-6F776C3E7ACD}"/>
              </c:ext>
            </c:extLst>
          </c:dPt>
          <c:xVal>
            <c:numRef>
              <c:f>'データベース pH'!$E$27</c:f>
              <c:numCache>
                <c:formatCode>General</c:formatCode>
                <c:ptCount val="1"/>
                <c:pt idx="0">
                  <c:v>2.73</c:v>
                </c:pt>
              </c:numCache>
            </c:numRef>
          </c:xVal>
          <c:yVal>
            <c:numRef>
              <c:f>'データベース pH'!$C$27</c:f>
              <c:numCache>
                <c:formatCode>General</c:formatCode>
                <c:ptCount val="1"/>
                <c:pt idx="0">
                  <c:v>9.1199999999999992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3EA-48AF-A770-6F776C3E7ACD}"/>
            </c:ext>
          </c:extLst>
        </c:ser>
        <c:ser>
          <c:idx val="3"/>
          <c:order val="6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3EA-48AF-A770-6F776C3E7ACD}"/>
              </c:ext>
            </c:extLst>
          </c:dPt>
          <c:xVal>
            <c:numRef>
              <c:f>'データベース pH'!$E$109:$E$111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2.5</c:v>
                </c:pt>
              </c:numCache>
            </c:numRef>
          </c:xVal>
          <c:yVal>
            <c:numRef>
              <c:f>'データベース pH'!$C$109:$C$111</c:f>
              <c:numCache>
                <c:formatCode>General</c:formatCode>
                <c:ptCount val="3"/>
                <c:pt idx="0">
                  <c:v>35.909999999999997</c:v>
                </c:pt>
                <c:pt idx="1">
                  <c:v>12.27</c:v>
                </c:pt>
                <c:pt idx="2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3EA-48AF-A770-6F776C3E7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1"/>
          <c:min val="1.6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2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563711130232453"/>
          <c:h val="0.364655206260448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78033178225300548"/>
          <c:h val="0.80659560385232121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pH'!$B$156:$B$159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</c:numCache>
            </c:numRef>
          </c:xVal>
          <c:yVal>
            <c:numRef>
              <c:f>'データベース pH'!$C$156:$C$159</c:f>
              <c:numCache>
                <c:formatCode>General</c:formatCode>
                <c:ptCount val="4"/>
                <c:pt idx="0">
                  <c:v>18.7</c:v>
                </c:pt>
                <c:pt idx="1">
                  <c:v>26.5</c:v>
                </c:pt>
                <c:pt idx="2">
                  <c:v>24.1</c:v>
                </c:pt>
                <c:pt idx="3">
                  <c:v>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0-4DB4-97B5-95B033166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scatterChart>
        <c:scatterStyle val="lineMarker"/>
        <c:varyColors val="0"/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'データベース pH'!$B$156:$B$159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</c:numCache>
            </c:numRef>
          </c:xVal>
          <c:yVal>
            <c:numRef>
              <c:f>'データベース pH'!$D$156:$D$159</c:f>
              <c:numCache>
                <c:formatCode>General</c:formatCode>
                <c:ptCount val="4"/>
                <c:pt idx="0">
                  <c:v>1.00057</c:v>
                </c:pt>
                <c:pt idx="1">
                  <c:v>1.4227141456582635</c:v>
                </c:pt>
                <c:pt idx="2">
                  <c:v>1.2885271708683472</c:v>
                </c:pt>
                <c:pt idx="3">
                  <c:v>1.1252868347338936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80-4DB4-97B5-95B033166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290751"/>
        <c:axId val="1120283551"/>
      </c:scatterChart>
      <c:valAx>
        <c:axId val="40384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230</a:t>
                </a:r>
                <a:r>
                  <a:rPr lang="en-US" altLang="ja-JP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ja-JP" altLang="en-US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℃ 保持時間</a:t>
                </a:r>
                <a:endParaRPr lang="ja-JP" altLang="en-US" sz="2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og glucose (%)</a:t>
                </a:r>
                <a:endParaRPr lang="ja-JP" altLang="en-US" sz="2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valAx>
        <c:axId val="112028355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20290751"/>
        <c:crosses val="max"/>
        <c:crossBetween val="midCat"/>
      </c:valAx>
      <c:valAx>
        <c:axId val="112029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0283551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9664491724298961"/>
          <c:y val="3.042405843847832E-2"/>
          <c:w val="0.58153556369594317"/>
          <c:h val="0.8729279322012459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89-4E31-ABAE-5117D438F7B6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89-4E31-ABAE-5117D438F7B6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89-4E31-ABAE-5117D438F7B6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pH'!$H$136:$H$152</c:f>
              <c:strCache>
                <c:ptCount val="17"/>
                <c:pt idx="0">
                  <c:v>3-ニトロフタル酸</c:v>
                </c:pt>
                <c:pt idx="1">
                  <c:v>マレイン酸</c:v>
                </c:pt>
                <c:pt idx="2">
                  <c:v>4-ニトロフタル酸</c:v>
                </c:pt>
                <c:pt idx="3">
                  <c:v>ピロメリット酸</c:v>
                </c:pt>
                <c:pt idx="4">
                  <c:v>フェニルマレイン酸</c:v>
                </c:pt>
                <c:pt idx="5">
                  <c:v>5-ニトロイソフタル酸</c:v>
                </c:pt>
                <c:pt idx="6">
                  <c:v>フタル酸</c:v>
                </c:pt>
                <c:pt idx="7">
                  <c:v>4-メトキシフタル酸</c:v>
                </c:pt>
                <c:pt idx="8">
                  <c:v>3-メトキシフタル酸</c:v>
                </c:pt>
                <c:pt idx="9">
                  <c:v>フマル酸</c:v>
                </c:pt>
                <c:pt idx="10">
                  <c:v>リンゴ酸</c:v>
                </c:pt>
                <c:pt idx="11">
                  <c:v>安息香酸</c:v>
                </c:pt>
                <c:pt idx="12">
                  <c:v>TE</c:v>
                </c:pt>
                <c:pt idx="13">
                  <c:v>コハク酸</c:v>
                </c:pt>
                <c:pt idx="14">
                  <c:v>1,2-シクロヘキサンジカルボン酸</c:v>
                </c:pt>
                <c:pt idx="15">
                  <c:v>アントラキノン-2,3-ジカルボン酸</c:v>
                </c:pt>
                <c:pt idx="16">
                  <c:v>4-N</c:v>
                </c:pt>
              </c:strCache>
            </c:strRef>
          </c:cat>
          <c:val>
            <c:numRef>
              <c:f>'データベース pH'!$J$115:$J$123</c:f>
              <c:numCache>
                <c:formatCode>General</c:formatCode>
                <c:ptCount val="9"/>
                <c:pt idx="0">
                  <c:v>12.49</c:v>
                </c:pt>
                <c:pt idx="1">
                  <c:v>18.649999999999999</c:v>
                </c:pt>
                <c:pt idx="2">
                  <c:v>15.65</c:v>
                </c:pt>
                <c:pt idx="3">
                  <c:v>11.53</c:v>
                </c:pt>
                <c:pt idx="4">
                  <c:v>12.66</c:v>
                </c:pt>
                <c:pt idx="5">
                  <c:v>10.76</c:v>
                </c:pt>
                <c:pt idx="6">
                  <c:v>13.32</c:v>
                </c:pt>
                <c:pt idx="7">
                  <c:v>13.29</c:v>
                </c:pt>
                <c:pt idx="8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89-4E31-ABAE-5117D438F7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'データベース pH'!$H$136:$H$152</c15:sqref>
                        </c15:formulaRef>
                      </c:ext>
                    </c:extLst>
                    <c:strCache>
                      <c:ptCount val="17"/>
                      <c:pt idx="0">
                        <c:v>3-ニトロフタル酸</c:v>
                      </c:pt>
                      <c:pt idx="1">
                        <c:v>マレイン酸</c:v>
                      </c:pt>
                      <c:pt idx="2">
                        <c:v>4-ニトロフタル酸</c:v>
                      </c:pt>
                      <c:pt idx="3">
                        <c:v>ピロメリット酸</c:v>
                      </c:pt>
                      <c:pt idx="4">
                        <c:v>フェニルマレイン酸</c:v>
                      </c:pt>
                      <c:pt idx="5">
                        <c:v>5-ニトロイソフタル酸</c:v>
                      </c:pt>
                      <c:pt idx="6">
                        <c:v>フタル酸</c:v>
                      </c:pt>
                      <c:pt idx="7">
                        <c:v>4-メトキシフタル酸</c:v>
                      </c:pt>
                      <c:pt idx="8">
                        <c:v>3-メトキシフタル酸</c:v>
                      </c:pt>
                      <c:pt idx="9">
                        <c:v>フマル酸</c:v>
                      </c:pt>
                      <c:pt idx="10">
                        <c:v>リンゴ酸</c:v>
                      </c:pt>
                      <c:pt idx="11">
                        <c:v>安息香酸</c:v>
                      </c:pt>
                      <c:pt idx="12">
                        <c:v>TE</c:v>
                      </c:pt>
                      <c:pt idx="13">
                        <c:v>コハク酸</c:v>
                      </c:pt>
                      <c:pt idx="14">
                        <c:v>1,2-シクロヘキサンジカルボン酸</c:v>
                      </c:pt>
                      <c:pt idx="15">
                        <c:v>アントラキノン-2,3-ジカルボン酸</c:v>
                      </c:pt>
                      <c:pt idx="16">
                        <c:v>4-N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'データベース pH'!$M$115:$M$123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089-4E31-ABAE-5117D438F7B6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5697802197802193"/>
              <c:y val="0.949397590361445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55474807152017"/>
          <c:y val="3.6873310372921526E-2"/>
          <c:w val="0.86288059501002523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1B-4B3F-8866-6840805B53CF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31B-4B3F-8866-6840805B53CF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1B-4B3F-8866-6840805B53CF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1B-4B3F-8866-6840805B53CF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1B-4B3F-8866-6840805B53CF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1B-4B3F-8866-6840805B53CF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31B-4B3F-8866-6840805B53CF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31B-4B3F-8866-6840805B53CF}"/>
            </c:ext>
          </c:extLst>
        </c:ser>
        <c:ser>
          <c:idx val="6"/>
          <c:order val="7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31B-4B3F-8866-6840805B53CF}"/>
            </c:ext>
          </c:extLst>
        </c:ser>
        <c:ser>
          <c:idx val="12"/>
          <c:order val="8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31B-4B3F-8866-6840805B53CF}"/>
            </c:ext>
          </c:extLst>
        </c:ser>
        <c:ser>
          <c:idx val="4"/>
          <c:order val="9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31B-4B3F-8866-6840805B53CF}"/>
            </c:ext>
          </c:extLst>
        </c:ser>
        <c:ser>
          <c:idx val="9"/>
          <c:order val="10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31B-4B3F-8866-6840805B53CF}"/>
            </c:ext>
          </c:extLst>
        </c:ser>
        <c:ser>
          <c:idx val="3"/>
          <c:order val="11"/>
          <c:tx>
            <c:strRef>
              <c:f>'データベース pH'!$A$14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31B-4B3F-8866-6840805B53CF}"/>
            </c:ext>
          </c:extLst>
        </c:ser>
        <c:ser>
          <c:idx val="10"/>
          <c:order val="12"/>
          <c:tx>
            <c:strRef>
              <c:f>'データベース pH'!$A$18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31B-4B3F-8866-6840805B53CF}"/>
            </c:ext>
          </c:extLst>
        </c:ser>
        <c:ser>
          <c:idx val="11"/>
          <c:order val="13"/>
          <c:tx>
            <c:strRef>
              <c:f>'データベース pH'!$A$15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31B-4B3F-8866-6840805B53CF}"/>
            </c:ext>
          </c:extLst>
        </c:ser>
        <c:ser>
          <c:idx val="13"/>
          <c:order val="14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D7D31">
                  <a:lumMod val="40000"/>
                  <a:lumOff val="60000"/>
                </a:srgbClr>
              </a:solidFill>
              <a:ln w="38100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0"/>
            <c:marker>
              <c:symbol val="x"/>
              <c:size val="10"/>
              <c:spPr>
                <a:solidFill>
                  <a:srgbClr val="ED7D31">
                    <a:lumMod val="60000"/>
                    <a:lumOff val="40000"/>
                  </a:srgbClr>
                </a:solidFill>
                <a:ln w="38100">
                  <a:solidFill>
                    <a:srgbClr val="70AD47">
                      <a:lumMod val="50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131B-4B3F-8866-6840805B53CF}"/>
              </c:ext>
            </c:extLst>
          </c:dPt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pH'!$C$20:$C$21</c:f>
              <c:numCache>
                <c:formatCode>General</c:formatCode>
                <c:ptCount val="2"/>
                <c:pt idx="0">
                  <c:v>8.7356475000000007</c:v>
                </c:pt>
                <c:pt idx="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31B-4B3F-8866-6840805B53CF}"/>
            </c:ext>
          </c:extLst>
        </c:ser>
        <c:ser>
          <c:idx val="14"/>
          <c:order val="15"/>
          <c:tx>
            <c:strRef>
              <c:f>'データベース pH'!$A$29</c:f>
              <c:strCache>
                <c:ptCount val="1"/>
                <c:pt idx="0">
                  <c:v>スルホン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noFill/>
              <a:ln w="41275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pH'!$E$29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'データベース pH'!$C$29</c:f>
              <c:numCache>
                <c:formatCode>General</c:formatCode>
                <c:ptCount val="1"/>
                <c:pt idx="0">
                  <c:v>30.65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31B-4B3F-8866-6840805B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567287210917311"/>
              <c:y val="0.92445074415308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76243813071054"/>
          <c:y val="2.2391924887133752E-2"/>
          <c:w val="0.79260554653756399"/>
          <c:h val="0.738286100148137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B9BD5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AF-492E-A898-6E5514AF5B68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AF-492E-A898-6E5514AF5B68}"/>
              </c:ext>
            </c:extLst>
          </c:dPt>
          <c:dPt>
            <c:idx val="4"/>
            <c:invertIfNegative val="0"/>
            <c:bubble3D val="0"/>
            <c:spPr>
              <a:solidFill>
                <a:srgbClr val="5B9BD5">
                  <a:lumMod val="60000"/>
                  <a:lumOff val="4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AF-492E-A898-6E5514AF5B68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7AF-492E-A898-6E5514AF5B68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pH'!$H$115:$H$123</c:f>
              <c:strCache>
                <c:ptCount val="9"/>
                <c:pt idx="0">
                  <c:v>3-ニトロフタル酸</c:v>
                </c:pt>
                <c:pt idx="1">
                  <c:v>マレイン酸</c:v>
                </c:pt>
                <c:pt idx="2">
                  <c:v>4-ニトロフタル酸</c:v>
                </c:pt>
                <c:pt idx="3">
                  <c:v>ピロメリット酸</c:v>
                </c:pt>
                <c:pt idx="4">
                  <c:v>フェニル
マレイン酸</c:v>
                </c:pt>
                <c:pt idx="5">
                  <c:v>5-ニトロ
イソフタル酸</c:v>
                </c:pt>
                <c:pt idx="6">
                  <c:v>フタル酸</c:v>
                </c:pt>
                <c:pt idx="7">
                  <c:v>4-メトキシ
フタル酸</c:v>
                </c:pt>
                <c:pt idx="8">
                  <c:v>3メト</c:v>
                </c:pt>
              </c:strCache>
            </c:strRef>
          </c:cat>
          <c:val>
            <c:numRef>
              <c:f>'データベース pH'!$J$115:$J$123</c:f>
              <c:numCache>
                <c:formatCode>General</c:formatCode>
                <c:ptCount val="9"/>
                <c:pt idx="0">
                  <c:v>12.49</c:v>
                </c:pt>
                <c:pt idx="1">
                  <c:v>18.649999999999999</c:v>
                </c:pt>
                <c:pt idx="2">
                  <c:v>15.65</c:v>
                </c:pt>
                <c:pt idx="3">
                  <c:v>11.53</c:v>
                </c:pt>
                <c:pt idx="4">
                  <c:v>12.66</c:v>
                </c:pt>
                <c:pt idx="5">
                  <c:v>10.76</c:v>
                </c:pt>
                <c:pt idx="6">
                  <c:v>13.32</c:v>
                </c:pt>
                <c:pt idx="7">
                  <c:v>13.29</c:v>
                </c:pt>
                <c:pt idx="8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AF-492E-A898-6E5514AF5B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8100">
                <a:solidFill>
                  <a:sysClr val="windowText" lastClr="000000"/>
                </a:solidFill>
              </a:ln>
              <a:effectLst/>
            </c:spPr>
          </c:marker>
          <c:yVal>
            <c:numRef>
              <c:f>'データベース pH'!$M$115:$M$123</c:f>
              <c:numCache>
                <c:formatCode>General</c:formatCode>
                <c:ptCount val="9"/>
                <c:pt idx="0">
                  <c:v>0.6606757703081233</c:v>
                </c:pt>
                <c:pt idx="1">
                  <c:v>1.0058785714285716</c:v>
                </c:pt>
                <c:pt idx="2">
                  <c:v>0.83770658263305331</c:v>
                </c:pt>
                <c:pt idx="3">
                  <c:v>0.60692521008403366</c:v>
                </c:pt>
                <c:pt idx="4">
                  <c:v>0.67108999999999996</c:v>
                </c:pt>
                <c:pt idx="5">
                  <c:v>0.56389915966386561</c:v>
                </c:pt>
                <c:pt idx="6">
                  <c:v>0.70725252100840341</c:v>
                </c:pt>
                <c:pt idx="7">
                  <c:v>0.7054936974789916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7AF-492E-A898-6E5514AF5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valAx>
        <c:axId val="1548538256"/>
        <c:scaling>
          <c:orientation val="minMax"/>
          <c:max val="1.100000000000000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38100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E1-4A1C-8B69-1274FB1065DC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1E1-4A1C-8B69-1274FB1065DC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E1-4A1C-8B69-1274FB1065DC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E1-4A1C-8B69-1274FB1065DC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E1-4A1C-8B69-1274FB1065DC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E1-4A1C-8B69-1274FB1065DC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1E1-4A1C-8B69-1274FB1065DC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1E1-4A1C-8B69-1274FB1065DC}"/>
            </c:ext>
          </c:extLst>
        </c:ser>
        <c:ser>
          <c:idx val="3"/>
          <c:order val="7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1E1-4A1C-8B69-1274FB1065DC}"/>
            </c:ext>
          </c:extLst>
        </c:ser>
        <c:ser>
          <c:idx val="6"/>
          <c:order val="8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FF00"/>
              </a:solidFill>
              <a:ln w="920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1E1-4A1C-8B69-1274FB1065DC}"/>
            </c:ext>
          </c:extLst>
        </c:ser>
        <c:ser>
          <c:idx val="12"/>
          <c:order val="9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1E1-4A1C-8B69-1274FB1065DC}"/>
            </c:ext>
          </c:extLst>
        </c:ser>
        <c:ser>
          <c:idx val="4"/>
          <c:order val="10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1E1-4A1C-8B69-1274FB1065DC}"/>
            </c:ext>
          </c:extLst>
        </c:ser>
        <c:ser>
          <c:idx val="9"/>
          <c:order val="11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1E1-4A1C-8B69-1274FB1065DC}"/>
            </c:ext>
          </c:extLst>
        </c:ser>
        <c:ser>
          <c:idx val="10"/>
          <c:order val="12"/>
          <c:tx>
            <c:strRef>
              <c:f>'データベース pH'!$A$22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rgbClr val="FFC000"/>
                </a:solidFill>
              </a:ln>
              <a:effectLst/>
            </c:spPr>
          </c:marker>
          <c:xVal>
            <c:numRef>
              <c:f>'データベース pH'!$E$22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'データベース pH'!$C$22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1E1-4A1C-8B69-1274FB1065DC}"/>
            </c:ext>
          </c:extLst>
        </c:ser>
        <c:ser>
          <c:idx val="11"/>
          <c:order val="13"/>
          <c:tx>
            <c:strRef>
              <c:f>'データベース pH'!$A$28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'データベース pH'!$E$28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'データベース pH'!$C$28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1E1-4A1C-8B69-1274FB106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119174601071381"/>
          <c:h val="0.85418235913925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4855029796089514"/>
          <c:h val="0.83070992111987552"/>
        </c:manualLayout>
      </c:layout>
      <c:scatterChart>
        <c:scatterStyle val="lineMarker"/>
        <c:varyColors val="0"/>
        <c:ser>
          <c:idx val="7"/>
          <c:order val="0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7B9-4CAE-B056-F73655CA156E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B9-4CAE-B056-F73655CA156E}"/>
            </c:ext>
          </c:extLst>
        </c:ser>
        <c:ser>
          <c:idx val="2"/>
          <c:order val="1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B9-4CAE-B056-F73655CA156E}"/>
            </c:ext>
          </c:extLst>
        </c:ser>
        <c:ser>
          <c:idx val="8"/>
          <c:order val="2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B9-4CAE-B056-F73655CA156E}"/>
            </c:ext>
          </c:extLst>
        </c:ser>
        <c:ser>
          <c:idx val="15"/>
          <c:order val="3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B9-4CAE-B056-F73655CA1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5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177213236033237"/>
          <c:y val="4.5222895461757813E-3"/>
          <c:w val="0.21255731998800501"/>
          <c:h val="0.58480331587324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78475558542618129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4-420F-9F11-D9F0FB7F51A1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674-420F-9F11-D9F0FB7F51A1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74-420F-9F11-D9F0FB7F51A1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74-420F-9F11-D9F0FB7F51A1}"/>
            </c:ext>
          </c:extLst>
        </c:ser>
        <c:ser>
          <c:idx val="15"/>
          <c:order val="3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74-420F-9F11-D9F0FB7F5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5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115306176952896"/>
          <c:y val="6.5573245118950546E-2"/>
          <c:w val="0.26264496261813813"/>
          <c:h val="0.22226653237976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638738068384028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72-48CD-808C-0309DA7F717D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272-48CD-808C-0309DA7F717D}"/>
              </c:ext>
            </c:extLst>
          </c:dPt>
          <c:xVal>
            <c:numRef>
              <c:f>'データベース pH'!$B$10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72-48CD-808C-0309DA7F717D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72-48CD-808C-0309DA7F717D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pH'!$B$11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72-48CD-808C-0309DA7F717D}"/>
            </c:ext>
          </c:extLst>
        </c:ser>
        <c:ser>
          <c:idx val="15"/>
          <c:order val="4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pH'!$B$12</c:f>
              <c:numCache>
                <c:formatCode>General</c:formatCode>
                <c:ptCount val="1"/>
                <c:pt idx="0">
                  <c:v>2.81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72-48CD-808C-0309DA7F717D}"/>
            </c:ext>
          </c:extLst>
        </c:ser>
        <c:ser>
          <c:idx val="1"/>
          <c:order val="5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272-48CD-808C-0309DA7F717D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FF00"/>
              </a:solidFill>
              <a:ln w="698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272-48CD-808C-0309DA7F717D}"/>
            </c:ext>
          </c:extLst>
        </c:ser>
        <c:ser>
          <c:idx val="4"/>
          <c:order val="7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272-48CD-808C-0309DA7F717D}"/>
            </c:ext>
          </c:extLst>
        </c:ser>
        <c:ser>
          <c:idx val="9"/>
          <c:order val="8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272-48CD-808C-0309DA7F717D}"/>
            </c:ext>
          </c:extLst>
        </c:ser>
        <c:ser>
          <c:idx val="3"/>
          <c:order val="9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1750">
                <a:solidFill>
                  <a:srgbClr val="002060"/>
                </a:solidFill>
              </a:ln>
              <a:effectLst/>
            </c:spPr>
          </c:marker>
          <c:xVal>
            <c:numRef>
              <c:f>'データベース pH'!$B$21</c:f>
              <c:numCache>
                <c:formatCode>General</c:formatCode>
                <c:ptCount val="1"/>
                <c:pt idx="0">
                  <c:v>3.4</c:v>
                </c:pt>
              </c:numCache>
            </c:numRef>
          </c:xVal>
          <c:yVal>
            <c:numRef>
              <c:f>'データベース pH'!$C$21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272-48CD-808C-0309DA7F717D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pH'!$B$22</c:f>
              <c:numCache>
                <c:formatCode>General</c:formatCode>
                <c:ptCount val="1"/>
                <c:pt idx="0">
                  <c:v>2.38</c:v>
                </c:pt>
              </c:numCache>
            </c:numRef>
          </c:xVal>
          <c:yVal>
            <c:numRef>
              <c:f>'データベース pH'!$C$22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272-48CD-808C-0309DA7F717D}"/>
            </c:ext>
          </c:extLst>
        </c:ser>
        <c:ser>
          <c:idx val="5"/>
          <c:order val="11"/>
          <c:tx>
            <c:strRef>
              <c:f>'データベース pH'!$A$23</c:f>
              <c:strCache>
                <c:ptCount val="1"/>
                <c:pt idx="0">
                  <c:v>アントラキノン-
2,3-ジカルボン酸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002060">
                  <a:alpha val="88000"/>
                </a:srgbClr>
              </a:solidFill>
              <a:ln w="53975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pH'!$B$23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'データベース pH'!$C$23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272-48CD-808C-0309DA7F717D}"/>
            </c:ext>
          </c:extLst>
        </c:ser>
        <c:ser>
          <c:idx val="11"/>
          <c:order val="12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'データベース pH'!$C$5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272-48CD-808C-0309DA7F717D}"/>
            </c:ext>
          </c:extLst>
        </c:ser>
        <c:ser>
          <c:idx val="12"/>
          <c:order val="13"/>
          <c:tx>
            <c:strRef>
              <c:f>'データベース pH'!$A$28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190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star"/>
              <c:size val="15"/>
              <c:spPr>
                <a:solidFill>
                  <a:schemeClr val="accent6"/>
                </a:solidFill>
                <a:ln w="190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2272-48CD-808C-0309DA7F717D}"/>
              </c:ext>
            </c:extLst>
          </c:dPt>
          <c:xVal>
            <c:numRef>
              <c:f>'データベース pH'!$B$28</c:f>
              <c:numCache>
                <c:formatCode>General</c:formatCode>
                <c:ptCount val="1"/>
                <c:pt idx="0">
                  <c:v>3.13</c:v>
                </c:pt>
              </c:numCache>
            </c:numRef>
          </c:xVal>
          <c:yVal>
            <c:numRef>
              <c:f>'データベース pH'!$C$28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272-48CD-808C-0309DA7F7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5"/>
          <c:min val="1.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50486677120001"/>
          <c:y val="0"/>
          <c:w val="0.22449507924862896"/>
          <c:h val="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66-4306-8A4A-0EA2DC2D4072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66-4306-8A4A-0EA2DC2D4072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pH'!$K$50:$K$54</c:f>
              <c:numCache>
                <c:formatCode>General</c:formatCode>
                <c:ptCount val="5"/>
                <c:pt idx="0">
                  <c:v>17.690000000000001</c:v>
                </c:pt>
                <c:pt idx="1">
                  <c:v>24.85</c:v>
                </c:pt>
                <c:pt idx="2">
                  <c:v>30.73</c:v>
                </c:pt>
                <c:pt idx="3">
                  <c:v>37.79</c:v>
                </c:pt>
                <c:pt idx="4">
                  <c:v>43.95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66-4306-8A4A-0EA2DC2D4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COOH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59806825336092195"/>
          <c:y val="0.42287074701847671"/>
          <c:w val="0.2666234921628669"/>
          <c:h val="0.347921320014447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6-4FFE-964F-8B499D8983BE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6C6-4FFE-964F-8B499D8983BE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6-4FFE-964F-8B499D8983BE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C6-4FFE-964F-8B499D8983BE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C6-4FFE-964F-8B499D8983BE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6-4FFE-964F-8B499D8983BE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6-4FFE-964F-8B499D8983BE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6-4FFE-964F-8B499D8983BE}"/>
            </c:ext>
          </c:extLst>
        </c:ser>
        <c:ser>
          <c:idx val="3"/>
          <c:order val="7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6C6-4FFE-964F-8B499D8983BE}"/>
            </c:ext>
          </c:extLst>
        </c:ser>
        <c:ser>
          <c:idx val="6"/>
          <c:order val="8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FF00"/>
              </a:solidFill>
              <a:ln w="920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6-4FFE-964F-8B499D8983BE}"/>
            </c:ext>
          </c:extLst>
        </c:ser>
        <c:ser>
          <c:idx val="12"/>
          <c:order val="9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6-4FFE-964F-8B499D8983BE}"/>
            </c:ext>
          </c:extLst>
        </c:ser>
        <c:ser>
          <c:idx val="4"/>
          <c:order val="10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6-4FFE-964F-8B499D8983BE}"/>
            </c:ext>
          </c:extLst>
        </c:ser>
        <c:ser>
          <c:idx val="9"/>
          <c:order val="11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6C6-4FFE-964F-8B499D8983BE}"/>
            </c:ext>
          </c:extLst>
        </c:ser>
        <c:ser>
          <c:idx val="10"/>
          <c:order val="12"/>
          <c:tx>
            <c:strRef>
              <c:f>'データベース pH'!$A$22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rgbClr val="FFC000"/>
                </a:solidFill>
              </a:ln>
              <a:effectLst/>
            </c:spPr>
          </c:marker>
          <c:xVal>
            <c:numRef>
              <c:f>'データベース pH'!$E$22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'データベース pH'!$C$22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6C6-4FFE-964F-8B499D8983BE}"/>
            </c:ext>
          </c:extLst>
        </c:ser>
        <c:ser>
          <c:idx val="11"/>
          <c:order val="13"/>
          <c:tx>
            <c:strRef>
              <c:f>'データベース pH'!$A$28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'データベース pH'!$E$28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'データベース pH'!$C$28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6C6-4FFE-964F-8B499D8983BE}"/>
            </c:ext>
          </c:extLst>
        </c:ser>
        <c:ser>
          <c:idx val="13"/>
          <c:order val="14"/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6C6-4FFE-964F-8B499D8983BE}"/>
            </c:ext>
          </c:extLst>
        </c:ser>
        <c:ser>
          <c:idx val="14"/>
          <c:order val="15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6C6-4FFE-964F-8B499D8983BE}"/>
            </c:ext>
          </c:extLst>
        </c:ser>
        <c:ser>
          <c:idx val="16"/>
          <c:order val="16"/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6C6-4FFE-964F-8B499D898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4"/>
          <c:min val="1.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8298310887021243"/>
        </c:manualLayout>
      </c:layout>
      <c:scatterChart>
        <c:scatterStyle val="lineMarker"/>
        <c:varyColors val="0"/>
        <c:ser>
          <c:idx val="0"/>
          <c:order val="0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2"/>
            <c:spPr>
              <a:solidFill>
                <a:schemeClr val="tx1"/>
              </a:solidFill>
              <a:ln w="508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'データベース pH'!$E$72:$E$74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03-49FD-971E-408548D04E8F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175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'データベース pH'!$G$72:$G$76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03-49FD-971E-408548D04E8F}"/>
            </c:ext>
          </c:extLst>
        </c:ser>
        <c:ser>
          <c:idx val="2"/>
          <c:order val="2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B0F0"/>
              </a:solidFill>
              <a:ln w="31750">
                <a:solidFill>
                  <a:srgbClr val="00B0F0"/>
                </a:solidFill>
              </a:ln>
              <a:effectLst/>
            </c:spPr>
          </c:marker>
          <c:dPt>
            <c:idx val="4"/>
            <c:marker>
              <c:symbol val="triangle"/>
              <c:size val="7"/>
              <c:spPr>
                <a:solidFill>
                  <a:srgbClr val="00B0F0"/>
                </a:solidFill>
                <a:ln w="1905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903-49FD-971E-408548D04E8F}"/>
              </c:ext>
            </c:extLst>
          </c:dPt>
          <c:xVal>
            <c:numRef>
              <c:f>'データベース pH'!$B$72:$B$76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'データベース pH'!$C$72:$C$76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03-49FD-971E-408548D04E8F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pH'!$E$29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'データベース pH'!$C$29</c:f>
              <c:numCache>
                <c:formatCode>General</c:formatCode>
                <c:ptCount val="1"/>
                <c:pt idx="0">
                  <c:v>30.65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03-49FD-971E-408548D04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2"/>
          <c:min val="1.5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2796165340711576"/>
              <c:y val="0.90713054452283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2772141494979203"/>
          <c:y val="0.64223853599600045"/>
          <c:w val="0.32639715614718445"/>
          <c:h val="0.35776139143946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F4-4282-9D94-270A3C42371A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2060"/>
              </a:solidFill>
              <a:ln w="25400">
                <a:solidFill>
                  <a:srgbClr val="00206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F4-4282-9D94-270A3C42371A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pH'!$K$50:$K$54</c:f>
              <c:numCache>
                <c:formatCode>General</c:formatCode>
                <c:ptCount val="5"/>
                <c:pt idx="0">
                  <c:v>17.690000000000001</c:v>
                </c:pt>
                <c:pt idx="1">
                  <c:v>24.85</c:v>
                </c:pt>
                <c:pt idx="2">
                  <c:v>30.73</c:v>
                </c:pt>
                <c:pt idx="3">
                  <c:v>37.79</c:v>
                </c:pt>
                <c:pt idx="4">
                  <c:v>43.95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F4-4282-9D94-270A3C423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COOH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6701369212825622"/>
              <c:y val="0.903798638961867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363641625690612E-2"/>
              <c:y val="0.214484775557019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9951326524410529"/>
          <c:y val="0.53967358889947903"/>
          <c:w val="0.25045105013501118"/>
          <c:h val="0.249618190571417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440042280373346"/>
          <c:y val="3.042405843847832E-2"/>
          <c:w val="0.61828139793267134"/>
          <c:h val="0.8573617540407424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6C-4357-9F6B-E37BF417747F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6C-4357-9F6B-E37BF417747F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6C-4357-9F6B-E37BF417747F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46C-4357-9F6B-E37BF417747F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pH'!$H$135:$H$157</c:f>
              <c:strCache>
                <c:ptCount val="23"/>
                <c:pt idx="0">
                  <c:v>blank</c:v>
                </c:pt>
                <c:pt idx="1">
                  <c:v>3-ニトロフタル酸</c:v>
                </c:pt>
                <c:pt idx="2">
                  <c:v>マレイン酸</c:v>
                </c:pt>
                <c:pt idx="3">
                  <c:v>4-ニトロフタル酸</c:v>
                </c:pt>
                <c:pt idx="4">
                  <c:v>ピロメリット酸</c:v>
                </c:pt>
                <c:pt idx="5">
                  <c:v>フェニルマレイン酸</c:v>
                </c:pt>
                <c:pt idx="6">
                  <c:v>5-ニトロイソフタル酸</c:v>
                </c:pt>
                <c:pt idx="7">
                  <c:v>フタル酸</c:v>
                </c:pt>
                <c:pt idx="8">
                  <c:v>4-メトキシフタル酸</c:v>
                </c:pt>
                <c:pt idx="9">
                  <c:v>3-メトキシフタル酸</c:v>
                </c:pt>
                <c:pt idx="10">
                  <c:v>フマル酸</c:v>
                </c:pt>
                <c:pt idx="11">
                  <c:v>リンゴ酸</c:v>
                </c:pt>
                <c:pt idx="12">
                  <c:v>安息香酸</c:v>
                </c:pt>
                <c:pt idx="13">
                  <c:v>TE</c:v>
                </c:pt>
                <c:pt idx="14">
                  <c:v>コハク酸</c:v>
                </c:pt>
                <c:pt idx="15">
                  <c:v>1,2-シクロヘキサンジカルボン酸</c:v>
                </c:pt>
                <c:pt idx="16">
                  <c:v>アントラキノン-2,3-ジカルボン酸</c:v>
                </c:pt>
                <c:pt idx="17">
                  <c:v>4-N</c:v>
                </c:pt>
                <c:pt idx="18">
                  <c:v>4-NE</c:v>
                </c:pt>
                <c:pt idx="19">
                  <c:v>DE</c:v>
                </c:pt>
                <c:pt idx="20">
                  <c:v>2,3-ナフタレンジカルボン酸</c:v>
                </c:pt>
                <c:pt idx="21">
                  <c:v>HBPEK</c:v>
                </c:pt>
                <c:pt idx="22">
                  <c:v>EE</c:v>
                </c:pt>
              </c:strCache>
            </c:strRef>
          </c:cat>
          <c:val>
            <c:numRef>
              <c:f>'データベース pH'!$J$114:$J$136</c:f>
              <c:numCache>
                <c:formatCode>General</c:formatCode>
                <c:ptCount val="23"/>
                <c:pt idx="0">
                  <c:v>0.7</c:v>
                </c:pt>
                <c:pt idx="1">
                  <c:v>12.49</c:v>
                </c:pt>
                <c:pt idx="2">
                  <c:v>18.649999999999999</c:v>
                </c:pt>
                <c:pt idx="3">
                  <c:v>15.65</c:v>
                </c:pt>
                <c:pt idx="4">
                  <c:v>11.53</c:v>
                </c:pt>
                <c:pt idx="5">
                  <c:v>12.66</c:v>
                </c:pt>
                <c:pt idx="6">
                  <c:v>10.76</c:v>
                </c:pt>
                <c:pt idx="7">
                  <c:v>13.32</c:v>
                </c:pt>
                <c:pt idx="8">
                  <c:v>13.29</c:v>
                </c:pt>
                <c:pt idx="9">
                  <c:v>8.9499999999999993</c:v>
                </c:pt>
                <c:pt idx="10">
                  <c:v>10.52</c:v>
                </c:pt>
                <c:pt idx="11">
                  <c:v>9.27</c:v>
                </c:pt>
                <c:pt idx="12">
                  <c:v>3.45</c:v>
                </c:pt>
                <c:pt idx="13">
                  <c:v>4.18</c:v>
                </c:pt>
                <c:pt idx="14">
                  <c:v>3.3</c:v>
                </c:pt>
                <c:pt idx="15">
                  <c:v>6.8</c:v>
                </c:pt>
                <c:pt idx="16">
                  <c:v>17.7</c:v>
                </c:pt>
                <c:pt idx="17">
                  <c:v>12.97</c:v>
                </c:pt>
                <c:pt idx="18">
                  <c:v>12.8</c:v>
                </c:pt>
                <c:pt idx="19">
                  <c:v>11.82</c:v>
                </c:pt>
                <c:pt idx="20">
                  <c:v>11.8</c:v>
                </c:pt>
                <c:pt idx="21">
                  <c:v>9.75</c:v>
                </c:pt>
                <c:pt idx="22">
                  <c:v>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6C-4357-9F6B-E37BF41774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'データベース pH'!$H$135:$H$157</c15:sqref>
                        </c15:formulaRef>
                      </c:ext>
                    </c:extLst>
                    <c:strCache>
                      <c:ptCount val="23"/>
                      <c:pt idx="0">
                        <c:v>blank</c:v>
                      </c:pt>
                      <c:pt idx="1">
                        <c:v>3-ニトロフタル酸</c:v>
                      </c:pt>
                      <c:pt idx="2">
                        <c:v>マレイン酸</c:v>
                      </c:pt>
                      <c:pt idx="3">
                        <c:v>4-ニトロフタル酸</c:v>
                      </c:pt>
                      <c:pt idx="4">
                        <c:v>ピロメリット酸</c:v>
                      </c:pt>
                      <c:pt idx="5">
                        <c:v>フェニルマレイン酸</c:v>
                      </c:pt>
                      <c:pt idx="6">
                        <c:v>5-ニトロイソフタル酸</c:v>
                      </c:pt>
                      <c:pt idx="7">
                        <c:v>フタル酸</c:v>
                      </c:pt>
                      <c:pt idx="8">
                        <c:v>4-メトキシフタル酸</c:v>
                      </c:pt>
                      <c:pt idx="9">
                        <c:v>3-メトキシフタル酸</c:v>
                      </c:pt>
                      <c:pt idx="10">
                        <c:v>フマル酸</c:v>
                      </c:pt>
                      <c:pt idx="11">
                        <c:v>リンゴ酸</c:v>
                      </c:pt>
                      <c:pt idx="12">
                        <c:v>安息香酸</c:v>
                      </c:pt>
                      <c:pt idx="13">
                        <c:v>TE</c:v>
                      </c:pt>
                      <c:pt idx="14">
                        <c:v>コハク酸</c:v>
                      </c:pt>
                      <c:pt idx="15">
                        <c:v>1,2-シクロヘキサンジカルボン酸</c:v>
                      </c:pt>
                      <c:pt idx="16">
                        <c:v>アントラキノン-2,3-ジカルボン酸</c:v>
                      </c:pt>
                      <c:pt idx="17">
                        <c:v>4-N</c:v>
                      </c:pt>
                      <c:pt idx="18">
                        <c:v>4-NE</c:v>
                      </c:pt>
                      <c:pt idx="19">
                        <c:v>DE</c:v>
                      </c:pt>
                      <c:pt idx="20">
                        <c:v>2,3-ナフタレンジカルボン酸</c:v>
                      </c:pt>
                      <c:pt idx="21">
                        <c:v>HBPEK</c:v>
                      </c:pt>
                      <c:pt idx="22">
                        <c:v>EE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'データベース pH'!$M$115:$M$123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246C-4357-9F6B-E37BF417747F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4854343834473773"/>
              <c:y val="0.93747799539224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440042280373346"/>
          <c:y val="3.042405843847832E-2"/>
          <c:w val="0.61828139793267134"/>
          <c:h val="0.8573617540407424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8C-4A6A-8762-05ECD9FDFCBC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8C-4A6A-8762-05ECD9FDFCBC}"/>
              </c:ext>
            </c:extLst>
          </c:dPt>
          <c:dPt>
            <c:idx val="7"/>
            <c:invertIfNegative val="0"/>
            <c:bubble3D val="0"/>
            <c:spPr>
              <a:solidFill>
                <a:srgbClr val="20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8C-4A6A-8762-05ECD9FDFCBC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8C-4A6A-8762-05ECD9FDFCBC}"/>
              </c:ext>
            </c:extLst>
          </c:dPt>
          <c:dPt>
            <c:idx val="9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68C-4A6A-8762-05ECD9FDFCBC}"/>
              </c:ext>
            </c:extLst>
          </c:dPt>
          <c:dPt>
            <c:idx val="16"/>
            <c:invertIfNegative val="0"/>
            <c:bubble3D val="0"/>
            <c:spPr>
              <a:solidFill>
                <a:srgbClr val="20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68C-4A6A-8762-05ECD9FDFCBC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68C-4A6A-8762-05ECD9FDFCBC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68C-4A6A-8762-05ECD9FDFCBC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pH'!$H$135:$H$158</c:f>
              <c:strCache>
                <c:ptCount val="24"/>
                <c:pt idx="0">
                  <c:v>blank</c:v>
                </c:pt>
                <c:pt idx="1">
                  <c:v>3-ニトロフタル酸</c:v>
                </c:pt>
                <c:pt idx="2">
                  <c:v>マレイン酸</c:v>
                </c:pt>
                <c:pt idx="3">
                  <c:v>4-ニトロフタル酸</c:v>
                </c:pt>
                <c:pt idx="4">
                  <c:v>ピロメリット酸</c:v>
                </c:pt>
                <c:pt idx="5">
                  <c:v>フェニルマレイン酸</c:v>
                </c:pt>
                <c:pt idx="6">
                  <c:v>5-ニトロイソフタル酸</c:v>
                </c:pt>
                <c:pt idx="7">
                  <c:v>フタル酸</c:v>
                </c:pt>
                <c:pt idx="8">
                  <c:v>4-メトキシフタル酸</c:v>
                </c:pt>
                <c:pt idx="9">
                  <c:v>3-メトキシフタル酸</c:v>
                </c:pt>
                <c:pt idx="10">
                  <c:v>フマル酸</c:v>
                </c:pt>
                <c:pt idx="11">
                  <c:v>リンゴ酸</c:v>
                </c:pt>
                <c:pt idx="12">
                  <c:v>安息香酸</c:v>
                </c:pt>
                <c:pt idx="13">
                  <c:v>TE</c:v>
                </c:pt>
                <c:pt idx="14">
                  <c:v>コハク酸</c:v>
                </c:pt>
                <c:pt idx="15">
                  <c:v>1,2-シクロヘキサンジカルボン酸</c:v>
                </c:pt>
                <c:pt idx="16">
                  <c:v>アントラキノン-2,3-ジカルボン酸</c:v>
                </c:pt>
                <c:pt idx="17">
                  <c:v>4-N</c:v>
                </c:pt>
                <c:pt idx="18">
                  <c:v>4-NE</c:v>
                </c:pt>
                <c:pt idx="19">
                  <c:v>DE</c:v>
                </c:pt>
                <c:pt idx="20">
                  <c:v>2,3-ナフタレンジカルボン酸</c:v>
                </c:pt>
                <c:pt idx="21">
                  <c:v>HBPEK</c:v>
                </c:pt>
                <c:pt idx="22">
                  <c:v>EE</c:v>
                </c:pt>
                <c:pt idx="23">
                  <c:v>3-NE</c:v>
                </c:pt>
              </c:strCache>
            </c:strRef>
          </c:cat>
          <c:val>
            <c:numRef>
              <c:f>'データベース pH'!$J$114:$J$137</c:f>
              <c:numCache>
                <c:formatCode>General</c:formatCode>
                <c:ptCount val="24"/>
                <c:pt idx="0">
                  <c:v>0.7</c:v>
                </c:pt>
                <c:pt idx="1">
                  <c:v>12.49</c:v>
                </c:pt>
                <c:pt idx="2">
                  <c:v>18.649999999999999</c:v>
                </c:pt>
                <c:pt idx="3">
                  <c:v>15.65</c:v>
                </c:pt>
                <c:pt idx="4">
                  <c:v>11.53</c:v>
                </c:pt>
                <c:pt idx="5">
                  <c:v>12.66</c:v>
                </c:pt>
                <c:pt idx="6">
                  <c:v>10.76</c:v>
                </c:pt>
                <c:pt idx="7">
                  <c:v>13.32</c:v>
                </c:pt>
                <c:pt idx="8">
                  <c:v>13.29</c:v>
                </c:pt>
                <c:pt idx="9">
                  <c:v>8.9499999999999993</c:v>
                </c:pt>
                <c:pt idx="10">
                  <c:v>10.52</c:v>
                </c:pt>
                <c:pt idx="11">
                  <c:v>9.27</c:v>
                </c:pt>
                <c:pt idx="12">
                  <c:v>3.45</c:v>
                </c:pt>
                <c:pt idx="13">
                  <c:v>4.18</c:v>
                </c:pt>
                <c:pt idx="14">
                  <c:v>3.3</c:v>
                </c:pt>
                <c:pt idx="15">
                  <c:v>6.8</c:v>
                </c:pt>
                <c:pt idx="16">
                  <c:v>17.7</c:v>
                </c:pt>
                <c:pt idx="17">
                  <c:v>12.97</c:v>
                </c:pt>
                <c:pt idx="18">
                  <c:v>12.8</c:v>
                </c:pt>
                <c:pt idx="19">
                  <c:v>11.82</c:v>
                </c:pt>
                <c:pt idx="20">
                  <c:v>11.8</c:v>
                </c:pt>
                <c:pt idx="21">
                  <c:v>9.75</c:v>
                </c:pt>
                <c:pt idx="22">
                  <c:v>8.74</c:v>
                </c:pt>
                <c:pt idx="23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68C-4A6A-8762-05ECD9FDFC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'データベース pH'!$H$135:$H$158</c15:sqref>
                        </c15:formulaRef>
                      </c:ext>
                    </c:extLst>
                    <c:strCache>
                      <c:ptCount val="24"/>
                      <c:pt idx="0">
                        <c:v>blank</c:v>
                      </c:pt>
                      <c:pt idx="1">
                        <c:v>3-ニトロフタル酸</c:v>
                      </c:pt>
                      <c:pt idx="2">
                        <c:v>マレイン酸</c:v>
                      </c:pt>
                      <c:pt idx="3">
                        <c:v>4-ニトロフタル酸</c:v>
                      </c:pt>
                      <c:pt idx="4">
                        <c:v>ピロメリット酸</c:v>
                      </c:pt>
                      <c:pt idx="5">
                        <c:v>フェニルマレイン酸</c:v>
                      </c:pt>
                      <c:pt idx="6">
                        <c:v>5-ニトロイソフタル酸</c:v>
                      </c:pt>
                      <c:pt idx="7">
                        <c:v>フタル酸</c:v>
                      </c:pt>
                      <c:pt idx="8">
                        <c:v>4-メトキシフタル酸</c:v>
                      </c:pt>
                      <c:pt idx="9">
                        <c:v>3-メトキシフタル酸</c:v>
                      </c:pt>
                      <c:pt idx="10">
                        <c:v>フマル酸</c:v>
                      </c:pt>
                      <c:pt idx="11">
                        <c:v>リンゴ酸</c:v>
                      </c:pt>
                      <c:pt idx="12">
                        <c:v>安息香酸</c:v>
                      </c:pt>
                      <c:pt idx="13">
                        <c:v>TE</c:v>
                      </c:pt>
                      <c:pt idx="14">
                        <c:v>コハク酸</c:v>
                      </c:pt>
                      <c:pt idx="15">
                        <c:v>1,2-シクロヘキサンジカルボン酸</c:v>
                      </c:pt>
                      <c:pt idx="16">
                        <c:v>アントラキノン-2,3-ジカルボン酸</c:v>
                      </c:pt>
                      <c:pt idx="17">
                        <c:v>4-N</c:v>
                      </c:pt>
                      <c:pt idx="18">
                        <c:v>4-NE</c:v>
                      </c:pt>
                      <c:pt idx="19">
                        <c:v>DE</c:v>
                      </c:pt>
                      <c:pt idx="20">
                        <c:v>2,3-ナフタレンジカルボン酸</c:v>
                      </c:pt>
                      <c:pt idx="21">
                        <c:v>HBPEK</c:v>
                      </c:pt>
                      <c:pt idx="22">
                        <c:v>EE</c:v>
                      </c:pt>
                      <c:pt idx="23">
                        <c:v>3-NE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'データベース pH'!$M$115:$M$123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E68C-4A6A-8762-05ECD9FDFCBC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4854343834473773"/>
              <c:y val="0.93747799539224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51208671612401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○!$M$17:$M$23</c:f>
              <c:numCache>
                <c:formatCode>General</c:formatCode>
                <c:ptCount val="7"/>
                <c:pt idx="0">
                  <c:v>0.6969375000000001</c:v>
                </c:pt>
                <c:pt idx="1">
                  <c:v>3.4493175000000003</c:v>
                </c:pt>
                <c:pt idx="2">
                  <c:v>13.321394999999999</c:v>
                </c:pt>
                <c:pt idx="3">
                  <c:v>11.530552500000001</c:v>
                </c:pt>
                <c:pt idx="4">
                  <c:v>8.7356475000000007</c:v>
                </c:pt>
                <c:pt idx="5">
                  <c:v>11.5</c:v>
                </c:pt>
                <c:pt idx="6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B-4462-BA83-1409139349E8}"/>
            </c:ext>
          </c:extLst>
        </c:ser>
        <c:ser>
          <c:idx val="1"/>
          <c:order val="1"/>
          <c:tx>
            <c:strRef>
              <c:f>○!$M$16</c:f>
              <c:strCache>
                <c:ptCount val="1"/>
                <c:pt idx="0">
                  <c:v>Ball-milled cellulose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○!$N$17:$N$23</c:f>
              <c:numCache>
                <c:formatCode>General</c:formatCode>
                <c:ptCount val="7"/>
                <c:pt idx="0">
                  <c:v>4.2933375000000007</c:v>
                </c:pt>
                <c:pt idx="1">
                  <c:v>17.790030000000002</c:v>
                </c:pt>
                <c:pt idx="2">
                  <c:v>55.038622500000002</c:v>
                </c:pt>
                <c:pt idx="3">
                  <c:v>51.882592500000015</c:v>
                </c:pt>
                <c:pt idx="4">
                  <c:v>47.94</c:v>
                </c:pt>
                <c:pt idx="5">
                  <c:v>57.471254999999999</c:v>
                </c:pt>
                <c:pt idx="6">
                  <c:v>39.331642499999994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3B-4462-BA83-1409139349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6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7797202610040842E-2"/>
              <c:y val="0.22729544043549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1869212718930461"/>
          <c:y val="5.1838960475929771E-2"/>
          <c:w val="0.2942124170197703"/>
          <c:h val="0.34889773560913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1689835933356"/>
          <c:y val="4.1704246313010333E-2"/>
          <c:w val="0.6638738068384028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データベース!$G$2</c:f>
              <c:numCache>
                <c:formatCode>0.00_);[Red]\(0.00\)</c:formatCode>
                <c:ptCount val="1"/>
                <c:pt idx="0">
                  <c:v>1.7955156240555172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56-4C2E-B371-8BB1D1ED78D7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C56-4C2E-B371-8BB1D1ED78D7}"/>
              </c:ext>
            </c:extLst>
          </c:dPt>
          <c:xVal>
            <c:numRef>
              <c:f>データベース!$G$10</c:f>
              <c:numCache>
                <c:formatCode>0.00_);[Red]\(0.00\)</c:formatCode>
                <c:ptCount val="1"/>
                <c:pt idx="0">
                  <c:v>1.3600089392197512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56-4C2E-B371-8BB1D1ED78D7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rgbClr val="FF000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データベース!$G$4</c:f>
              <c:numCache>
                <c:formatCode>0.00_);[Red]\(0.00\)</c:formatCode>
                <c:ptCount val="1"/>
                <c:pt idx="0">
                  <c:v>2.4882746224445818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56-4C2E-B371-8BB1D1ED78D7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データベース!$G$11</c:f>
              <c:numCache>
                <c:formatCode>0.00_);[Red]\(0.00\)</c:formatCode>
                <c:ptCount val="1"/>
                <c:pt idx="0">
                  <c:v>1.27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56-4C2E-B371-8BB1D1ED78D7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データベース!$G$12</c:f>
              <c:numCache>
                <c:formatCode>0.00_);[Red]\(0.00\)</c:formatCode>
                <c:ptCount val="1"/>
                <c:pt idx="0">
                  <c:v>2.6150830917526768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56-4C2E-B371-8BB1D1ED78D7}"/>
            </c:ext>
          </c:extLst>
        </c:ser>
        <c:ser>
          <c:idx val="1"/>
          <c:order val="5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FF00"/>
              </a:solidFill>
              <a:ln w="285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データベース!$G$3</c:f>
              <c:numCache>
                <c:formatCode>0.00_);[Red]\(0.00\)</c:formatCode>
                <c:ptCount val="1"/>
                <c:pt idx="0">
                  <c:v>2.9539616123697523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56-4C2E-B371-8BB1D1ED78D7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FF00"/>
              </a:solidFill>
              <a:ln w="698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データベース!$G$8</c:f>
              <c:numCache>
                <c:formatCode>0.00_);[Red]\(0.00\)</c:formatCode>
                <c:ptCount val="1"/>
                <c:pt idx="0">
                  <c:v>4.345026974313436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C56-4C2E-B371-8BB1D1ED78D7}"/>
            </c:ext>
          </c:extLst>
        </c:ser>
        <c:ser>
          <c:idx val="4"/>
          <c:order val="7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データベース!$G$6</c:f>
              <c:numCache>
                <c:formatCode>0.00_);[Red]\(0.00\)</c:formatCode>
                <c:ptCount val="1"/>
                <c:pt idx="0">
                  <c:v>4.0672090135165435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C56-4C2E-B371-8BB1D1ED78D7}"/>
            </c:ext>
          </c:extLst>
        </c:ser>
        <c:ser>
          <c:idx val="9"/>
          <c:order val="8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chemeClr val="tx1"/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CCF-42FE-8BF9-E03862B8761E}"/>
              </c:ext>
            </c:extLst>
          </c:dPt>
          <c:xVal>
            <c:numRef>
              <c:f>データベース!$G$13</c:f>
              <c:numCache>
                <c:formatCode>0.00_);[Red]\(0.00\)</c:formatCode>
                <c:ptCount val="1"/>
                <c:pt idx="0">
                  <c:v>4.175621709950347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C56-4C2E-B371-8BB1D1ED78D7}"/>
            </c:ext>
          </c:extLst>
        </c:ser>
        <c:ser>
          <c:idx val="3"/>
          <c:order val="9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175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データベース!$G$21</c:f>
              <c:numCache>
                <c:formatCode>0.00_);[Red]\(0.00\)</c:formatCode>
                <c:ptCount val="1"/>
                <c:pt idx="0">
                  <c:v>3.2804766770472331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C56-4C2E-B371-8BB1D1ED78D7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データベース!$G$22</c:f>
              <c:numCache>
                <c:formatCode>0.00_);[Red]\(0.00\)</c:formatCode>
                <c:ptCount val="1"/>
                <c:pt idx="0">
                  <c:v>2.3503904912138656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C56-4C2E-B371-8BB1D1ED78D7}"/>
            </c:ext>
          </c:extLst>
        </c:ser>
        <c:ser>
          <c:idx val="12"/>
          <c:order val="11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6"/>
              </a:solidFill>
              <a:ln w="190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triangle"/>
              <c:size val="18"/>
              <c:spPr>
                <a:solidFill>
                  <a:schemeClr val="accent6"/>
                </a:solidFill>
                <a:ln w="190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9C56-4C2E-B371-8BB1D1ED78D7}"/>
              </c:ext>
            </c:extLst>
          </c:dPt>
          <c:xVal>
            <c:numRef>
              <c:f>データベース!$G$28</c:f>
              <c:numCache>
                <c:formatCode>0.00_);[Red]\(0.00\)</c:formatCode>
                <c:ptCount val="1"/>
                <c:pt idx="0">
                  <c:v>2.6454284034069762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C56-4C2E-B371-8BB1D1ED78D7}"/>
            </c:ext>
          </c:extLst>
        </c:ser>
        <c:ser>
          <c:idx val="13"/>
          <c:order val="12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データベース!$G$5</c:f>
              <c:numCache>
                <c:formatCode>0.00_);[Red]\(0.00\)</c:formatCode>
                <c:ptCount val="1"/>
                <c:pt idx="0">
                  <c:v>2.87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C56-4C2E-B371-8BB1D1ED78D7}"/>
            </c:ext>
          </c:extLst>
        </c:ser>
        <c:ser>
          <c:idx val="14"/>
          <c:order val="13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データベース!$G$7</c:f>
              <c:numCache>
                <c:formatCode>0.00_);[Red]\(0.00\)</c:formatCode>
                <c:ptCount val="1"/>
                <c:pt idx="0">
                  <c:v>1.9198640535723652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C56-4C2E-B371-8BB1D1ED78D7}"/>
            </c:ext>
          </c:extLst>
        </c:ser>
        <c:ser>
          <c:idx val="17"/>
          <c:order val="14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7030A0"/>
              </a:solidFill>
              <a:ln w="222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データベース!$G$16</c:f>
              <c:numCache>
                <c:formatCode>0.00_);[Red]\(0.00\)</c:formatCode>
                <c:ptCount val="1"/>
                <c:pt idx="0">
                  <c:v>3.851658068773717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C56-4C2E-B371-8BB1D1ED78D7}"/>
            </c:ext>
          </c:extLst>
        </c:ser>
        <c:ser>
          <c:idx val="18"/>
          <c:order val="15"/>
          <c:tx>
            <c:strRef>
              <c:f>データベース!$A$17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1">
                  <a:lumMod val="80000"/>
                </a:schemeClr>
              </a:solidFill>
              <a:ln w="31750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chemeClr val="accent1">
                    <a:lumMod val="80000"/>
                  </a:schemeClr>
                </a:solidFill>
                <a:ln w="31750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9C56-4C2E-B371-8BB1D1ED78D7}"/>
              </c:ext>
            </c:extLst>
          </c:dPt>
          <c:xVal>
            <c:numRef>
              <c:f>データベース!$G$17</c:f>
              <c:numCache>
                <c:formatCode>0.00_);[Red]\(0.00\)</c:formatCode>
                <c:ptCount val="1"/>
                <c:pt idx="0">
                  <c:v>2.84</c:v>
                </c:pt>
              </c:numCache>
            </c:numRef>
          </c:xVal>
          <c:yVal>
            <c:numRef>
              <c:f>データベース!$C$17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C56-4C2E-B371-8BB1D1ED78D7}"/>
            </c:ext>
          </c:extLst>
        </c:ser>
        <c:ser>
          <c:idx val="19"/>
          <c:order val="16"/>
          <c:tx>
            <c:strRef>
              <c:f>データベース!$A$20</c:f>
              <c:strCache>
                <c:ptCount val="1"/>
                <c:pt idx="0">
                  <c:v>EE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rgbClr val="00B0F0"/>
              </a:solidFill>
              <a:ln w="31750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rgbClr val="00B0F0"/>
                </a:solidFill>
                <a:ln w="31750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9C56-4C2E-B371-8BB1D1ED78D7}"/>
              </c:ext>
            </c:extLst>
          </c:dPt>
          <c:xVal>
            <c:numRef>
              <c:f>データベース!$G$20</c:f>
              <c:numCache>
                <c:formatCode>0.00_);[Red]\(0.00\)</c:formatCode>
                <c:ptCount val="1"/>
                <c:pt idx="0">
                  <c:v>2.74</c:v>
                </c:pt>
              </c:numCache>
            </c:numRef>
          </c:xVal>
          <c:yVal>
            <c:numRef>
              <c:f>データベース!$C$20</c:f>
              <c:numCache>
                <c:formatCode>General</c:formatCode>
                <c:ptCount val="1"/>
                <c:pt idx="0">
                  <c:v>8.7356475000000007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C56-4C2E-B371-8BB1D1ED78D7}"/>
            </c:ext>
          </c:extLst>
        </c:ser>
        <c:ser>
          <c:idx val="20"/>
          <c:order val="17"/>
          <c:tx>
            <c:strRef>
              <c:f>データベース!$A$23</c:f>
              <c:strCache>
                <c:ptCount val="1"/>
                <c:pt idx="0">
                  <c:v>アントラキノン-
2,3-ジカルボン酸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Pt>
            <c:idx val="0"/>
            <c:marker>
              <c:symbol val="star"/>
              <c:size val="15"/>
              <c:spPr>
                <a:solidFill>
                  <a:srgbClr val="7030A0"/>
                </a:solidFill>
                <a:ln w="222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CCF-42FE-8BF9-E03862B8761E}"/>
              </c:ext>
            </c:extLst>
          </c:dPt>
          <c:xVal>
            <c:numRef>
              <c:f>データベース!$G$23</c:f>
              <c:numCache>
                <c:formatCode>0.00_);[Red]\(0.00\)</c:formatCode>
                <c:ptCount val="1"/>
                <c:pt idx="0">
                  <c:v>1.32</c:v>
                </c:pt>
              </c:numCache>
            </c:numRef>
          </c:xVal>
          <c:yVal>
            <c:numRef>
              <c:f>データベース!$C$23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C56-4C2E-B371-8BB1D1ED78D7}"/>
            </c:ext>
          </c:extLst>
        </c:ser>
        <c:ser>
          <c:idx val="21"/>
          <c:order val="18"/>
          <c:tx>
            <c:strRef>
              <c:f>データベース!$A$30</c:f>
              <c:strCache>
                <c:ptCount val="1"/>
                <c:pt idx="0">
                  <c:v>3-メトキシフタル酸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データベース!$G$30</c:f>
              <c:numCache>
                <c:formatCode>0.00_);[Red]\(0.00\)</c:formatCode>
                <c:ptCount val="1"/>
                <c:pt idx="0">
                  <c:v>2.9274407606004136</c:v>
                </c:pt>
              </c:numCache>
            </c:numRef>
          </c:xVal>
          <c:yVal>
            <c:numRef>
              <c:f>データベース!$C$30</c:f>
              <c:numCache>
                <c:formatCode>General</c:formatCode>
                <c:ptCount val="1"/>
                <c:pt idx="0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C56-4C2E-B371-8BB1D1ED78D7}"/>
            </c:ext>
          </c:extLst>
        </c:ser>
        <c:ser>
          <c:idx val="22"/>
          <c:order val="19"/>
          <c:tx>
            <c:strRef>
              <c:f>データベース!$A$31</c:f>
              <c:strCache>
                <c:ptCount val="1"/>
                <c:pt idx="0">
                  <c:v>4-NO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5">
                  <a:lumMod val="80000"/>
                </a:schemeClr>
              </a:solidFill>
              <a:ln w="222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データベース!$G$31</c:f>
              <c:numCache>
                <c:formatCode>0.00_);[Red]\(0.00\)</c:formatCode>
                <c:ptCount val="1"/>
                <c:pt idx="0">
                  <c:v>2.63</c:v>
                </c:pt>
              </c:numCache>
            </c:numRef>
          </c:xVal>
          <c:yVal>
            <c:numRef>
              <c:f>データベース!$C$31</c:f>
              <c:numCache>
                <c:formatCode>General</c:formatCode>
                <c:ptCount val="1"/>
                <c:pt idx="0">
                  <c:v>12.97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C56-4C2E-B371-8BB1D1ED78D7}"/>
            </c:ext>
          </c:extLst>
        </c:ser>
        <c:ser>
          <c:idx val="23"/>
          <c:order val="20"/>
          <c:tx>
            <c:strRef>
              <c:f>データベース!$A$32</c:f>
              <c:strCache>
                <c:ptCount val="1"/>
                <c:pt idx="0">
                  <c:v>4-PO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データベース!$G$32</c:f>
              <c:numCache>
                <c:formatCode>0.00_);[Red]\(0.00\)</c:formatCode>
                <c:ptCount val="1"/>
                <c:pt idx="0">
                  <c:v>2.73</c:v>
                </c:pt>
              </c:numCache>
            </c:numRef>
          </c:xVal>
          <c:yVal>
            <c:numRef>
              <c:f>データベース!$C$32</c:f>
              <c:numCache>
                <c:formatCode>General</c:formatCode>
                <c:ptCount val="1"/>
                <c:pt idx="0">
                  <c:v>13.9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C56-4C2E-B371-8BB1D1ED78D7}"/>
            </c:ext>
          </c:extLst>
        </c:ser>
        <c:ser>
          <c:idx val="24"/>
          <c:order val="21"/>
          <c:tx>
            <c:strRef>
              <c:f>データベース!$A$33</c:f>
              <c:strCache>
                <c:ptCount val="1"/>
                <c:pt idx="0">
                  <c:v>4-NE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C00000"/>
              </a:solidFill>
              <a:ln w="25400">
                <a:solidFill>
                  <a:schemeClr val="bg1">
                    <a:alpha val="96000"/>
                  </a:schemeClr>
                </a:solidFill>
              </a:ln>
              <a:effectLst/>
            </c:spPr>
          </c:marker>
          <c:xVal>
            <c:numRef>
              <c:f>データベース!$G$33</c:f>
              <c:numCache>
                <c:formatCode>0.00_);[Red]\(0.00\)</c:formatCode>
                <c:ptCount val="1"/>
                <c:pt idx="0">
                  <c:v>2.78</c:v>
                </c:pt>
              </c:numCache>
            </c:numRef>
          </c:xVal>
          <c:yVal>
            <c:numRef>
              <c:f>データベース!$C$33</c:f>
              <c:numCache>
                <c:formatCode>General</c:formatCode>
                <c:ptCount val="1"/>
                <c:pt idx="0">
                  <c:v>12.8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C56-4C2E-B371-8BB1D1ED78D7}"/>
            </c:ext>
          </c:extLst>
        </c:ser>
        <c:ser>
          <c:idx val="5"/>
          <c:order val="22"/>
          <c:tx>
            <c:v>HBPEK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FFFF00"/>
              </a:solidFill>
              <a:ln w="285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データベース!$G$19</c:f>
              <c:numCache>
                <c:formatCode>0.00_);[Red]\(0.00\)</c:formatCode>
                <c:ptCount val="1"/>
                <c:pt idx="0">
                  <c:v>3.8632182566859958</c:v>
                </c:pt>
              </c:numCache>
            </c:numRef>
          </c:xVal>
          <c:yVal>
            <c:numRef>
              <c:f>データベース!$C$19</c:f>
              <c:numCache>
                <c:formatCode>General</c:formatCode>
                <c:ptCount val="1"/>
                <c:pt idx="0">
                  <c:v>9.7463250000000006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EB-4EB1-B3E3-6659257584B6}"/>
            </c:ext>
          </c:extLst>
        </c:ser>
        <c:ser>
          <c:idx val="11"/>
          <c:order val="23"/>
          <c:tx>
            <c:strRef>
              <c:f>データベース!$A$34</c:f>
              <c:strCache>
                <c:ptCount val="1"/>
                <c:pt idx="0">
                  <c:v>3-NE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FFC000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データベース!$G$34</c:f>
              <c:numCache>
                <c:formatCode>0.00_);[Red]\(0.00\)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データベース!$C$34</c:f>
              <c:numCache>
                <c:formatCode>General</c:formatCode>
                <c:ptCount val="1"/>
                <c:pt idx="0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73-4318-B465-7C66F56B1A09}"/>
            </c:ext>
          </c:extLst>
        </c:ser>
        <c:ser>
          <c:idx val="16"/>
          <c:order val="24"/>
          <c:tx>
            <c:strRef>
              <c:f>データベース!$A$35</c:f>
              <c:strCache>
                <c:ptCount val="1"/>
                <c:pt idx="0">
                  <c:v>4-PE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00B0F0"/>
              </a:solidFill>
              <a:ln w="317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rgbClr val="00B0F0"/>
                </a:solidFill>
                <a:ln w="317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4BA-4A08-B5F8-151A9FFC3E3B}"/>
              </c:ext>
            </c:extLst>
          </c:dPt>
          <c:xVal>
            <c:numRef>
              <c:f>データベース!$G$35</c:f>
              <c:numCache>
                <c:formatCode>0.00_);[Red]\(0.00\)</c:formatCode>
                <c:ptCount val="1"/>
                <c:pt idx="0">
                  <c:v>2.7</c:v>
                </c:pt>
              </c:numCache>
            </c:numRef>
          </c:xVal>
          <c:yVal>
            <c:numRef>
              <c:f>データベース!$C$35</c:f>
              <c:numCache>
                <c:formatCode>General</c:formatCode>
                <c:ptCount val="1"/>
                <c:pt idx="0">
                  <c:v>13.55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BA-4A08-B5F8-151A9FFC3E3B}"/>
            </c:ext>
          </c:extLst>
        </c:ser>
        <c:ser>
          <c:idx val="25"/>
          <c:order val="25"/>
          <c:tx>
            <c:strRef>
              <c:f>データベース!$A$36</c:f>
              <c:strCache>
                <c:ptCount val="1"/>
                <c:pt idx="0">
                  <c:v>4-NB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7030A0"/>
              </a:solidFill>
              <a:ln w="31750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データベース!$G$36</c:f>
              <c:numCache>
                <c:formatCode>0.00_);[Red]\(0.00\)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データベース!$C$36</c:f>
              <c:numCache>
                <c:formatCode>General</c:formatCode>
                <c:ptCount val="1"/>
                <c:pt idx="0">
                  <c:v>13.46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BA-4A08-B5F8-151A9FFC3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4000000000000004"/>
          <c:min val="1.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6032811347950692"/>
              <c:y val="0.92138843914198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33869298869353"/>
          <c:y val="1.1272317085466933E-2"/>
          <c:w val="0.13098570107351612"/>
          <c:h val="0.987744121883964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○!$H$35:$H$39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AB-4A03-BD58-9124613F1546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○!$B$35:$B$40</c:f>
              <c:numCache>
                <c:formatCode>General</c:formatCode>
                <c:ptCount val="6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○!$D$35:$D$39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AB-4A03-BD58-9124613F1546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○!$L$35:$L$39</c:f>
              <c:numCache>
                <c:formatCode>General</c:formatCode>
                <c:ptCount val="5"/>
                <c:pt idx="0">
                  <c:v>17.690000000000001</c:v>
                </c:pt>
                <c:pt idx="1">
                  <c:v>24.84</c:v>
                </c:pt>
                <c:pt idx="2">
                  <c:v>30.71</c:v>
                </c:pt>
                <c:pt idx="3">
                  <c:v>37.79</c:v>
                </c:pt>
                <c:pt idx="4">
                  <c:v>43.95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AB-4A03-BD58-9124613F1546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4"/>
            <c:spPr>
              <a:solidFill>
                <a:srgbClr val="FFC00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○!$O$35:$O$39</c:f>
              <c:numCache>
                <c:formatCode>General</c:formatCode>
                <c:ptCount val="5"/>
                <c:pt idx="0">
                  <c:v>26.76</c:v>
                </c:pt>
                <c:pt idx="1">
                  <c:v>37.14</c:v>
                </c:pt>
                <c:pt idx="2">
                  <c:v>33.53</c:v>
                </c:pt>
                <c:pt idx="3">
                  <c:v>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AB-4A03-BD58-9124613F1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en-US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触媒量</a:t>
                </a: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0963969929671424"/>
          <c:y val="0.43412070347407111"/>
          <c:w val="0.33150799010749077"/>
          <c:h val="0.41048790633763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○!$J$35:$J$39</c:f>
              <c:numCache>
                <c:formatCode>General</c:formatCode>
                <c:ptCount val="5"/>
                <c:pt idx="0">
                  <c:v>36.6</c:v>
                </c:pt>
                <c:pt idx="1">
                  <c:v>45.1</c:v>
                </c:pt>
                <c:pt idx="2">
                  <c:v>58.43</c:v>
                </c:pt>
                <c:pt idx="3">
                  <c:v>68.599999999999994</c:v>
                </c:pt>
                <c:pt idx="4">
                  <c:v>74.44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09-476B-85D5-E3AD7EC5C4B0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dPt>
            <c:idx val="0"/>
            <c:marker>
              <c:symbol val="square"/>
              <c:size val="14"/>
              <c:spPr>
                <a:solidFill>
                  <a:srgbClr val="002060"/>
                </a:solidFill>
                <a:ln w="38100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F09-476B-85D5-E3AD7EC5C4B0}"/>
              </c:ext>
            </c:extLst>
          </c:dPt>
          <c:dPt>
            <c:idx val="1"/>
            <c:marker>
              <c:symbol val="x"/>
              <c:size val="14"/>
              <c:spPr>
                <a:solidFill>
                  <a:srgbClr val="002060"/>
                </a:solidFill>
                <a:ln w="38100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F09-476B-85D5-E3AD7EC5C4B0}"/>
              </c:ext>
            </c:extLst>
          </c:dPt>
          <c:dPt>
            <c:idx val="2"/>
            <c:marker>
              <c:symbol val="square"/>
              <c:size val="14"/>
              <c:spPr>
                <a:solidFill>
                  <a:srgbClr val="002060"/>
                </a:solidFill>
                <a:ln w="38100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F09-476B-85D5-E3AD7EC5C4B0}"/>
              </c:ext>
            </c:extLst>
          </c:dPt>
          <c:dPt>
            <c:idx val="3"/>
            <c:marker>
              <c:symbol val="square"/>
              <c:size val="14"/>
              <c:spPr>
                <a:solidFill>
                  <a:srgbClr val="002060"/>
                </a:solidFill>
                <a:ln w="38100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F09-476B-85D5-E3AD7EC5C4B0}"/>
              </c:ext>
            </c:extLst>
          </c:dPt>
          <c:dPt>
            <c:idx val="4"/>
            <c:marker>
              <c:symbol val="square"/>
              <c:size val="14"/>
              <c:spPr>
                <a:solidFill>
                  <a:srgbClr val="002060"/>
                </a:solidFill>
                <a:ln w="38100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F09-476B-85D5-E3AD7EC5C4B0}"/>
              </c:ext>
            </c:extLst>
          </c:dPt>
          <c:xVal>
            <c:numRef>
              <c:f>○!$B$35:$B$40</c:f>
              <c:numCache>
                <c:formatCode>General</c:formatCode>
                <c:ptCount val="6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○!$F$35:$F$39</c:f>
              <c:numCache>
                <c:formatCode>General</c:formatCode>
                <c:ptCount val="5"/>
                <c:pt idx="0">
                  <c:v>30.37</c:v>
                </c:pt>
                <c:pt idx="1">
                  <c:v>33.58</c:v>
                </c:pt>
                <c:pt idx="2">
                  <c:v>39</c:v>
                </c:pt>
                <c:pt idx="3">
                  <c:v>49.17</c:v>
                </c:pt>
                <c:pt idx="4">
                  <c:v>59.44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09-476B-85D5-E3AD7EC5C4B0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○!$M$35:$M$39</c:f>
              <c:numCache>
                <c:formatCode>General</c:formatCode>
                <c:ptCount val="5"/>
                <c:pt idx="0">
                  <c:v>35</c:v>
                </c:pt>
                <c:pt idx="1">
                  <c:v>45.99</c:v>
                </c:pt>
                <c:pt idx="2">
                  <c:v>60</c:v>
                </c:pt>
                <c:pt idx="3">
                  <c:v>74.23</c:v>
                </c:pt>
                <c:pt idx="4">
                  <c:v>85.03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09-476B-85D5-E3AD7EC5C4B0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4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○!$P$35:$P$39</c:f>
              <c:numCache>
                <c:formatCode>General</c:formatCode>
                <c:ptCount val="5"/>
                <c:pt idx="0">
                  <c:v>54.85</c:v>
                </c:pt>
                <c:pt idx="1">
                  <c:v>78.09</c:v>
                </c:pt>
                <c:pt idx="2">
                  <c:v>92.1</c:v>
                </c:pt>
                <c:pt idx="3">
                  <c:v>96.05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09-476B-85D5-E3AD7EC5C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en-US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触媒量</a:t>
                </a: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Coversion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59806825336092195"/>
          <c:y val="0.42287074701847671"/>
          <c:w val="0.33150799010749077"/>
          <c:h val="0.41048790633763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50501700892221"/>
          <c:y val="0.1330011810811855"/>
          <c:w val="0.88184281581707236"/>
          <c:h val="0.7538756357118343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○!$D$102</c:f>
              <c:strCache>
                <c:ptCount val="1"/>
                <c:pt idx="0">
                  <c:v>Glucose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○!$C$113:$C$116</c:f>
              <c:strCache>
                <c:ptCount val="4"/>
                <c:pt idx="0">
                  <c:v>Blank</c:v>
                </c:pt>
                <c:pt idx="1">
                  <c:v>Run1</c:v>
                </c:pt>
                <c:pt idx="2">
                  <c:v>Run2</c:v>
                </c:pt>
                <c:pt idx="3">
                  <c:v>Run3</c:v>
                </c:pt>
              </c:strCache>
            </c:strRef>
          </c:cat>
          <c:val>
            <c:numRef>
              <c:f>○!$D$113:$D$116</c:f>
              <c:numCache>
                <c:formatCode>General</c:formatCode>
                <c:ptCount val="4"/>
                <c:pt idx="0">
                  <c:v>2.8</c:v>
                </c:pt>
                <c:pt idx="1">
                  <c:v>10</c:v>
                </c:pt>
                <c:pt idx="2">
                  <c:v>8.8000000000000007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2-41D4-813E-9CDC5808D245}"/>
            </c:ext>
          </c:extLst>
        </c:ser>
        <c:ser>
          <c:idx val="1"/>
          <c:order val="1"/>
          <c:tx>
            <c:strRef>
              <c:f>○!$E$102</c:f>
              <c:strCache>
                <c:ptCount val="1"/>
                <c:pt idx="0">
                  <c:v>Oligomers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○!$C$113:$C$116</c:f>
              <c:strCache>
                <c:ptCount val="4"/>
                <c:pt idx="0">
                  <c:v>Blank</c:v>
                </c:pt>
                <c:pt idx="1">
                  <c:v>Run1</c:v>
                </c:pt>
                <c:pt idx="2">
                  <c:v>Run2</c:v>
                </c:pt>
                <c:pt idx="3">
                  <c:v>Run3</c:v>
                </c:pt>
              </c:strCache>
            </c:strRef>
          </c:cat>
          <c:val>
            <c:numRef>
              <c:f>○!$E$113:$E$116</c:f>
              <c:numCache>
                <c:formatCode>General</c:formatCode>
                <c:ptCount val="4"/>
                <c:pt idx="0">
                  <c:v>14</c:v>
                </c:pt>
                <c:pt idx="1">
                  <c:v>25</c:v>
                </c:pt>
                <c:pt idx="2">
                  <c:v>21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62-41D4-813E-9CDC5808D245}"/>
            </c:ext>
          </c:extLst>
        </c:ser>
        <c:ser>
          <c:idx val="2"/>
          <c:order val="2"/>
          <c:tx>
            <c:strRef>
              <c:f>○!$F$102</c:f>
              <c:strCache>
                <c:ptCount val="1"/>
                <c:pt idx="0">
                  <c:v>Fructose, Mannose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○!$C$113:$C$116</c:f>
              <c:strCache>
                <c:ptCount val="4"/>
                <c:pt idx="0">
                  <c:v>Blank</c:v>
                </c:pt>
                <c:pt idx="1">
                  <c:v>Run1</c:v>
                </c:pt>
                <c:pt idx="2">
                  <c:v>Run2</c:v>
                </c:pt>
                <c:pt idx="3">
                  <c:v>Run3</c:v>
                </c:pt>
              </c:strCache>
            </c:strRef>
          </c:cat>
          <c:val>
            <c:numRef>
              <c:f>○!$F$113:$F$116</c:f>
              <c:numCache>
                <c:formatCode>General</c:formatCode>
                <c:ptCount val="4"/>
                <c:pt idx="0">
                  <c:v>1.6</c:v>
                </c:pt>
                <c:pt idx="1">
                  <c:v>2.6</c:v>
                </c:pt>
                <c:pt idx="2">
                  <c:v>1.8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62-41D4-813E-9CDC5808D245}"/>
            </c:ext>
          </c:extLst>
        </c:ser>
        <c:ser>
          <c:idx val="3"/>
          <c:order val="3"/>
          <c:tx>
            <c:strRef>
              <c:f>○!$G$102</c:f>
              <c:strCache>
                <c:ptCount val="1"/>
                <c:pt idx="0">
                  <c:v>5-HMF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○!$C$113:$C$116</c:f>
              <c:strCache>
                <c:ptCount val="4"/>
                <c:pt idx="0">
                  <c:v>Blank</c:v>
                </c:pt>
                <c:pt idx="1">
                  <c:v>Run1</c:v>
                </c:pt>
                <c:pt idx="2">
                  <c:v>Run2</c:v>
                </c:pt>
                <c:pt idx="3">
                  <c:v>Run3</c:v>
                </c:pt>
              </c:strCache>
            </c:strRef>
          </c:cat>
          <c:val>
            <c:numRef>
              <c:f>○!$G$113:$G$116</c:f>
              <c:numCache>
                <c:formatCode>General</c:formatCode>
                <c:ptCount val="4"/>
                <c:pt idx="0">
                  <c:v>1.4</c:v>
                </c:pt>
                <c:pt idx="1">
                  <c:v>3.4</c:v>
                </c:pt>
                <c:pt idx="2">
                  <c:v>2.8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62-41D4-813E-9CDC5808D245}"/>
            </c:ext>
          </c:extLst>
        </c:ser>
        <c:ser>
          <c:idx val="4"/>
          <c:order val="4"/>
          <c:tx>
            <c:strRef>
              <c:f>○!$H$102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○!$C$113:$C$116</c:f>
              <c:strCache>
                <c:ptCount val="4"/>
                <c:pt idx="0">
                  <c:v>Blank</c:v>
                </c:pt>
                <c:pt idx="1">
                  <c:v>Run1</c:v>
                </c:pt>
                <c:pt idx="2">
                  <c:v>Run2</c:v>
                </c:pt>
                <c:pt idx="3">
                  <c:v>Run3</c:v>
                </c:pt>
              </c:strCache>
            </c:strRef>
          </c:cat>
          <c:val>
            <c:numRef>
              <c:f>○!$H$113:$H$116</c:f>
              <c:numCache>
                <c:formatCode>General</c:formatCode>
                <c:ptCount val="4"/>
                <c:pt idx="0">
                  <c:v>17.2</c:v>
                </c:pt>
                <c:pt idx="1">
                  <c:v>22.1</c:v>
                </c:pt>
                <c:pt idx="2">
                  <c:v>15.7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62-41D4-813E-9CDC5808D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935344"/>
        <c:axId val="882919504"/>
      </c:barChart>
      <c:catAx>
        <c:axId val="88293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82919504"/>
        <c:crosses val="autoZero"/>
        <c:auto val="1"/>
        <c:lblAlgn val="ctr"/>
        <c:lblOffset val="100"/>
        <c:noMultiLvlLbl val="0"/>
      </c:catAx>
      <c:valAx>
        <c:axId val="8829195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(%)</a:t>
                </a:r>
                <a:endParaRPr lang="ja-JP" altLang="en-US" sz="2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ln>
                  <a:noFill/>
                </a:ln>
                <a:solidFill>
                  <a:schemeClr val="tx1">
                    <a:alpha val="98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82935344"/>
        <c:crosses val="autoZero"/>
        <c:crossBetween val="between"/>
        <c:majorUnit val="20"/>
      </c:valAx>
      <c:spPr>
        <a:noFill/>
        <a:ln w="31750" cmpd="sng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8.699605771383255E-2"/>
          <c:y val="3.8949542302631202E-3"/>
          <c:w val="0.89999997905434126"/>
          <c:h val="6.76418983058038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9050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18323769306868"/>
          <c:y val="0.1330012425884049"/>
          <c:w val="0.88184281581707236"/>
          <c:h val="0.7538756357118343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○!$D$102</c:f>
              <c:strCache>
                <c:ptCount val="1"/>
                <c:pt idx="0">
                  <c:v>Glucose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>
                  <a:alpha val="88000"/>
                </a:schemeClr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○!$C$103:$C$110</c:f>
              <c:strCache>
                <c:ptCount val="8"/>
                <c:pt idx="0">
                  <c:v>Run1</c:v>
                </c:pt>
                <c:pt idx="1">
                  <c:v>Run1</c:v>
                </c:pt>
                <c:pt idx="2">
                  <c:v>Run1</c:v>
                </c:pt>
                <c:pt idx="3">
                  <c:v>Run1</c:v>
                </c:pt>
                <c:pt idx="4">
                  <c:v>Run2</c:v>
                </c:pt>
                <c:pt idx="5">
                  <c:v>Run3</c:v>
                </c:pt>
                <c:pt idx="6">
                  <c:v>Run1</c:v>
                </c:pt>
                <c:pt idx="7">
                  <c:v>Run1</c:v>
                </c:pt>
              </c:strCache>
            </c:strRef>
          </c:cat>
          <c:val>
            <c:numRef>
              <c:f>○!$D$103:$D$110</c:f>
              <c:numCache>
                <c:formatCode>General</c:formatCode>
                <c:ptCount val="8"/>
                <c:pt idx="0">
                  <c:v>2.7486000000000002</c:v>
                </c:pt>
                <c:pt idx="1">
                  <c:v>39.331642499999994</c:v>
                </c:pt>
                <c:pt idx="2">
                  <c:v>4.9593600000000002</c:v>
                </c:pt>
                <c:pt idx="3">
                  <c:v>10</c:v>
                </c:pt>
                <c:pt idx="4">
                  <c:v>8.7700049999999994</c:v>
                </c:pt>
                <c:pt idx="5">
                  <c:v>9.6000499999999995</c:v>
                </c:pt>
                <c:pt idx="6">
                  <c:v>55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6CC-B673-9DF1A3C2273F}"/>
            </c:ext>
          </c:extLst>
        </c:ser>
        <c:ser>
          <c:idx val="1"/>
          <c:order val="1"/>
          <c:tx>
            <c:strRef>
              <c:f>○!$E$102</c:f>
              <c:strCache>
                <c:ptCount val="1"/>
                <c:pt idx="0">
                  <c:v>Oligomers</c:v>
                </c:pt>
              </c:strCache>
            </c:strRef>
          </c:tx>
          <c:spPr>
            <a:solidFill>
              <a:schemeClr val="accent1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○!$C$103:$C$110</c:f>
              <c:strCache>
                <c:ptCount val="8"/>
                <c:pt idx="0">
                  <c:v>Run1</c:v>
                </c:pt>
                <c:pt idx="1">
                  <c:v>Run1</c:v>
                </c:pt>
                <c:pt idx="2">
                  <c:v>Run1</c:v>
                </c:pt>
                <c:pt idx="3">
                  <c:v>Run1</c:v>
                </c:pt>
                <c:pt idx="4">
                  <c:v>Run2</c:v>
                </c:pt>
                <c:pt idx="5">
                  <c:v>Run3</c:v>
                </c:pt>
                <c:pt idx="6">
                  <c:v>Run1</c:v>
                </c:pt>
                <c:pt idx="7">
                  <c:v>Run1</c:v>
                </c:pt>
              </c:strCache>
            </c:strRef>
          </c:cat>
          <c:val>
            <c:numRef>
              <c:f>○!$E$103:$E$110</c:f>
              <c:numCache>
                <c:formatCode>General</c:formatCode>
                <c:ptCount val="8"/>
                <c:pt idx="0">
                  <c:v>14.191537500000001</c:v>
                </c:pt>
                <c:pt idx="1">
                  <c:v>6.6038625</c:v>
                </c:pt>
                <c:pt idx="2">
                  <c:v>15.465262499999998</c:v>
                </c:pt>
                <c:pt idx="3">
                  <c:v>25.090020000000003</c:v>
                </c:pt>
                <c:pt idx="4">
                  <c:v>20.567452499999998</c:v>
                </c:pt>
                <c:pt idx="5">
                  <c:v>19.227847499999999</c:v>
                </c:pt>
                <c:pt idx="6">
                  <c:v>1.8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C-46CC-B673-9DF1A3C2273F}"/>
            </c:ext>
          </c:extLst>
        </c:ser>
        <c:ser>
          <c:idx val="2"/>
          <c:order val="2"/>
          <c:tx>
            <c:strRef>
              <c:f>○!$F$102</c:f>
              <c:strCache>
                <c:ptCount val="1"/>
                <c:pt idx="0">
                  <c:v>Fructose, Mannose</c:v>
                </c:pt>
              </c:strCache>
            </c:strRef>
          </c:tx>
          <c:spPr>
            <a:solidFill>
              <a:srgbClr val="FFF2CC"/>
            </a:solidFill>
            <a:ln>
              <a:noFill/>
            </a:ln>
            <a:effectLst/>
          </c:spPr>
          <c:invertIfNegative val="0"/>
          <c:cat>
            <c:strRef>
              <c:f>○!$C$103:$C$110</c:f>
              <c:strCache>
                <c:ptCount val="8"/>
                <c:pt idx="0">
                  <c:v>Run1</c:v>
                </c:pt>
                <c:pt idx="1">
                  <c:v>Run1</c:v>
                </c:pt>
                <c:pt idx="2">
                  <c:v>Run1</c:v>
                </c:pt>
                <c:pt idx="3">
                  <c:v>Run1</c:v>
                </c:pt>
                <c:pt idx="4">
                  <c:v>Run2</c:v>
                </c:pt>
                <c:pt idx="5">
                  <c:v>Run3</c:v>
                </c:pt>
                <c:pt idx="6">
                  <c:v>Run1</c:v>
                </c:pt>
                <c:pt idx="7">
                  <c:v>Run1</c:v>
                </c:pt>
              </c:strCache>
            </c:strRef>
          </c:cat>
          <c:val>
            <c:numRef>
              <c:f>○!$F$103:$F$110</c:f>
              <c:numCache>
                <c:formatCode>General</c:formatCode>
                <c:ptCount val="8"/>
                <c:pt idx="0">
                  <c:v>1.6064325000000002</c:v>
                </c:pt>
                <c:pt idx="1">
                  <c:v>2.8212299999999999</c:v>
                </c:pt>
                <c:pt idx="2">
                  <c:v>1.6503750000000001</c:v>
                </c:pt>
                <c:pt idx="3">
                  <c:v>2.5454924999999999</c:v>
                </c:pt>
                <c:pt idx="4">
                  <c:v>1.82925</c:v>
                </c:pt>
                <c:pt idx="5">
                  <c:v>1.1941425000000001</c:v>
                </c:pt>
                <c:pt idx="6">
                  <c:v>2.5</c:v>
                </c:pt>
                <c:pt idx="7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C-46CC-B673-9DF1A3C2273F}"/>
            </c:ext>
          </c:extLst>
        </c:ser>
        <c:ser>
          <c:idx val="3"/>
          <c:order val="3"/>
          <c:tx>
            <c:strRef>
              <c:f>○!$G$102</c:f>
              <c:strCache>
                <c:ptCount val="1"/>
                <c:pt idx="0">
                  <c:v>5-HMF</c:v>
                </c:pt>
              </c:strCache>
            </c:strRef>
          </c:tx>
          <c:spPr>
            <a:solidFill>
              <a:srgbClr val="987D1C"/>
            </a:solidFill>
            <a:ln>
              <a:noFill/>
            </a:ln>
            <a:effectLst/>
          </c:spPr>
          <c:invertIfNegative val="0"/>
          <c:cat>
            <c:strRef>
              <c:f>○!$C$103:$C$110</c:f>
              <c:strCache>
                <c:ptCount val="8"/>
                <c:pt idx="0">
                  <c:v>Run1</c:v>
                </c:pt>
                <c:pt idx="1">
                  <c:v>Run1</c:v>
                </c:pt>
                <c:pt idx="2">
                  <c:v>Run1</c:v>
                </c:pt>
                <c:pt idx="3">
                  <c:v>Run1</c:v>
                </c:pt>
                <c:pt idx="4">
                  <c:v>Run2</c:v>
                </c:pt>
                <c:pt idx="5">
                  <c:v>Run3</c:v>
                </c:pt>
                <c:pt idx="6">
                  <c:v>Run1</c:v>
                </c:pt>
                <c:pt idx="7">
                  <c:v>Run1</c:v>
                </c:pt>
              </c:strCache>
            </c:strRef>
          </c:cat>
          <c:val>
            <c:numRef>
              <c:f>○!$G$103:$G$110</c:f>
              <c:numCache>
                <c:formatCode>General</c:formatCode>
                <c:ptCount val="8"/>
                <c:pt idx="0">
                  <c:v>1.4040676000000003</c:v>
                </c:pt>
                <c:pt idx="1">
                  <c:v>5.8741935200000004</c:v>
                </c:pt>
                <c:pt idx="2">
                  <c:v>2.6750016800000003</c:v>
                </c:pt>
                <c:pt idx="3">
                  <c:v>3.4371781599999998</c:v>
                </c:pt>
                <c:pt idx="4">
                  <c:v>2.8040001600000002</c:v>
                </c:pt>
                <c:pt idx="5">
                  <c:v>2.3992831200000002</c:v>
                </c:pt>
                <c:pt idx="6">
                  <c:v>7.4</c:v>
                </c:pt>
                <c:pt idx="7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2C-46CC-B673-9DF1A3C2273F}"/>
            </c:ext>
          </c:extLst>
        </c:ser>
        <c:ser>
          <c:idx val="4"/>
          <c:order val="4"/>
          <c:tx>
            <c:strRef>
              <c:f>○!$H$102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○!$C$103:$C$110</c:f>
              <c:strCache>
                <c:ptCount val="8"/>
                <c:pt idx="0">
                  <c:v>Run1</c:v>
                </c:pt>
                <c:pt idx="1">
                  <c:v>Run1</c:v>
                </c:pt>
                <c:pt idx="2">
                  <c:v>Run1</c:v>
                </c:pt>
                <c:pt idx="3">
                  <c:v>Run1</c:v>
                </c:pt>
                <c:pt idx="4">
                  <c:v>Run2</c:v>
                </c:pt>
                <c:pt idx="5">
                  <c:v>Run3</c:v>
                </c:pt>
                <c:pt idx="6">
                  <c:v>Run1</c:v>
                </c:pt>
                <c:pt idx="7">
                  <c:v>Run1</c:v>
                </c:pt>
              </c:strCache>
            </c:strRef>
          </c:cat>
          <c:val>
            <c:numRef>
              <c:f>○!$H$103:$H$110</c:f>
              <c:numCache>
                <c:formatCode>General</c:formatCode>
                <c:ptCount val="8"/>
                <c:pt idx="0">
                  <c:v>0.8</c:v>
                </c:pt>
                <c:pt idx="1">
                  <c:v>3.3</c:v>
                </c:pt>
                <c:pt idx="2">
                  <c:v>1</c:v>
                </c:pt>
                <c:pt idx="3">
                  <c:v>1.5</c:v>
                </c:pt>
                <c:pt idx="4">
                  <c:v>1.1000000000000001</c:v>
                </c:pt>
                <c:pt idx="5">
                  <c:v>0.7</c:v>
                </c:pt>
                <c:pt idx="6">
                  <c:v>3.8</c:v>
                </c:pt>
                <c:pt idx="7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2C-46CC-B673-9DF1A3C2273F}"/>
            </c:ext>
          </c:extLst>
        </c:ser>
        <c:ser>
          <c:idx val="5"/>
          <c:order val="5"/>
          <c:tx>
            <c:strRef>
              <c:f>○!$I$102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○!$I$103:$I$110</c:f>
              <c:numCache>
                <c:formatCode>General</c:formatCode>
                <c:ptCount val="8"/>
                <c:pt idx="0">
                  <c:v>17.333313017283732</c:v>
                </c:pt>
                <c:pt idx="1">
                  <c:v>26.696231973826833</c:v>
                </c:pt>
                <c:pt idx="2">
                  <c:v>17.688272424938749</c:v>
                </c:pt>
                <c:pt idx="3">
                  <c:v>21.545257827654314</c:v>
                </c:pt>
                <c:pt idx="4">
                  <c:v>15.782378759753167</c:v>
                </c:pt>
                <c:pt idx="5">
                  <c:v>16.798800336789622</c:v>
                </c:pt>
                <c:pt idx="6">
                  <c:v>25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2-4AE5-A1FD-3DCC8D0B9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935344"/>
        <c:axId val="882919504"/>
      </c:barChart>
      <c:catAx>
        <c:axId val="88293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82919504"/>
        <c:crosses val="autoZero"/>
        <c:auto val="1"/>
        <c:lblAlgn val="ctr"/>
        <c:lblOffset val="100"/>
        <c:noMultiLvlLbl val="0"/>
      </c:catAx>
      <c:valAx>
        <c:axId val="8829195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(%)</a:t>
                </a:r>
                <a:endParaRPr lang="ja-JP" altLang="en-US" sz="2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ln>
                  <a:noFill/>
                </a:ln>
                <a:solidFill>
                  <a:schemeClr val="tx1">
                    <a:alpha val="98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82935344"/>
        <c:crosses val="autoZero"/>
        <c:crossBetween val="between"/>
        <c:majorUnit val="20"/>
      </c:valAx>
      <c:spPr>
        <a:noFill/>
        <a:ln w="31750" cmpd="sng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8.699605771383255E-2"/>
          <c:y val="3.8949542302631202E-3"/>
          <c:w val="0.89999991564564508"/>
          <c:h val="4.5187022776654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9050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9030670675241014"/>
          <c:y val="3.042405843847832E-2"/>
          <c:w val="0.58426453177722981"/>
          <c:h val="0.8573617540407424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980-4954-9860-C89895EAE875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  <a:cs typeface="Times New Roman" panose="02020603050405020304" pitchFamily="18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○!$E$165:$E$177</c:f>
              <c:strCache>
                <c:ptCount val="13"/>
                <c:pt idx="0">
                  <c:v>blank</c:v>
                </c:pt>
                <c:pt idx="1">
                  <c:v>フタル酸</c:v>
                </c:pt>
                <c:pt idx="2">
                  <c:v>2,3-ナフタレンジカルボン酸</c:v>
                </c:pt>
                <c:pt idx="3">
                  <c:v>4-メトキシフタル酸</c:v>
                </c:pt>
                <c:pt idx="4">
                  <c:v>3-メトキシフタル酸</c:v>
                </c:pt>
                <c:pt idx="5">
                  <c:v>4-NO</c:v>
                </c:pt>
                <c:pt idx="6">
                  <c:v>4-PO</c:v>
                </c:pt>
                <c:pt idx="7">
                  <c:v>4-NE</c:v>
                </c:pt>
                <c:pt idx="8">
                  <c:v>3-NE</c:v>
                </c:pt>
                <c:pt idx="9">
                  <c:v>4-PE</c:v>
                </c:pt>
                <c:pt idx="10">
                  <c:v>4-NB</c:v>
                </c:pt>
                <c:pt idx="11">
                  <c:v>マレイン酸</c:v>
                </c:pt>
                <c:pt idx="12">
                  <c:v>アントラキノン-
2,3-ジカルボン酸</c:v>
                </c:pt>
              </c:strCache>
            </c:strRef>
          </c:cat>
          <c:val>
            <c:numRef>
              <c:f>○!$F$165:$F$177</c:f>
              <c:numCache>
                <c:formatCode>General</c:formatCode>
                <c:ptCount val="13"/>
                <c:pt idx="0">
                  <c:v>0.7</c:v>
                </c:pt>
                <c:pt idx="1">
                  <c:v>13.32</c:v>
                </c:pt>
                <c:pt idx="2">
                  <c:v>11.8</c:v>
                </c:pt>
                <c:pt idx="3">
                  <c:v>13.29</c:v>
                </c:pt>
                <c:pt idx="4">
                  <c:v>8.9499999999999993</c:v>
                </c:pt>
                <c:pt idx="5">
                  <c:v>12.97</c:v>
                </c:pt>
                <c:pt idx="6">
                  <c:v>13.9</c:v>
                </c:pt>
                <c:pt idx="7">
                  <c:v>12.8</c:v>
                </c:pt>
                <c:pt idx="8">
                  <c:v>5.7</c:v>
                </c:pt>
                <c:pt idx="9">
                  <c:v>13.55</c:v>
                </c:pt>
                <c:pt idx="10">
                  <c:v>13.46</c:v>
                </c:pt>
                <c:pt idx="11">
                  <c:v>18.649999999999999</c:v>
                </c:pt>
                <c:pt idx="12">
                  <c:v>17.7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80-4954-9860-C89895EAE8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tx1"/>
                          </a:solidFill>
                          <a:latin typeface="ＭＳ 明朝" panose="02020609040205080304" pitchFamily="17" charset="-128"/>
                          <a:ea typeface="ＭＳ 明朝" panose="02020609040205080304" pitchFamily="17" charset="-128"/>
                          <a:cs typeface="Times New Roman" panose="02020603050405020304" pitchFamily="18" charset="0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○!$E$165:$E$177</c15:sqref>
                        </c15:formulaRef>
                      </c:ext>
                    </c:extLst>
                    <c:strCache>
                      <c:ptCount val="13"/>
                      <c:pt idx="0">
                        <c:v>blank</c:v>
                      </c:pt>
                      <c:pt idx="1">
                        <c:v>フタル酸</c:v>
                      </c:pt>
                      <c:pt idx="2">
                        <c:v>2,3-ナフタレンジカルボン酸</c:v>
                      </c:pt>
                      <c:pt idx="3">
                        <c:v>4-メトキシフタル酸</c:v>
                      </c:pt>
                      <c:pt idx="4">
                        <c:v>3-メトキシフタル酸</c:v>
                      </c:pt>
                      <c:pt idx="5">
                        <c:v>4-NO</c:v>
                      </c:pt>
                      <c:pt idx="6">
                        <c:v>4-PO</c:v>
                      </c:pt>
                      <c:pt idx="7">
                        <c:v>4-NE</c:v>
                      </c:pt>
                      <c:pt idx="8">
                        <c:v>3-NE</c:v>
                      </c:pt>
                      <c:pt idx="9">
                        <c:v>4-PE</c:v>
                      </c:pt>
                      <c:pt idx="10">
                        <c:v>4-NB</c:v>
                      </c:pt>
                      <c:pt idx="11">
                        <c:v>マレイン酸</c:v>
                      </c:pt>
                      <c:pt idx="12">
                        <c:v>アントラキノン-
2,3-ジカルボン酸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'データベース pH'!$M$115:$M$123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A980-4954-9860-C89895EAE875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  <a:cs typeface="Times New Roman" panose="02020603050405020304" pitchFamily="18" charset="0"/>
                  </a:defRPr>
                </a:pPr>
                <a:r>
                  <a:rPr lang="en-US"/>
                  <a:t>Yield of glucose (%)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54854343834473773"/>
              <c:y val="0.93747799539224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2000" b="1">
          <a:solidFill>
            <a:schemeClr val="tx1"/>
          </a:solidFill>
          <a:latin typeface="ＭＳ 明朝" panose="02020609040205080304" pitchFamily="17" charset="-128"/>
          <a:ea typeface="ＭＳ 明朝" panose="02020609040205080304" pitchFamily="17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○!$R$35:$R$39</c:f>
              <c:numCache>
                <c:formatCode>General</c:formatCode>
                <c:ptCount val="5"/>
                <c:pt idx="0">
                  <c:v>50.956284153005463</c:v>
                </c:pt>
                <c:pt idx="1">
                  <c:v>49.933481152993345</c:v>
                </c:pt>
                <c:pt idx="2">
                  <c:v>48.793428033544416</c:v>
                </c:pt>
                <c:pt idx="3">
                  <c:v>54.664723032069972</c:v>
                </c:pt>
                <c:pt idx="4">
                  <c:v>52.74046211714132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F-4626-A479-B0847AAE71E9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○!$B$35:$B$40</c:f>
              <c:numCache>
                <c:formatCode>General</c:formatCode>
                <c:ptCount val="6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○!$Q$35:$Q$39</c:f>
              <c:numCache>
                <c:formatCode>General</c:formatCode>
                <c:ptCount val="5"/>
                <c:pt idx="0">
                  <c:v>36.393442622950815</c:v>
                </c:pt>
                <c:pt idx="1">
                  <c:v>36.851441241685144</c:v>
                </c:pt>
                <c:pt idx="2">
                  <c:v>36.231387985623826</c:v>
                </c:pt>
                <c:pt idx="3">
                  <c:v>44.606413994169102</c:v>
                </c:pt>
                <c:pt idx="4">
                  <c:v>48.428264373992477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F-4626-A479-B0847AAE71E9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○!$S$35:$S$39</c:f>
              <c:numCache>
                <c:formatCode>General</c:formatCode>
                <c:ptCount val="5"/>
                <c:pt idx="0">
                  <c:v>50.542857142857144</c:v>
                </c:pt>
                <c:pt idx="1">
                  <c:v>54.011741682974559</c:v>
                </c:pt>
                <c:pt idx="2">
                  <c:v>51.183333333333337</c:v>
                </c:pt>
                <c:pt idx="3">
                  <c:v>50.909335848039873</c:v>
                </c:pt>
                <c:pt idx="4">
                  <c:v>51.687639656591791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8F-4626-A479-B0847AAE71E9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4"/>
            <c:spPr>
              <a:solidFill>
                <a:srgbClr val="FFC00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○!$T$35:$T$38</c:f>
              <c:numCache>
                <c:formatCode>General</c:formatCode>
                <c:ptCount val="4"/>
                <c:pt idx="0">
                  <c:v>48.787602552415684</c:v>
                </c:pt>
                <c:pt idx="1">
                  <c:v>47.560507107184016</c:v>
                </c:pt>
                <c:pt idx="2">
                  <c:v>36.40608034744843</c:v>
                </c:pt>
                <c:pt idx="3">
                  <c:v>7.2358146798542426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8F-4626-A479-B0847AAE7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en-US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触媒量</a:t>
                </a: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0963969929671424"/>
          <c:y val="0.43412070347407111"/>
          <c:w val="0.33150799010749077"/>
          <c:h val="0.41048790633763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1689835933356"/>
          <c:y val="4.1704246313010333E-2"/>
          <c:w val="0.6638738068384028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データベース!$G$2</c:f>
              <c:numCache>
                <c:formatCode>0.00_);[Red]\(0.00\)</c:formatCode>
                <c:ptCount val="1"/>
                <c:pt idx="0">
                  <c:v>1.7955156240555172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46-4794-BE94-58DCABD4061D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646-4794-BE94-58DCABD4061D}"/>
              </c:ext>
            </c:extLst>
          </c:dPt>
          <c:xVal>
            <c:numRef>
              <c:f>データベース!$G$10</c:f>
              <c:numCache>
                <c:formatCode>0.00_);[Red]\(0.00\)</c:formatCode>
                <c:ptCount val="1"/>
                <c:pt idx="0">
                  <c:v>1.3600089392197512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46-4794-BE94-58DCABD4061D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rgbClr val="FF000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データベース!$G$4</c:f>
              <c:numCache>
                <c:formatCode>0.00_);[Red]\(0.00\)</c:formatCode>
                <c:ptCount val="1"/>
                <c:pt idx="0">
                  <c:v>2.4882746224445818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46-4794-BE94-58DCABD4061D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データベース!$G$11</c:f>
              <c:numCache>
                <c:formatCode>0.00_);[Red]\(0.00\)</c:formatCode>
                <c:ptCount val="1"/>
                <c:pt idx="0">
                  <c:v>1.27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46-4794-BE94-58DCABD4061D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データベース!$G$12</c:f>
              <c:numCache>
                <c:formatCode>0.00_);[Red]\(0.00\)</c:formatCode>
                <c:ptCount val="1"/>
                <c:pt idx="0">
                  <c:v>2.6150830917526768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46-4794-BE94-58DCABD4061D}"/>
            </c:ext>
          </c:extLst>
        </c:ser>
        <c:ser>
          <c:idx val="1"/>
          <c:order val="5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FF00"/>
              </a:solidFill>
              <a:ln w="285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データベース!$G$3</c:f>
              <c:numCache>
                <c:formatCode>0.00_);[Red]\(0.00\)</c:formatCode>
                <c:ptCount val="1"/>
                <c:pt idx="0">
                  <c:v>2.9539616123697523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646-4794-BE94-58DCABD4061D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FF00"/>
              </a:solidFill>
              <a:ln w="698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データベース!$G$8</c:f>
              <c:numCache>
                <c:formatCode>0.00_);[Red]\(0.00\)</c:formatCode>
                <c:ptCount val="1"/>
                <c:pt idx="0">
                  <c:v>4.345026974313436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46-4794-BE94-58DCABD4061D}"/>
            </c:ext>
          </c:extLst>
        </c:ser>
        <c:ser>
          <c:idx val="4"/>
          <c:order val="7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データベース!$G$6</c:f>
              <c:numCache>
                <c:formatCode>0.00_);[Red]\(0.00\)</c:formatCode>
                <c:ptCount val="1"/>
                <c:pt idx="0">
                  <c:v>4.0672090135165435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646-4794-BE94-58DCABD4061D}"/>
            </c:ext>
          </c:extLst>
        </c:ser>
        <c:ser>
          <c:idx val="9"/>
          <c:order val="8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chemeClr val="tx1"/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646-4794-BE94-58DCABD4061D}"/>
              </c:ext>
            </c:extLst>
          </c:dPt>
          <c:xVal>
            <c:numRef>
              <c:f>データベース!$G$13</c:f>
              <c:numCache>
                <c:formatCode>0.00_);[Red]\(0.00\)</c:formatCode>
                <c:ptCount val="1"/>
                <c:pt idx="0">
                  <c:v>4.175621709950347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646-4794-BE94-58DCABD4061D}"/>
            </c:ext>
          </c:extLst>
        </c:ser>
        <c:ser>
          <c:idx val="3"/>
          <c:order val="9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175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データベース!$G$21</c:f>
              <c:numCache>
                <c:formatCode>0.00_);[Red]\(0.00\)</c:formatCode>
                <c:ptCount val="1"/>
                <c:pt idx="0">
                  <c:v>3.2804766770472331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646-4794-BE94-58DCABD4061D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データベース!$G$22</c:f>
              <c:numCache>
                <c:formatCode>0.00_);[Red]\(0.00\)</c:formatCode>
                <c:ptCount val="1"/>
                <c:pt idx="0">
                  <c:v>2.3503904912138656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646-4794-BE94-58DCABD4061D}"/>
            </c:ext>
          </c:extLst>
        </c:ser>
        <c:ser>
          <c:idx val="12"/>
          <c:order val="11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6"/>
              </a:solidFill>
              <a:ln w="190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triangle"/>
              <c:size val="18"/>
              <c:spPr>
                <a:solidFill>
                  <a:schemeClr val="accent6"/>
                </a:solidFill>
                <a:ln w="190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646-4794-BE94-58DCABD4061D}"/>
              </c:ext>
            </c:extLst>
          </c:dPt>
          <c:xVal>
            <c:numRef>
              <c:f>データベース!$G$28</c:f>
              <c:numCache>
                <c:formatCode>0.00_);[Red]\(0.00\)</c:formatCode>
                <c:ptCount val="1"/>
                <c:pt idx="0">
                  <c:v>2.6454284034069762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646-4794-BE94-58DCABD4061D}"/>
            </c:ext>
          </c:extLst>
        </c:ser>
        <c:ser>
          <c:idx val="13"/>
          <c:order val="12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データベース!$G$5</c:f>
              <c:numCache>
                <c:formatCode>0.00_);[Red]\(0.00\)</c:formatCode>
                <c:ptCount val="1"/>
                <c:pt idx="0">
                  <c:v>2.87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646-4794-BE94-58DCABD4061D}"/>
            </c:ext>
          </c:extLst>
        </c:ser>
        <c:ser>
          <c:idx val="14"/>
          <c:order val="13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データベース!$G$7</c:f>
              <c:numCache>
                <c:formatCode>0.00_);[Red]\(0.00\)</c:formatCode>
                <c:ptCount val="1"/>
                <c:pt idx="0">
                  <c:v>1.9198640535723652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646-4794-BE94-58DCABD4061D}"/>
            </c:ext>
          </c:extLst>
        </c:ser>
        <c:ser>
          <c:idx val="17"/>
          <c:order val="14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7030A0"/>
              </a:solidFill>
              <a:ln w="222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データベース!$G$16</c:f>
              <c:numCache>
                <c:formatCode>0.00_);[Red]\(0.00\)</c:formatCode>
                <c:ptCount val="1"/>
                <c:pt idx="0">
                  <c:v>3.851658068773717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646-4794-BE94-58DCABD4061D}"/>
            </c:ext>
          </c:extLst>
        </c:ser>
        <c:ser>
          <c:idx val="18"/>
          <c:order val="15"/>
          <c:tx>
            <c:strRef>
              <c:f>データベース!$A$17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1587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chemeClr val="accent1">
                    <a:lumMod val="80000"/>
                  </a:schemeClr>
                </a:solidFill>
                <a:ln w="1587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5646-4794-BE94-58DCABD4061D}"/>
              </c:ext>
            </c:extLst>
          </c:dPt>
          <c:xVal>
            <c:numRef>
              <c:f>データベース!$G$17</c:f>
              <c:numCache>
                <c:formatCode>0.00_);[Red]\(0.00\)</c:formatCode>
                <c:ptCount val="1"/>
                <c:pt idx="0">
                  <c:v>2.84</c:v>
                </c:pt>
              </c:numCache>
            </c:numRef>
          </c:xVal>
          <c:yVal>
            <c:numRef>
              <c:f>データベース!$C$17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646-4794-BE94-58DCABD4061D}"/>
            </c:ext>
          </c:extLst>
        </c:ser>
        <c:ser>
          <c:idx val="19"/>
          <c:order val="16"/>
          <c:tx>
            <c:strRef>
              <c:f>データベース!$A$20</c:f>
              <c:strCache>
                <c:ptCount val="1"/>
                <c:pt idx="0">
                  <c:v>EE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rgbClr val="00B0F0"/>
              </a:solidFill>
              <a:ln w="222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rgbClr val="00B0F0"/>
                </a:solidFill>
                <a:ln w="31750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5646-4794-BE94-58DCABD4061D}"/>
              </c:ext>
            </c:extLst>
          </c:dPt>
          <c:xVal>
            <c:numRef>
              <c:f>データベース!$G$20</c:f>
              <c:numCache>
                <c:formatCode>0.00_);[Red]\(0.00\)</c:formatCode>
                <c:ptCount val="1"/>
                <c:pt idx="0">
                  <c:v>2.74</c:v>
                </c:pt>
              </c:numCache>
            </c:numRef>
          </c:xVal>
          <c:yVal>
            <c:numRef>
              <c:f>データベース!$C$20</c:f>
              <c:numCache>
                <c:formatCode>General</c:formatCode>
                <c:ptCount val="1"/>
                <c:pt idx="0">
                  <c:v>8.7356475000000007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646-4794-BE94-58DCABD4061D}"/>
            </c:ext>
          </c:extLst>
        </c:ser>
        <c:ser>
          <c:idx val="20"/>
          <c:order val="17"/>
          <c:tx>
            <c:strRef>
              <c:f>データベース!$A$23</c:f>
              <c:strCache>
                <c:ptCount val="1"/>
                <c:pt idx="0">
                  <c:v>アントラキノン-
2,3-ジカルボン酸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Pt>
            <c:idx val="0"/>
            <c:marker>
              <c:symbol val="star"/>
              <c:size val="15"/>
              <c:spPr>
                <a:solidFill>
                  <a:srgbClr val="7030A0"/>
                </a:solidFill>
                <a:ln w="222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5646-4794-BE94-58DCABD4061D}"/>
              </c:ext>
            </c:extLst>
          </c:dPt>
          <c:xVal>
            <c:numRef>
              <c:f>データベース!$G$23</c:f>
              <c:numCache>
                <c:formatCode>0.00_);[Red]\(0.00\)</c:formatCode>
                <c:ptCount val="1"/>
                <c:pt idx="0">
                  <c:v>1.32</c:v>
                </c:pt>
              </c:numCache>
            </c:numRef>
          </c:xVal>
          <c:yVal>
            <c:numRef>
              <c:f>データベース!$C$23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646-4794-BE94-58DCABD4061D}"/>
            </c:ext>
          </c:extLst>
        </c:ser>
        <c:ser>
          <c:idx val="21"/>
          <c:order val="18"/>
          <c:tx>
            <c:strRef>
              <c:f>データベース!$A$30</c:f>
              <c:strCache>
                <c:ptCount val="1"/>
                <c:pt idx="0">
                  <c:v>3-メトキシフタル酸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データベース!$G$30</c:f>
              <c:numCache>
                <c:formatCode>0.00_);[Red]\(0.00\)</c:formatCode>
                <c:ptCount val="1"/>
                <c:pt idx="0">
                  <c:v>2.9274407606004136</c:v>
                </c:pt>
              </c:numCache>
            </c:numRef>
          </c:xVal>
          <c:yVal>
            <c:numRef>
              <c:f>データベース!$C$30</c:f>
              <c:numCache>
                <c:formatCode>General</c:formatCode>
                <c:ptCount val="1"/>
                <c:pt idx="0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646-4794-BE94-58DCABD4061D}"/>
            </c:ext>
          </c:extLst>
        </c:ser>
        <c:ser>
          <c:idx val="5"/>
          <c:order val="19"/>
          <c:tx>
            <c:v>HBPEK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FFFF00"/>
              </a:solidFill>
              <a:ln w="285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データベース!$G$19</c:f>
              <c:numCache>
                <c:formatCode>0.00_);[Red]\(0.00\)</c:formatCode>
                <c:ptCount val="1"/>
                <c:pt idx="0">
                  <c:v>3.8632182566859958</c:v>
                </c:pt>
              </c:numCache>
            </c:numRef>
          </c:xVal>
          <c:yVal>
            <c:numRef>
              <c:f>データベース!$C$19</c:f>
              <c:numCache>
                <c:formatCode>General</c:formatCode>
                <c:ptCount val="1"/>
                <c:pt idx="0">
                  <c:v>9.7463250000000006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646-4794-BE94-58DCABD40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4000000000000004"/>
          <c:min val="1.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6032811347950692"/>
              <c:y val="0.92138843914198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33869298869353"/>
          <c:y val="1.1272317085466933E-2"/>
          <c:w val="0.13098570107351612"/>
          <c:h val="0.987744121883964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21182789927212"/>
          <c:y val="4.258914441333899E-2"/>
          <c:w val="0.82778664689430648"/>
          <c:h val="0.60440727200057265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○!$H$35:$H$39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34-4F6D-ADFC-3B8E56ECBED7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rgbClr val="203864"/>
              </a:solidFill>
              <a:ln w="25400">
                <a:solidFill>
                  <a:srgbClr val="203864">
                    <a:alpha val="91000"/>
                  </a:srgbClr>
                </a:solidFill>
              </a:ln>
              <a:effectLst/>
            </c:spPr>
          </c:marker>
          <c:xVal>
            <c:numRef>
              <c:f>○!$B$35:$B$40</c:f>
              <c:numCache>
                <c:formatCode>General</c:formatCode>
                <c:ptCount val="6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○!$D$35:$D$39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34-4F6D-ADFC-3B8E56ECBED7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○!$L$35:$L$39</c:f>
              <c:numCache>
                <c:formatCode>General</c:formatCode>
                <c:ptCount val="5"/>
                <c:pt idx="0">
                  <c:v>17.690000000000001</c:v>
                </c:pt>
                <c:pt idx="1">
                  <c:v>24.84</c:v>
                </c:pt>
                <c:pt idx="2">
                  <c:v>30.71</c:v>
                </c:pt>
                <c:pt idx="3">
                  <c:v>37.79</c:v>
                </c:pt>
                <c:pt idx="4">
                  <c:v>43.95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34-4F6D-ADFC-3B8E56ECBED7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C000"/>
              </a:solidFill>
              <a:ln w="31750">
                <a:solidFill>
                  <a:srgbClr val="7030A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○!$O$35:$O$39</c:f>
              <c:numCache>
                <c:formatCode>General</c:formatCode>
                <c:ptCount val="5"/>
                <c:pt idx="0">
                  <c:v>26.76</c:v>
                </c:pt>
                <c:pt idx="1">
                  <c:v>37.14</c:v>
                </c:pt>
                <c:pt idx="2">
                  <c:v>33.53</c:v>
                </c:pt>
                <c:pt idx="3">
                  <c:v>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34-4F6D-ADFC-3B8E56ECB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触媒量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(mmol)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1198562478565182"/>
              <c:y val="0.70348675575899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Coversion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9872947949603585E-3"/>
              <c:y val="0.198262045819118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  <c:majorUnit val="10"/>
      </c:valAx>
      <c:spPr>
        <a:noFill/>
        <a:ln w="2540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1.2224453213063717E-2"/>
          <c:y val="0.77427159009194424"/>
          <c:w val="0.97909350651859939"/>
          <c:h val="0.224082872775530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21182789927212"/>
          <c:y val="4.258914441333899E-2"/>
          <c:w val="0.82778664689430648"/>
          <c:h val="0.60440727200057265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○!$J$35:$J$39</c:f>
              <c:numCache>
                <c:formatCode>General</c:formatCode>
                <c:ptCount val="5"/>
                <c:pt idx="0">
                  <c:v>36.6</c:v>
                </c:pt>
                <c:pt idx="1">
                  <c:v>45.1</c:v>
                </c:pt>
                <c:pt idx="2">
                  <c:v>58.43</c:v>
                </c:pt>
                <c:pt idx="3">
                  <c:v>68.599999999999994</c:v>
                </c:pt>
                <c:pt idx="4">
                  <c:v>74.44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F8-4961-8823-A8AADBAD146B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rgbClr val="203864"/>
              </a:solidFill>
              <a:ln w="25400">
                <a:solidFill>
                  <a:srgbClr val="203864">
                    <a:alpha val="91000"/>
                  </a:srgbClr>
                </a:solidFill>
              </a:ln>
              <a:effectLst/>
            </c:spPr>
          </c:marker>
          <c:dPt>
            <c:idx val="0"/>
            <c:marker>
              <c:symbol val="square"/>
              <c:size val="12"/>
              <c:spPr>
                <a:solidFill>
                  <a:srgbClr val="203864"/>
                </a:solidFill>
                <a:ln w="25400">
                  <a:solidFill>
                    <a:srgbClr val="203864">
                      <a:alpha val="91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2F8-4961-8823-A8AADBAD146B}"/>
              </c:ext>
            </c:extLst>
          </c:dPt>
          <c:dPt>
            <c:idx val="1"/>
            <c:marker>
              <c:symbol val="square"/>
              <c:size val="12"/>
              <c:spPr>
                <a:solidFill>
                  <a:srgbClr val="203864"/>
                </a:solidFill>
                <a:ln w="25400">
                  <a:solidFill>
                    <a:srgbClr val="203864">
                      <a:alpha val="91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2F8-4961-8823-A8AADBAD146B}"/>
              </c:ext>
            </c:extLst>
          </c:dPt>
          <c:dPt>
            <c:idx val="2"/>
            <c:marker>
              <c:symbol val="square"/>
              <c:size val="12"/>
              <c:spPr>
                <a:solidFill>
                  <a:srgbClr val="203864"/>
                </a:solidFill>
                <a:ln w="25400">
                  <a:solidFill>
                    <a:srgbClr val="203864">
                      <a:alpha val="91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2F8-4961-8823-A8AADBAD146B}"/>
              </c:ext>
            </c:extLst>
          </c:dPt>
          <c:dPt>
            <c:idx val="3"/>
            <c:marker>
              <c:symbol val="square"/>
              <c:size val="12"/>
              <c:spPr>
                <a:solidFill>
                  <a:srgbClr val="203864"/>
                </a:solidFill>
                <a:ln w="25400">
                  <a:solidFill>
                    <a:srgbClr val="203864">
                      <a:alpha val="91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2F8-4961-8823-A8AADBAD146B}"/>
              </c:ext>
            </c:extLst>
          </c:dPt>
          <c:dPt>
            <c:idx val="4"/>
            <c:marker>
              <c:symbol val="square"/>
              <c:size val="12"/>
              <c:spPr>
                <a:solidFill>
                  <a:srgbClr val="203864"/>
                </a:solidFill>
                <a:ln w="25400">
                  <a:solidFill>
                    <a:srgbClr val="203864">
                      <a:alpha val="91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2F8-4961-8823-A8AADBAD146B}"/>
              </c:ext>
            </c:extLst>
          </c:dPt>
          <c:xVal>
            <c:numRef>
              <c:f>○!$B$35:$B$40</c:f>
              <c:numCache>
                <c:formatCode>General</c:formatCode>
                <c:ptCount val="6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○!$F$35:$F$39</c:f>
              <c:numCache>
                <c:formatCode>General</c:formatCode>
                <c:ptCount val="5"/>
                <c:pt idx="0">
                  <c:v>30.37</c:v>
                </c:pt>
                <c:pt idx="1">
                  <c:v>33.58</c:v>
                </c:pt>
                <c:pt idx="2">
                  <c:v>39</c:v>
                </c:pt>
                <c:pt idx="3">
                  <c:v>49.17</c:v>
                </c:pt>
                <c:pt idx="4">
                  <c:v>59.44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2F8-4961-8823-A8AADBAD146B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○!$M$35:$M$39</c:f>
              <c:numCache>
                <c:formatCode>General</c:formatCode>
                <c:ptCount val="5"/>
                <c:pt idx="0">
                  <c:v>35</c:v>
                </c:pt>
                <c:pt idx="1">
                  <c:v>45.99</c:v>
                </c:pt>
                <c:pt idx="2">
                  <c:v>60</c:v>
                </c:pt>
                <c:pt idx="3">
                  <c:v>74.23</c:v>
                </c:pt>
                <c:pt idx="4">
                  <c:v>85.03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2F8-4961-8823-A8AADBAD146B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C000"/>
              </a:solidFill>
              <a:ln w="31750">
                <a:solidFill>
                  <a:srgbClr val="7030A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○!$P$35:$P$39</c:f>
              <c:numCache>
                <c:formatCode>General</c:formatCode>
                <c:ptCount val="5"/>
                <c:pt idx="0">
                  <c:v>54.85</c:v>
                </c:pt>
                <c:pt idx="1">
                  <c:v>78.09</c:v>
                </c:pt>
                <c:pt idx="2">
                  <c:v>92.1</c:v>
                </c:pt>
                <c:pt idx="3">
                  <c:v>96.05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2F8-4961-8823-A8AADBAD1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触媒量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(mmol)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1198562478565182"/>
              <c:y val="0.70348675575899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Coversion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9872947949603585E-3"/>
              <c:y val="0.198262045819118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  <c:majorUnit val="20"/>
      </c:valAx>
      <c:spPr>
        <a:noFill/>
        <a:ln w="254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1185009902739792E-2"/>
          <c:w val="0.84926872056259273"/>
          <c:h val="0.60659525343758325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○!$R$35:$R$39</c:f>
              <c:numCache>
                <c:formatCode>General</c:formatCode>
                <c:ptCount val="5"/>
                <c:pt idx="0">
                  <c:v>50.956284153005463</c:v>
                </c:pt>
                <c:pt idx="1">
                  <c:v>49.933481152993345</c:v>
                </c:pt>
                <c:pt idx="2">
                  <c:v>48.793428033544416</c:v>
                </c:pt>
                <c:pt idx="3">
                  <c:v>54.664723032069972</c:v>
                </c:pt>
                <c:pt idx="4">
                  <c:v>52.74046211714132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2-4BE7-A674-639DC0F6F4E3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rgbClr val="002060">
                  <a:alpha val="95000"/>
                </a:srgbClr>
              </a:solidFill>
              <a:ln w="25400">
                <a:solidFill>
                  <a:srgbClr val="203864"/>
                </a:solidFill>
              </a:ln>
              <a:effectLst/>
            </c:spPr>
          </c:marker>
          <c:xVal>
            <c:numRef>
              <c:f>○!$B$35:$B$40</c:f>
              <c:numCache>
                <c:formatCode>General</c:formatCode>
                <c:ptCount val="6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○!$Q$35:$Q$39</c:f>
              <c:numCache>
                <c:formatCode>General</c:formatCode>
                <c:ptCount val="5"/>
                <c:pt idx="0">
                  <c:v>36.393442622950815</c:v>
                </c:pt>
                <c:pt idx="1">
                  <c:v>36.851441241685144</c:v>
                </c:pt>
                <c:pt idx="2">
                  <c:v>36.231387985623826</c:v>
                </c:pt>
                <c:pt idx="3">
                  <c:v>44.606413994169102</c:v>
                </c:pt>
                <c:pt idx="4">
                  <c:v>48.428264373992477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22-4BE7-A674-639DC0F6F4E3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○!$S$35:$S$39</c:f>
              <c:numCache>
                <c:formatCode>General</c:formatCode>
                <c:ptCount val="5"/>
                <c:pt idx="0">
                  <c:v>50.542857142857144</c:v>
                </c:pt>
                <c:pt idx="1">
                  <c:v>54.011741682974559</c:v>
                </c:pt>
                <c:pt idx="2">
                  <c:v>51.183333333333337</c:v>
                </c:pt>
                <c:pt idx="3">
                  <c:v>50.909335848039873</c:v>
                </c:pt>
                <c:pt idx="4">
                  <c:v>51.687639656591791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22-4BE7-A674-639DC0F6F4E3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C00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○!$T$35:$T$38</c:f>
              <c:numCache>
                <c:formatCode>General</c:formatCode>
                <c:ptCount val="4"/>
                <c:pt idx="0">
                  <c:v>48.787602552415684</c:v>
                </c:pt>
                <c:pt idx="1">
                  <c:v>47.560507107184016</c:v>
                </c:pt>
                <c:pt idx="2">
                  <c:v>36.40608034744843</c:v>
                </c:pt>
                <c:pt idx="3">
                  <c:v>7.2358146798542426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22-4BE7-A674-639DC0F6F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触媒量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(mmol)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3834994574086172"/>
              <c:y val="0.689400763915378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Selectivity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8644102807496073E-2"/>
              <c:y val="7.657382444026351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  <c:majorUnit val="20"/>
      </c:valAx>
      <c:spPr>
        <a:noFill/>
        <a:ln w="2540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6.508502519843376E-2"/>
          <c:y val="0.76271354466361929"/>
          <c:w val="0.61797835751335739"/>
          <c:h val="0.232583462101277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744708553088047"/>
          <c:y val="4.258914441333899E-2"/>
          <c:w val="0.83320242925935839"/>
          <c:h val="0.60440727200057265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○!$J$35:$J$39</c:f>
              <c:numCache>
                <c:formatCode>General</c:formatCode>
                <c:ptCount val="5"/>
                <c:pt idx="0">
                  <c:v>36.6</c:v>
                </c:pt>
                <c:pt idx="1">
                  <c:v>45.1</c:v>
                </c:pt>
                <c:pt idx="2">
                  <c:v>58.43</c:v>
                </c:pt>
                <c:pt idx="3">
                  <c:v>68.599999999999994</c:v>
                </c:pt>
                <c:pt idx="4">
                  <c:v>74.44</c:v>
                </c:pt>
              </c:numCache>
            </c:numRef>
          </c:xVal>
          <c:yVal>
            <c:numRef>
              <c:f>○!$R$35:$R$39</c:f>
              <c:numCache>
                <c:formatCode>General</c:formatCode>
                <c:ptCount val="5"/>
                <c:pt idx="0">
                  <c:v>50.956284153005463</c:v>
                </c:pt>
                <c:pt idx="1">
                  <c:v>49.933481152993345</c:v>
                </c:pt>
                <c:pt idx="2">
                  <c:v>48.793428033544416</c:v>
                </c:pt>
                <c:pt idx="3">
                  <c:v>54.664723032069972</c:v>
                </c:pt>
                <c:pt idx="4">
                  <c:v>52.74046211714132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6A-4EB4-8B6F-BCAD4CC571F5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rgbClr val="203864"/>
              </a:solidFill>
              <a:ln w="25400">
                <a:solidFill>
                  <a:srgbClr val="203864">
                    <a:alpha val="91000"/>
                  </a:srgbClr>
                </a:solidFill>
              </a:ln>
              <a:effectLst/>
            </c:spPr>
          </c:marker>
          <c:xVal>
            <c:numRef>
              <c:f>○!$F$35:$F$39</c:f>
              <c:numCache>
                <c:formatCode>General</c:formatCode>
                <c:ptCount val="5"/>
                <c:pt idx="0">
                  <c:v>30.37</c:v>
                </c:pt>
                <c:pt idx="1">
                  <c:v>33.58</c:v>
                </c:pt>
                <c:pt idx="2">
                  <c:v>39</c:v>
                </c:pt>
                <c:pt idx="3">
                  <c:v>49.17</c:v>
                </c:pt>
                <c:pt idx="4">
                  <c:v>59.44</c:v>
                </c:pt>
              </c:numCache>
            </c:numRef>
          </c:xVal>
          <c:yVal>
            <c:numRef>
              <c:f>○!$Q$35:$Q$39</c:f>
              <c:numCache>
                <c:formatCode>General</c:formatCode>
                <c:ptCount val="5"/>
                <c:pt idx="0">
                  <c:v>36.393442622950815</c:v>
                </c:pt>
                <c:pt idx="1">
                  <c:v>36.851441241685144</c:v>
                </c:pt>
                <c:pt idx="2">
                  <c:v>36.231387985623826</c:v>
                </c:pt>
                <c:pt idx="3">
                  <c:v>44.606413994169102</c:v>
                </c:pt>
                <c:pt idx="4">
                  <c:v>48.428264373992477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6A-4EB4-8B6F-BCAD4CC571F5}"/>
            </c:ext>
          </c:extLst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○!$M$35:$M$39</c:f>
              <c:numCache>
                <c:formatCode>General</c:formatCode>
                <c:ptCount val="5"/>
                <c:pt idx="0">
                  <c:v>35</c:v>
                </c:pt>
                <c:pt idx="1">
                  <c:v>45.99</c:v>
                </c:pt>
                <c:pt idx="2">
                  <c:v>60</c:v>
                </c:pt>
                <c:pt idx="3">
                  <c:v>74.23</c:v>
                </c:pt>
                <c:pt idx="4">
                  <c:v>85.03</c:v>
                </c:pt>
              </c:numCache>
            </c:numRef>
          </c:xVal>
          <c:yVal>
            <c:numRef>
              <c:f>○!$S$35:$S$39</c:f>
              <c:numCache>
                <c:formatCode>General</c:formatCode>
                <c:ptCount val="5"/>
                <c:pt idx="0">
                  <c:v>50.542857142857144</c:v>
                </c:pt>
                <c:pt idx="1">
                  <c:v>54.011741682974559</c:v>
                </c:pt>
                <c:pt idx="2">
                  <c:v>51.183333333333337</c:v>
                </c:pt>
                <c:pt idx="3">
                  <c:v>50.909335848039873</c:v>
                </c:pt>
                <c:pt idx="4">
                  <c:v>51.687639656591791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6A-4EB4-8B6F-BCAD4CC571F5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C000"/>
              </a:solidFill>
              <a:ln w="31750">
                <a:solidFill>
                  <a:srgbClr val="7030A0"/>
                </a:solidFill>
              </a:ln>
              <a:effectLst/>
            </c:spPr>
          </c:marker>
          <c:xVal>
            <c:numRef>
              <c:f>○!$P$35:$P$39</c:f>
              <c:numCache>
                <c:formatCode>General</c:formatCode>
                <c:ptCount val="5"/>
                <c:pt idx="0">
                  <c:v>54.85</c:v>
                </c:pt>
                <c:pt idx="1">
                  <c:v>78.09</c:v>
                </c:pt>
                <c:pt idx="2">
                  <c:v>92.1</c:v>
                </c:pt>
                <c:pt idx="3">
                  <c:v>96.05</c:v>
                </c:pt>
              </c:numCache>
            </c:numRef>
          </c:xVal>
          <c:yVal>
            <c:numRef>
              <c:f>○!$T$35:$T$39</c:f>
              <c:numCache>
                <c:formatCode>General</c:formatCode>
                <c:ptCount val="5"/>
                <c:pt idx="0">
                  <c:v>48.787602552415684</c:v>
                </c:pt>
                <c:pt idx="1">
                  <c:v>47.560507107184016</c:v>
                </c:pt>
                <c:pt idx="2">
                  <c:v>36.40608034744843</c:v>
                </c:pt>
                <c:pt idx="3">
                  <c:v>7.2358146798542426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6A-4EB4-8B6F-BCAD4CC57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Conversion(%)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1198562478565182"/>
              <c:y val="0.70348675575899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20"/>
      </c:valAx>
      <c:valAx>
        <c:axId val="1271582431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Selectivity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0168084033530018E-2"/>
              <c:y val="7.737822000676705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  <c:majorUnit val="20"/>
      </c:valAx>
      <c:spPr>
        <a:noFill/>
        <a:ln w="254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70531763799754"/>
          <c:y val="0.28812126631177526"/>
          <c:w val="0.84132083758645793"/>
          <c:h val="0.6209457315987648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○!$D$102</c:f>
              <c:strCache>
                <c:ptCount val="1"/>
                <c:pt idx="0">
                  <c:v>Glucose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○!$C$103:$C$110</c15:sqref>
                  </c15:fullRef>
                </c:ext>
              </c:extLst>
              <c:f>○!$C$106:$C$108</c:f>
              <c:strCache>
                <c:ptCount val="3"/>
                <c:pt idx="0">
                  <c:v>Run1</c:v>
                </c:pt>
                <c:pt idx="1">
                  <c:v>Run2</c:v>
                </c:pt>
                <c:pt idx="2">
                  <c:v>Run3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○!$D$103:$D$110</c15:sqref>
                  </c15:fullRef>
                </c:ext>
              </c:extLst>
              <c:f>○!$D$106:$D$108</c:f>
              <c:numCache>
                <c:formatCode>General</c:formatCode>
                <c:ptCount val="3"/>
                <c:pt idx="0">
                  <c:v>10</c:v>
                </c:pt>
                <c:pt idx="1">
                  <c:v>8.7700049999999994</c:v>
                </c:pt>
                <c:pt idx="2">
                  <c:v>9.6000499999999995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5-4382-B0AA-43B1E4357E5F}"/>
            </c:ext>
          </c:extLst>
        </c:ser>
        <c:ser>
          <c:idx val="1"/>
          <c:order val="1"/>
          <c:tx>
            <c:strRef>
              <c:f>○!$E$102</c:f>
              <c:strCache>
                <c:ptCount val="1"/>
                <c:pt idx="0">
                  <c:v>Oligomers</c:v>
                </c:pt>
              </c:strCache>
            </c:strRef>
          </c:tx>
          <c:spPr>
            <a:solidFill>
              <a:srgbClr val="20386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○!$C$103:$C$110</c15:sqref>
                  </c15:fullRef>
                </c:ext>
              </c:extLst>
              <c:f>○!$C$106:$C$108</c:f>
              <c:strCache>
                <c:ptCount val="3"/>
                <c:pt idx="0">
                  <c:v>Run1</c:v>
                </c:pt>
                <c:pt idx="1">
                  <c:v>Run2</c:v>
                </c:pt>
                <c:pt idx="2">
                  <c:v>Run3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○!$E$103:$E$110</c15:sqref>
                  </c15:fullRef>
                </c:ext>
              </c:extLst>
              <c:f>○!$E$106:$E$108</c:f>
              <c:numCache>
                <c:formatCode>General</c:formatCode>
                <c:ptCount val="3"/>
                <c:pt idx="0">
                  <c:v>25.090020000000003</c:v>
                </c:pt>
                <c:pt idx="1">
                  <c:v>20.567452499999998</c:v>
                </c:pt>
                <c:pt idx="2">
                  <c:v>19.227847499999999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5-4382-B0AA-43B1E4357E5F}"/>
            </c:ext>
          </c:extLst>
        </c:ser>
        <c:ser>
          <c:idx val="2"/>
          <c:order val="2"/>
          <c:tx>
            <c:strRef>
              <c:f>○!$F$102</c:f>
              <c:strCache>
                <c:ptCount val="1"/>
                <c:pt idx="0">
                  <c:v>Fructose, Mannose</c:v>
                </c:pt>
              </c:strCache>
            </c:strRef>
          </c:tx>
          <c:spPr>
            <a:solidFill>
              <a:srgbClr val="FFF2CC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○!$C$103:$C$110</c15:sqref>
                  </c15:fullRef>
                </c:ext>
              </c:extLst>
              <c:f>○!$C$106:$C$108</c:f>
              <c:strCache>
                <c:ptCount val="3"/>
                <c:pt idx="0">
                  <c:v>Run1</c:v>
                </c:pt>
                <c:pt idx="1">
                  <c:v>Run2</c:v>
                </c:pt>
                <c:pt idx="2">
                  <c:v>Run3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○!$F$103:$F$110</c15:sqref>
                  </c15:fullRef>
                </c:ext>
              </c:extLst>
              <c:f>○!$F$106:$F$108</c:f>
              <c:numCache>
                <c:formatCode>General</c:formatCode>
                <c:ptCount val="3"/>
                <c:pt idx="0">
                  <c:v>2.5454924999999999</c:v>
                </c:pt>
                <c:pt idx="1">
                  <c:v>1.82925</c:v>
                </c:pt>
                <c:pt idx="2">
                  <c:v>1.1941425000000001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B5-4382-B0AA-43B1E4357E5F}"/>
            </c:ext>
          </c:extLst>
        </c:ser>
        <c:ser>
          <c:idx val="3"/>
          <c:order val="3"/>
          <c:tx>
            <c:strRef>
              <c:f>○!$G$102</c:f>
              <c:strCache>
                <c:ptCount val="1"/>
                <c:pt idx="0">
                  <c:v>5-HMF</c:v>
                </c:pt>
              </c:strCache>
            </c:strRef>
          </c:tx>
          <c:spPr>
            <a:solidFill>
              <a:srgbClr val="987D1C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○!$C$103:$C$110</c15:sqref>
                  </c15:fullRef>
                </c:ext>
              </c:extLst>
              <c:f>○!$C$106:$C$108</c:f>
              <c:strCache>
                <c:ptCount val="3"/>
                <c:pt idx="0">
                  <c:v>Run1</c:v>
                </c:pt>
                <c:pt idx="1">
                  <c:v>Run2</c:v>
                </c:pt>
                <c:pt idx="2">
                  <c:v>Run3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○!$G$103:$G$110</c15:sqref>
                  </c15:fullRef>
                </c:ext>
              </c:extLst>
              <c:f>○!$G$106:$G$108</c:f>
              <c:numCache>
                <c:formatCode>General</c:formatCode>
                <c:ptCount val="3"/>
                <c:pt idx="0">
                  <c:v>3.4371781599999998</c:v>
                </c:pt>
                <c:pt idx="1">
                  <c:v>2.8040001600000002</c:v>
                </c:pt>
                <c:pt idx="2">
                  <c:v>2.3992831200000002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B5-4382-B0AA-43B1E4357E5F}"/>
            </c:ext>
          </c:extLst>
        </c:ser>
        <c:ser>
          <c:idx val="4"/>
          <c:order val="4"/>
          <c:tx>
            <c:strRef>
              <c:f>○!$H$102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○!$C$103:$C$110</c15:sqref>
                  </c15:fullRef>
                </c:ext>
              </c:extLst>
              <c:f>○!$C$106:$C$108</c:f>
              <c:strCache>
                <c:ptCount val="3"/>
                <c:pt idx="0">
                  <c:v>Run1</c:v>
                </c:pt>
                <c:pt idx="1">
                  <c:v>Run2</c:v>
                </c:pt>
                <c:pt idx="2">
                  <c:v>Run3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○!$H$103:$H$110</c15:sqref>
                  </c15:fullRef>
                </c:ext>
              </c:extLst>
              <c:f>○!$H$106:$H$108</c:f>
              <c:numCache>
                <c:formatCode>General</c:formatCode>
                <c:ptCount val="3"/>
                <c:pt idx="0">
                  <c:v>1.5</c:v>
                </c:pt>
                <c:pt idx="1">
                  <c:v>1.1000000000000001</c:v>
                </c:pt>
                <c:pt idx="2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B5-4382-B0AA-43B1E4357E5F}"/>
            </c:ext>
          </c:extLst>
        </c:ser>
        <c:ser>
          <c:idx val="5"/>
          <c:order val="5"/>
          <c:tx>
            <c:strRef>
              <c:f>○!$I$102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Run1</c:v>
              </c:pt>
              <c:pt idx="1">
                <c:v>Run2</c:v>
              </c:pt>
              <c:pt idx="2">
                <c:v>Run3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○!$I$103:$I$110</c15:sqref>
                  </c15:fullRef>
                </c:ext>
              </c:extLst>
              <c:f>○!$I$106:$I$108</c:f>
              <c:numCache>
                <c:formatCode>General</c:formatCode>
                <c:ptCount val="3"/>
                <c:pt idx="0">
                  <c:v>21.545257827654314</c:v>
                </c:pt>
                <c:pt idx="1">
                  <c:v>15.782378759753167</c:v>
                </c:pt>
                <c:pt idx="2">
                  <c:v>16.798800336789622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B5-4382-B0AA-43B1E4357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935344"/>
        <c:axId val="882919504"/>
      </c:barChart>
      <c:catAx>
        <c:axId val="88293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82919504"/>
        <c:crosses val="autoZero"/>
        <c:auto val="1"/>
        <c:lblAlgn val="ctr"/>
        <c:lblOffset val="100"/>
        <c:noMultiLvlLbl val="0"/>
      </c:catAx>
      <c:valAx>
        <c:axId val="8829195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(%)</a:t>
                </a:r>
                <a:endParaRPr lang="ja-JP" altLang="en-US" sz="2000" b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ln>
                  <a:noFill/>
                </a:ln>
                <a:solidFill>
                  <a:schemeClr val="tx1">
                    <a:alpha val="98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82935344"/>
        <c:crosses val="autoZero"/>
        <c:crossBetween val="between"/>
        <c:majorUnit val="20"/>
      </c:valAx>
      <c:spPr>
        <a:noFill/>
        <a:ln w="31750" cmpd="sng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2230392275254439E-2"/>
          <c:y val="3.789388193815145E-2"/>
          <c:w val="0.89999991564564508"/>
          <c:h val="0.227931166951998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29757217847768"/>
          <c:y val="4.1704220505575929E-2"/>
          <c:w val="0.86320241209227899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データベース!$G$2</c:f>
              <c:numCache>
                <c:formatCode>0.00_);[Red]\(0.00\)</c:formatCode>
                <c:ptCount val="1"/>
                <c:pt idx="0">
                  <c:v>1.7955156240555172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4C-4516-9AED-332836AFA535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D4C-4516-9AED-332836AFA535}"/>
              </c:ext>
            </c:extLst>
          </c:dPt>
          <c:xVal>
            <c:numRef>
              <c:f>データベース!$G$10</c:f>
              <c:numCache>
                <c:formatCode>0.00_);[Red]\(0.00\)</c:formatCode>
                <c:ptCount val="1"/>
                <c:pt idx="0">
                  <c:v>1.3600089392197512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4C-4516-9AED-332836AFA535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rgbClr val="FF000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データベース!$G$4</c:f>
              <c:numCache>
                <c:formatCode>0.00_);[Red]\(0.00\)</c:formatCode>
                <c:ptCount val="1"/>
                <c:pt idx="0">
                  <c:v>2.4882746224445818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4C-4516-9AED-332836AFA535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データベース!$G$11</c:f>
              <c:numCache>
                <c:formatCode>0.00_);[Red]\(0.00\)</c:formatCode>
                <c:ptCount val="1"/>
                <c:pt idx="0">
                  <c:v>1.27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4C-4516-9AED-332836AFA535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データベース!$G$12</c:f>
              <c:numCache>
                <c:formatCode>0.00_);[Red]\(0.00\)</c:formatCode>
                <c:ptCount val="1"/>
                <c:pt idx="0">
                  <c:v>2.6150830917526768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4C-4516-9AED-332836AFA535}"/>
            </c:ext>
          </c:extLst>
        </c:ser>
        <c:ser>
          <c:idx val="1"/>
          <c:order val="5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FF00"/>
              </a:solidFill>
              <a:ln w="285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データベース!$G$3</c:f>
              <c:numCache>
                <c:formatCode>0.00_);[Red]\(0.00\)</c:formatCode>
                <c:ptCount val="1"/>
                <c:pt idx="0">
                  <c:v>2.9539616123697523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4C-4516-9AED-332836AFA535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FF00"/>
              </a:solidFill>
              <a:ln w="698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データベース!$G$8</c:f>
              <c:numCache>
                <c:formatCode>0.00_);[Red]\(0.00\)</c:formatCode>
                <c:ptCount val="1"/>
                <c:pt idx="0">
                  <c:v>4.345026974313436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D4C-4516-9AED-332836AFA535}"/>
            </c:ext>
          </c:extLst>
        </c:ser>
        <c:ser>
          <c:idx val="4"/>
          <c:order val="7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データベース!$G$6</c:f>
              <c:numCache>
                <c:formatCode>0.00_);[Red]\(0.00\)</c:formatCode>
                <c:ptCount val="1"/>
                <c:pt idx="0">
                  <c:v>4.0672090135165435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D4C-4516-9AED-332836AFA535}"/>
            </c:ext>
          </c:extLst>
        </c:ser>
        <c:ser>
          <c:idx val="9"/>
          <c:order val="8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chemeClr val="tx1"/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ED4C-4516-9AED-332836AFA535}"/>
              </c:ext>
            </c:extLst>
          </c:dPt>
          <c:xVal>
            <c:numRef>
              <c:f>データベース!$G$13</c:f>
              <c:numCache>
                <c:formatCode>0.00_);[Red]\(0.00\)</c:formatCode>
                <c:ptCount val="1"/>
                <c:pt idx="0">
                  <c:v>4.175621709950347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D4C-4516-9AED-332836AFA535}"/>
            </c:ext>
          </c:extLst>
        </c:ser>
        <c:ser>
          <c:idx val="3"/>
          <c:order val="9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175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データベース!$G$21</c:f>
              <c:numCache>
                <c:formatCode>0.00_);[Red]\(0.00\)</c:formatCode>
                <c:ptCount val="1"/>
                <c:pt idx="0">
                  <c:v>3.2804766770472331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D4C-4516-9AED-332836AFA535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データベース!$G$22</c:f>
              <c:numCache>
                <c:formatCode>0.00_);[Red]\(0.00\)</c:formatCode>
                <c:ptCount val="1"/>
                <c:pt idx="0">
                  <c:v>2.3503904912138656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D4C-4516-9AED-332836AFA535}"/>
            </c:ext>
          </c:extLst>
        </c:ser>
        <c:ser>
          <c:idx val="12"/>
          <c:order val="11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6"/>
              </a:solidFill>
              <a:ln w="190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triangle"/>
              <c:size val="18"/>
              <c:spPr>
                <a:solidFill>
                  <a:schemeClr val="accent6"/>
                </a:solidFill>
                <a:ln w="190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D4C-4516-9AED-332836AFA535}"/>
              </c:ext>
            </c:extLst>
          </c:dPt>
          <c:xVal>
            <c:numRef>
              <c:f>データベース!$G$28</c:f>
              <c:numCache>
                <c:formatCode>0.00_);[Red]\(0.00\)</c:formatCode>
                <c:ptCount val="1"/>
                <c:pt idx="0">
                  <c:v>2.6454284034069762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D4C-4516-9AED-332836AFA535}"/>
            </c:ext>
          </c:extLst>
        </c:ser>
        <c:ser>
          <c:idx val="13"/>
          <c:order val="12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データベース!$G$5</c:f>
              <c:numCache>
                <c:formatCode>0.00_);[Red]\(0.00\)</c:formatCode>
                <c:ptCount val="1"/>
                <c:pt idx="0">
                  <c:v>2.87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D4C-4516-9AED-332836AFA535}"/>
            </c:ext>
          </c:extLst>
        </c:ser>
        <c:ser>
          <c:idx val="14"/>
          <c:order val="13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2">
                  <a:lumMod val="75000"/>
                </a:schemeClr>
              </a:solidFill>
              <a:ln w="25400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データベース!$G$7</c:f>
              <c:numCache>
                <c:formatCode>0.00_);[Red]\(0.00\)</c:formatCode>
                <c:ptCount val="1"/>
                <c:pt idx="0">
                  <c:v>1.9198640535723652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D4C-4516-9AED-332836AFA535}"/>
            </c:ext>
          </c:extLst>
        </c:ser>
        <c:ser>
          <c:idx val="17"/>
          <c:order val="14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7030A0"/>
              </a:solidFill>
              <a:ln w="222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データベース!$G$16</c:f>
              <c:numCache>
                <c:formatCode>0.00_);[Red]\(0.00\)</c:formatCode>
                <c:ptCount val="1"/>
                <c:pt idx="0">
                  <c:v>3.851658068773717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D4C-4516-9AED-332836AFA535}"/>
            </c:ext>
          </c:extLst>
        </c:ser>
        <c:ser>
          <c:idx val="18"/>
          <c:order val="15"/>
          <c:tx>
            <c:strRef>
              <c:f>データベース!$A$17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1">
                  <a:lumMod val="80000"/>
                </a:schemeClr>
              </a:solidFill>
              <a:ln w="31750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chemeClr val="accent1">
                    <a:lumMod val="80000"/>
                  </a:schemeClr>
                </a:solidFill>
                <a:ln w="31750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ED4C-4516-9AED-332836AFA535}"/>
              </c:ext>
            </c:extLst>
          </c:dPt>
          <c:xVal>
            <c:numRef>
              <c:f>データベース!$G$17</c:f>
              <c:numCache>
                <c:formatCode>0.00_);[Red]\(0.00\)</c:formatCode>
                <c:ptCount val="1"/>
                <c:pt idx="0">
                  <c:v>2.84</c:v>
                </c:pt>
              </c:numCache>
            </c:numRef>
          </c:xVal>
          <c:yVal>
            <c:numRef>
              <c:f>データベース!$C$17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D4C-4516-9AED-332836AFA535}"/>
            </c:ext>
          </c:extLst>
        </c:ser>
        <c:ser>
          <c:idx val="19"/>
          <c:order val="16"/>
          <c:tx>
            <c:strRef>
              <c:f>データベース!$A$20</c:f>
              <c:strCache>
                <c:ptCount val="1"/>
                <c:pt idx="0">
                  <c:v>EE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rgbClr val="00B0F0"/>
              </a:solidFill>
              <a:ln w="31750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rgbClr val="00B0F0"/>
                </a:solidFill>
                <a:ln w="31750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ED4C-4516-9AED-332836AFA535}"/>
              </c:ext>
            </c:extLst>
          </c:dPt>
          <c:xVal>
            <c:numRef>
              <c:f>データベース!$G$20</c:f>
              <c:numCache>
                <c:formatCode>0.00_);[Red]\(0.00\)</c:formatCode>
                <c:ptCount val="1"/>
                <c:pt idx="0">
                  <c:v>2.74</c:v>
                </c:pt>
              </c:numCache>
            </c:numRef>
          </c:xVal>
          <c:yVal>
            <c:numRef>
              <c:f>データベース!$C$20</c:f>
              <c:numCache>
                <c:formatCode>General</c:formatCode>
                <c:ptCount val="1"/>
                <c:pt idx="0">
                  <c:v>8.7356475000000007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D4C-4516-9AED-332836AFA535}"/>
            </c:ext>
          </c:extLst>
        </c:ser>
        <c:ser>
          <c:idx val="20"/>
          <c:order val="17"/>
          <c:tx>
            <c:strRef>
              <c:f>データベース!$A$23</c:f>
              <c:strCache>
                <c:ptCount val="1"/>
                <c:pt idx="0">
                  <c:v>アントラキノン-
2,3-ジカルボン酸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Pt>
            <c:idx val="0"/>
            <c:marker>
              <c:symbol val="star"/>
              <c:size val="15"/>
              <c:spPr>
                <a:solidFill>
                  <a:srgbClr val="7030A0"/>
                </a:solidFill>
                <a:ln w="222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ED4C-4516-9AED-332836AFA535}"/>
              </c:ext>
            </c:extLst>
          </c:dPt>
          <c:xVal>
            <c:numRef>
              <c:f>データベース!$G$23</c:f>
              <c:numCache>
                <c:formatCode>0.00_);[Red]\(0.00\)</c:formatCode>
                <c:ptCount val="1"/>
                <c:pt idx="0">
                  <c:v>1.32</c:v>
                </c:pt>
              </c:numCache>
            </c:numRef>
          </c:xVal>
          <c:yVal>
            <c:numRef>
              <c:f>データベース!$C$23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D4C-4516-9AED-332836AFA535}"/>
            </c:ext>
          </c:extLst>
        </c:ser>
        <c:ser>
          <c:idx val="21"/>
          <c:order val="18"/>
          <c:tx>
            <c:strRef>
              <c:f>データベース!$A$30</c:f>
              <c:strCache>
                <c:ptCount val="1"/>
                <c:pt idx="0">
                  <c:v>3-メトキシフタル酸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E155D7"/>
              </a:solidFill>
              <a:ln w="28575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データベース!$G$30</c:f>
              <c:numCache>
                <c:formatCode>0.00_);[Red]\(0.00\)</c:formatCode>
                <c:ptCount val="1"/>
                <c:pt idx="0">
                  <c:v>2.9274407606004136</c:v>
                </c:pt>
              </c:numCache>
            </c:numRef>
          </c:xVal>
          <c:yVal>
            <c:numRef>
              <c:f>データベース!$C$30</c:f>
              <c:numCache>
                <c:formatCode>General</c:formatCode>
                <c:ptCount val="1"/>
                <c:pt idx="0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D4C-4516-9AED-332836AFA535}"/>
            </c:ext>
          </c:extLst>
        </c:ser>
        <c:ser>
          <c:idx val="22"/>
          <c:order val="19"/>
          <c:tx>
            <c:strRef>
              <c:f>データベース!$A$31</c:f>
              <c:strCache>
                <c:ptCount val="1"/>
                <c:pt idx="0">
                  <c:v>4-NO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5">
                  <a:lumMod val="80000"/>
                </a:schemeClr>
              </a:solidFill>
              <a:ln w="222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データベース!$G$31</c:f>
              <c:numCache>
                <c:formatCode>0.00_);[Red]\(0.00\)</c:formatCode>
                <c:ptCount val="1"/>
                <c:pt idx="0">
                  <c:v>2.63</c:v>
                </c:pt>
              </c:numCache>
            </c:numRef>
          </c:xVal>
          <c:yVal>
            <c:numRef>
              <c:f>データベース!$C$31</c:f>
              <c:numCache>
                <c:formatCode>General</c:formatCode>
                <c:ptCount val="1"/>
                <c:pt idx="0">
                  <c:v>12.97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D4C-4516-9AED-332836AFA535}"/>
            </c:ext>
          </c:extLst>
        </c:ser>
        <c:ser>
          <c:idx val="23"/>
          <c:order val="20"/>
          <c:tx>
            <c:strRef>
              <c:f>データベース!$A$32</c:f>
              <c:strCache>
                <c:ptCount val="1"/>
                <c:pt idx="0">
                  <c:v>4-PO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データベース!$G$32</c:f>
              <c:numCache>
                <c:formatCode>0.00_);[Red]\(0.00\)</c:formatCode>
                <c:ptCount val="1"/>
                <c:pt idx="0">
                  <c:v>2.73</c:v>
                </c:pt>
              </c:numCache>
            </c:numRef>
          </c:xVal>
          <c:yVal>
            <c:numRef>
              <c:f>データベース!$C$32</c:f>
              <c:numCache>
                <c:formatCode>General</c:formatCode>
                <c:ptCount val="1"/>
                <c:pt idx="0">
                  <c:v>13.9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D4C-4516-9AED-332836AFA535}"/>
            </c:ext>
          </c:extLst>
        </c:ser>
        <c:ser>
          <c:idx val="24"/>
          <c:order val="21"/>
          <c:tx>
            <c:strRef>
              <c:f>データベース!$A$33</c:f>
              <c:strCache>
                <c:ptCount val="1"/>
                <c:pt idx="0">
                  <c:v>4-NE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C00000"/>
              </a:solidFill>
              <a:ln w="25400">
                <a:solidFill>
                  <a:schemeClr val="bg1">
                    <a:alpha val="96000"/>
                  </a:schemeClr>
                </a:solidFill>
              </a:ln>
              <a:effectLst/>
            </c:spPr>
          </c:marker>
          <c:xVal>
            <c:numRef>
              <c:f>データベース!$G$33</c:f>
              <c:numCache>
                <c:formatCode>0.00_);[Red]\(0.00\)</c:formatCode>
                <c:ptCount val="1"/>
                <c:pt idx="0">
                  <c:v>2.78</c:v>
                </c:pt>
              </c:numCache>
            </c:numRef>
          </c:xVal>
          <c:yVal>
            <c:numRef>
              <c:f>データベース!$C$33</c:f>
              <c:numCache>
                <c:formatCode>General</c:formatCode>
                <c:ptCount val="1"/>
                <c:pt idx="0">
                  <c:v>12.8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D4C-4516-9AED-332836AFA535}"/>
            </c:ext>
          </c:extLst>
        </c:ser>
        <c:ser>
          <c:idx val="5"/>
          <c:order val="22"/>
          <c:tx>
            <c:v>HBPEK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FFFF00"/>
              </a:solidFill>
              <a:ln w="285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データベース!$G$19</c:f>
              <c:numCache>
                <c:formatCode>0.00_);[Red]\(0.00\)</c:formatCode>
                <c:ptCount val="1"/>
                <c:pt idx="0">
                  <c:v>3.8632182566859958</c:v>
                </c:pt>
              </c:numCache>
            </c:numRef>
          </c:xVal>
          <c:yVal>
            <c:numRef>
              <c:f>データベース!$C$19</c:f>
              <c:numCache>
                <c:formatCode>General</c:formatCode>
                <c:ptCount val="1"/>
                <c:pt idx="0">
                  <c:v>9.7463250000000006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D4C-4516-9AED-332836AFA535}"/>
            </c:ext>
          </c:extLst>
        </c:ser>
        <c:ser>
          <c:idx val="11"/>
          <c:order val="23"/>
          <c:tx>
            <c:strRef>
              <c:f>データベース!$A$34</c:f>
              <c:strCache>
                <c:ptCount val="1"/>
                <c:pt idx="0">
                  <c:v>3-NE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FFC000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データベース!$G$34</c:f>
              <c:numCache>
                <c:formatCode>0.00_);[Red]\(0.00\)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データベース!$C$34</c:f>
              <c:numCache>
                <c:formatCode>General</c:formatCode>
                <c:ptCount val="1"/>
                <c:pt idx="0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D4C-4516-9AED-332836AFA535}"/>
            </c:ext>
          </c:extLst>
        </c:ser>
        <c:ser>
          <c:idx val="16"/>
          <c:order val="24"/>
          <c:tx>
            <c:strRef>
              <c:f>データベース!$A$35</c:f>
              <c:strCache>
                <c:ptCount val="1"/>
                <c:pt idx="0">
                  <c:v>4-PE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00B0F0"/>
              </a:solidFill>
              <a:ln w="317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rgbClr val="00B0F0"/>
                </a:solidFill>
                <a:ln w="317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ED4C-4516-9AED-332836AFA535}"/>
              </c:ext>
            </c:extLst>
          </c:dPt>
          <c:xVal>
            <c:numRef>
              <c:f>データベース!$G$35</c:f>
              <c:numCache>
                <c:formatCode>0.00_);[Red]\(0.00\)</c:formatCode>
                <c:ptCount val="1"/>
                <c:pt idx="0">
                  <c:v>2.7</c:v>
                </c:pt>
              </c:numCache>
            </c:numRef>
          </c:xVal>
          <c:yVal>
            <c:numRef>
              <c:f>データベース!$C$35</c:f>
              <c:numCache>
                <c:formatCode>General</c:formatCode>
                <c:ptCount val="1"/>
                <c:pt idx="0">
                  <c:v>13.55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D4C-4516-9AED-332836AFA535}"/>
            </c:ext>
          </c:extLst>
        </c:ser>
        <c:ser>
          <c:idx val="25"/>
          <c:order val="25"/>
          <c:tx>
            <c:strRef>
              <c:f>データベース!$A$36</c:f>
              <c:strCache>
                <c:ptCount val="1"/>
                <c:pt idx="0">
                  <c:v>4-NB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7030A0"/>
              </a:solidFill>
              <a:ln w="31750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データベース!$G$36</c:f>
              <c:numCache>
                <c:formatCode>0.00_);[Red]\(0.00\)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データベース!$C$36</c:f>
              <c:numCache>
                <c:formatCode>General</c:formatCode>
                <c:ptCount val="1"/>
                <c:pt idx="0">
                  <c:v>13.46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D4C-4516-9AED-332836AFA535}"/>
            </c:ext>
          </c:extLst>
        </c:ser>
        <c:ser>
          <c:idx val="26"/>
          <c:order val="26"/>
          <c:tx>
            <c:strRef>
              <c:f>データベース!$A$37</c:f>
              <c:strCache>
                <c:ptCount val="1"/>
                <c:pt idx="0">
                  <c:v>45クロロフタル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6">
                  <a:lumMod val="75000"/>
                </a:schemeClr>
              </a:solidFill>
              <a:ln w="4445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データベース!$G$37</c:f>
              <c:numCache>
                <c:formatCode>0.00_);[Red]\(0.00\)</c:formatCode>
                <c:ptCount val="1"/>
                <c:pt idx="0">
                  <c:v>1.7284373551678738</c:v>
                </c:pt>
              </c:numCache>
            </c:numRef>
          </c:xVal>
          <c:yVal>
            <c:numRef>
              <c:f>データベース!$C$37</c:f>
              <c:numCache>
                <c:formatCode>General</c:formatCode>
                <c:ptCount val="1"/>
                <c:pt idx="0">
                  <c:v>18.18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9C2-4B21-8BF9-D82F48CAF6B2}"/>
            </c:ext>
          </c:extLst>
        </c:ser>
        <c:ser>
          <c:idx val="27"/>
          <c:order val="27"/>
          <c:tx>
            <c:strRef>
              <c:f>データベース!$A$38</c:f>
              <c:strCache>
                <c:ptCount val="1"/>
                <c:pt idx="0">
                  <c:v>テトラケトン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4">
                  <a:lumMod val="60000"/>
                  <a:lumOff val="40000"/>
                </a:schemeClr>
              </a:solidFill>
              <a:ln w="4445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データベース!$G$38</c:f>
              <c:numCache>
                <c:formatCode>0.00_);[Red]\(0.00\)</c:formatCode>
                <c:ptCount val="1"/>
                <c:pt idx="0">
                  <c:v>1.9392467457018467</c:v>
                </c:pt>
              </c:numCache>
            </c:numRef>
          </c:xVal>
          <c:yVal>
            <c:numRef>
              <c:f>データベース!$C$38</c:f>
              <c:numCache>
                <c:formatCode>General</c:formatCode>
                <c:ptCount val="1"/>
                <c:pt idx="0">
                  <c:v>14.76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A63-4143-B78A-9EBE6157C238}"/>
            </c:ext>
          </c:extLst>
        </c:ser>
        <c:ser>
          <c:idx val="28"/>
          <c:order val="28"/>
          <c:tx>
            <c:strRef>
              <c:f>データベース!$A$39</c:f>
              <c:strCache>
                <c:ptCount val="1"/>
                <c:pt idx="0">
                  <c:v>イミダゾール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5">
                  <a:lumMod val="50000"/>
                </a:schemeClr>
              </a:solidFill>
              <a:ln w="349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データベース!$G$39</c:f>
              <c:numCache>
                <c:formatCode>0.00_);[Red]\(0.00\)</c:formatCode>
                <c:ptCount val="1"/>
                <c:pt idx="0">
                  <c:v>2.9984990655019175</c:v>
                </c:pt>
              </c:numCache>
            </c:numRef>
          </c:xVal>
          <c:yVal>
            <c:numRef>
              <c:f>データベース!$C$39</c:f>
              <c:numCache>
                <c:formatCode>General</c:formatCode>
                <c:ptCount val="1"/>
                <c:pt idx="0">
                  <c:v>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F1-4878-9AC3-30DC2ABFD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4000000000000004"/>
          <c:min val="1.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 err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</a:t>
                </a:r>
                <a:r>
                  <a:rPr lang="en-US" altLang="ja-JP" sz="2400" b="1" i="1" dirty="0" err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K</a:t>
                </a:r>
                <a:r>
                  <a:rPr lang="en-US" altLang="ja-JP" sz="2400" b="1" baseline="-25000" dirty="0" err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</a:t>
                </a:r>
                <a:endParaRPr lang="ja-JP" altLang="en-US" sz="2400" b="1" baseline="-25000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893919510061247"/>
              <c:y val="0.931574175919967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  <c:majorUnit val="4"/>
      </c:valAx>
      <c:spPr>
        <a:noFill/>
        <a:ln w="381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6-4201-BE1A-B07EE1690BB3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416-4201-BE1A-B07EE1690BB3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16-4201-BE1A-B07EE1690BB3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16-4201-BE1A-B07EE1690BB3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16-4201-BE1A-B07EE1690BB3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16-4201-BE1A-B07EE1690BB3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16-4201-BE1A-B07EE1690BB3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416-4201-BE1A-B07EE1690BB3}"/>
            </c:ext>
          </c:extLst>
        </c:ser>
        <c:ser>
          <c:idx val="3"/>
          <c:order val="7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16-4201-BE1A-B07EE1690BB3}"/>
            </c:ext>
          </c:extLst>
        </c:ser>
        <c:ser>
          <c:idx val="6"/>
          <c:order val="8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FF00"/>
              </a:solidFill>
              <a:ln w="920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416-4201-BE1A-B07EE1690BB3}"/>
            </c:ext>
          </c:extLst>
        </c:ser>
        <c:ser>
          <c:idx val="12"/>
          <c:order val="9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416-4201-BE1A-B07EE1690BB3}"/>
            </c:ext>
          </c:extLst>
        </c:ser>
        <c:ser>
          <c:idx val="4"/>
          <c:order val="10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416-4201-BE1A-B07EE1690BB3}"/>
            </c:ext>
          </c:extLst>
        </c:ser>
        <c:ser>
          <c:idx val="9"/>
          <c:order val="11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416-4201-BE1A-B07EE1690BB3}"/>
            </c:ext>
          </c:extLst>
        </c:ser>
        <c:ser>
          <c:idx val="10"/>
          <c:order val="12"/>
          <c:tx>
            <c:strRef>
              <c:f>データベース!$A$22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rgbClr val="FFC000"/>
                </a:solidFill>
              </a:ln>
              <a:effectLst/>
            </c:spPr>
          </c:marker>
          <c:xVal>
            <c:numRef>
              <c:f>データベース!$E$22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416-4201-BE1A-B07EE1690BB3}"/>
            </c:ext>
          </c:extLst>
        </c:ser>
        <c:ser>
          <c:idx val="11"/>
          <c:order val="13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416-4201-BE1A-B07EE1690BB3}"/>
            </c:ext>
          </c:extLst>
        </c:ser>
        <c:ser>
          <c:idx val="13"/>
          <c:order val="14"/>
          <c:tx>
            <c:strRef>
              <c:f>データベース!$A$30</c:f>
              <c:strCache>
                <c:ptCount val="1"/>
                <c:pt idx="0">
                  <c:v>3-メトキシフタル酸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chemeClr val="tx1"/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8416-4201-BE1A-B07EE1690BB3}"/>
              </c:ext>
            </c:extLst>
          </c:dPt>
          <c:xVal>
            <c:numRef>
              <c:f>データベース!$E$30</c:f>
              <c:numCache>
                <c:formatCode>General</c:formatCode>
                <c:ptCount val="1"/>
                <c:pt idx="0">
                  <c:v>2.75</c:v>
                </c:pt>
              </c:numCache>
            </c:numRef>
          </c:xVal>
          <c:yVal>
            <c:numRef>
              <c:f>データベース!$C$30</c:f>
              <c:numCache>
                <c:formatCode>General</c:formatCode>
                <c:ptCount val="1"/>
                <c:pt idx="0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416-4201-BE1A-B07EE1690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000960669652001"/>
          <c:h val="0.9052342811599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D0-43B0-95AC-29433059AA9B}"/>
            </c:ext>
          </c:extLst>
        </c:ser>
        <c:ser>
          <c:idx val="1"/>
          <c:order val="1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0-43B0-95AC-29433059AA9B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0-43B0-95AC-29433059AA9B}"/>
            </c:ext>
          </c:extLst>
        </c:ser>
        <c:ser>
          <c:idx val="3"/>
          <c:order val="3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0-43B0-95AC-29433059AA9B}"/>
            </c:ext>
          </c:extLst>
        </c:ser>
        <c:ser>
          <c:idx val="4"/>
          <c:order val="4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データベース!$B$6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D0-43B0-95AC-29433059AA9B}"/>
            </c:ext>
          </c:extLst>
        </c:ser>
        <c:ser>
          <c:idx val="5"/>
          <c:order val="5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データベース!$B$7</c:f>
              <c:numCache>
                <c:formatCode>General</c:formatCode>
                <c:ptCount val="1"/>
                <c:pt idx="0">
                  <c:v>1.92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D0-43B0-95AC-29433059AA9B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D0-43B0-95AC-29433059AA9B}"/>
            </c:ext>
          </c:extLst>
        </c:ser>
        <c:ser>
          <c:idx val="7"/>
          <c:order val="7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D0-43B0-95AC-29433059AA9B}"/>
            </c:ext>
          </c:extLst>
        </c:ser>
        <c:ser>
          <c:idx val="8"/>
          <c:order val="8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データベース!$B$11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6D0-43B0-95AC-29433059AA9B}"/>
            </c:ext>
          </c:extLst>
        </c:ser>
        <c:ser>
          <c:idx val="9"/>
          <c:order val="9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D0-43B0-95AC-29433059A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pKa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1554171452038173"/>
          <c:y val="5.2761372179622151E-2"/>
          <c:w val="0.28445828547961827"/>
          <c:h val="0.894477255640755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データベース!$D$2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19-4CFA-9036-A42D2E670110}"/>
            </c:ext>
          </c:extLst>
        </c:ser>
        <c:ser>
          <c:idx val="1"/>
          <c:order val="1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データベース!$D$3</c:f>
              <c:numCache>
                <c:formatCode>General</c:formatCode>
                <c:ptCount val="1"/>
                <c:pt idx="0">
                  <c:v>8.6515001387182444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19-4CFA-9036-A42D2E670110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データベース!$D$4</c:f>
              <c:numCache>
                <c:formatCode>General</c:formatCode>
                <c:ptCount val="1"/>
                <c:pt idx="0">
                  <c:v>8.0126517930399004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19-4CFA-9036-A42D2E670110}"/>
            </c:ext>
          </c:extLst>
        </c:ser>
        <c:ser>
          <c:idx val="3"/>
          <c:order val="3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データベース!$D$5</c:f>
              <c:numCache>
                <c:formatCode>General</c:formatCode>
                <c:ptCount val="1"/>
                <c:pt idx="0">
                  <c:v>5.3459331721786691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19-4CFA-9036-A42D2E670110}"/>
            </c:ext>
          </c:extLst>
        </c:ser>
        <c:ser>
          <c:idx val="4"/>
          <c:order val="4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データベース!$B$6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データベース!$D$6</c:f>
              <c:numCache>
                <c:formatCode>General</c:formatCode>
                <c:ptCount val="1"/>
                <c:pt idx="0">
                  <c:v>1.2081910363899744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19-4CFA-9036-A42D2E670110}"/>
            </c:ext>
          </c:extLst>
        </c:ser>
        <c:ser>
          <c:idx val="5"/>
          <c:order val="5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データベース!$B$7</c:f>
              <c:numCache>
                <c:formatCode>General</c:formatCode>
                <c:ptCount val="1"/>
                <c:pt idx="0">
                  <c:v>1.92</c:v>
                </c:pt>
              </c:numCache>
            </c:numRef>
          </c:xVal>
          <c:yVal>
            <c:numRef>
              <c:f>データベース!$D$7</c:f>
              <c:numCache>
                <c:formatCode>General</c:formatCode>
                <c:ptCount val="1"/>
                <c:pt idx="0">
                  <c:v>9.1956023528812612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19-4CFA-9036-A42D2E670110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データベース!$D$8</c:f>
              <c:numCache>
                <c:formatCode>General</c:formatCode>
                <c:ptCount val="1"/>
                <c:pt idx="0">
                  <c:v>3.7035557658362612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B19-4CFA-9036-A42D2E670110}"/>
            </c:ext>
          </c:extLst>
        </c:ser>
        <c:ser>
          <c:idx val="7"/>
          <c:order val="7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データベース!$D$10</c:f>
              <c:numCache>
                <c:formatCode>General</c:formatCode>
                <c:ptCount val="1"/>
                <c:pt idx="0">
                  <c:v>7.3450547696237338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B19-4CFA-9036-A42D2E670110}"/>
            </c:ext>
          </c:extLst>
        </c:ser>
        <c:ser>
          <c:idx val="8"/>
          <c:order val="8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データベース!$D$11</c:f>
              <c:numCache>
                <c:formatCode>General</c:formatCode>
                <c:ptCount val="1"/>
                <c:pt idx="0">
                  <c:v>5.7449647183189496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B19-4CFA-9036-A42D2E670110}"/>
            </c:ext>
          </c:extLst>
        </c:ser>
        <c:ser>
          <c:idx val="9"/>
          <c:order val="9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データベース!$D$13</c:f>
              <c:numCache>
                <c:formatCode>General</c:formatCode>
                <c:ptCount val="1"/>
                <c:pt idx="0">
                  <c:v>2.2803676708920637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B19-4CFA-9036-A42D2E670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pKa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34532715322058"/>
              <c:y val="0.86432808427189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質量比活性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70322043379549"/>
          <c:y val="2.8427512123127989E-2"/>
          <c:w val="0.20629677956620457"/>
          <c:h val="0.903222054524900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628018372703416"/>
          <c:h val="0.73181357538641001"/>
        </c:manualLayout>
      </c:layout>
      <c:scatterChart>
        <c:scatterStyle val="lineMarker"/>
        <c:varyColors val="0"/>
        <c:ser>
          <c:idx val="0"/>
          <c:order val="0"/>
          <c:tx>
            <c:v>フタル酸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データベース!$B$50:$B$54</c:f>
              <c:numCache>
                <c:formatCode>General</c:formatCode>
                <c:ptCount val="5"/>
                <c:pt idx="0">
                  <c:v>29.6</c:v>
                </c:pt>
                <c:pt idx="1">
                  <c:v>59.3</c:v>
                </c:pt>
                <c:pt idx="2">
                  <c:v>118.6</c:v>
                </c:pt>
                <c:pt idx="3">
                  <c:v>296.39999999999998</c:v>
                </c:pt>
                <c:pt idx="4">
                  <c:v>592.79999999999995</c:v>
                </c:pt>
              </c:numCache>
            </c:numRef>
          </c:xVal>
          <c:yVal>
            <c:numRef>
              <c:f>データベース!$C$50:$C$54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7-4865-B84A-7E7C488A86F0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データベース!$F$50:$F$54</c:f>
              <c:numCache>
                <c:formatCode>General</c:formatCode>
                <c:ptCount val="5"/>
                <c:pt idx="0">
                  <c:v>20.7</c:v>
                </c:pt>
                <c:pt idx="1">
                  <c:v>41.4</c:v>
                </c:pt>
                <c:pt idx="2">
                  <c:v>82.8</c:v>
                </c:pt>
                <c:pt idx="3">
                  <c:v>207.1</c:v>
                </c:pt>
                <c:pt idx="4">
                  <c:v>414.2</c:v>
                </c:pt>
              </c:numCache>
            </c:numRef>
          </c:xVal>
          <c:yVal>
            <c:numRef>
              <c:f>データベース!$G$50:$G$54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77-4865-B84A-7E7C488A8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79759"/>
        <c:axId val="811011807"/>
      </c:scatterChart>
      <c:valAx>
        <c:axId val="100747975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触媒量</a:t>
                </a:r>
                <a:r>
                  <a:rPr lang="en-US" altLang="ja-JP" sz="1200">
                    <a:solidFill>
                      <a:schemeClr val="tx1"/>
                    </a:solidFill>
                  </a:rPr>
                  <a:t>[mg]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1011807"/>
        <c:crosses val="autoZero"/>
        <c:crossBetween val="midCat"/>
      </c:valAx>
      <c:valAx>
        <c:axId val="811011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479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253746226214732"/>
          <c:y val="0.50520778652668419"/>
          <c:w val="0.21106797658180737"/>
          <c:h val="0.20910104986876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628018372703416"/>
          <c:h val="0.73181357538641001"/>
        </c:manualLayout>
      </c:layout>
      <c:scatterChart>
        <c:scatterStyle val="lineMarker"/>
        <c:varyColors val="0"/>
        <c:ser>
          <c:idx val="0"/>
          <c:order val="0"/>
          <c:tx>
            <c:v>フタル酸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E8-470B-9768-CE99F12CBF79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E8-470B-9768-CE99F12CB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79759"/>
        <c:axId val="811011807"/>
      </c:scatterChart>
      <c:valAx>
        <c:axId val="100747975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COOH[mmol]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1011807"/>
        <c:crosses val="autoZero"/>
        <c:crossBetween val="midCat"/>
        <c:majorUnit val="1"/>
      </c:valAx>
      <c:valAx>
        <c:axId val="811011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479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1113169001085608"/>
          <c:y val="0.50057815689705454"/>
          <c:w val="0.19802270893352339"/>
          <c:h val="0.16743438320209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7914818192746"/>
          <c:y val="4.1576486612086835E-2"/>
          <c:w val="0.64075406747508379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BE-435B-80D5-2822E3F563CB}"/>
            </c:ext>
          </c:extLst>
        </c:ser>
        <c:ser>
          <c:idx val="1"/>
          <c:order val="1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BE-435B-80D5-2822E3F563CB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BE-435B-80D5-2822E3F563CB}"/>
            </c:ext>
          </c:extLst>
        </c:ser>
        <c:ser>
          <c:idx val="3"/>
          <c:order val="3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データベース!$E$5</c:f>
              <c:numCache>
                <c:formatCode>General</c:formatCode>
                <c:ptCount val="1"/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BE-435B-80D5-2822E3F563CB}"/>
            </c:ext>
          </c:extLst>
        </c:ser>
        <c:ser>
          <c:idx val="4"/>
          <c:order val="4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BE-435B-80D5-2822E3F563CB}"/>
            </c:ext>
          </c:extLst>
        </c:ser>
        <c:ser>
          <c:idx val="5"/>
          <c:order val="5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BE-435B-80D5-2822E3F563CB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BE-435B-80D5-2822E3F563CB}"/>
            </c:ext>
          </c:extLst>
        </c:ser>
        <c:ser>
          <c:idx val="7"/>
          <c:order val="7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BE-435B-80D5-2822E3F563CB}"/>
            </c:ext>
          </c:extLst>
        </c:ser>
        <c:ser>
          <c:idx val="8"/>
          <c:order val="8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BBE-435B-80D5-2822E3F563CB}"/>
            </c:ext>
          </c:extLst>
        </c:ser>
        <c:ser>
          <c:idx val="9"/>
          <c:order val="9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BBE-435B-80D5-2822E3F563CB}"/>
            </c:ext>
          </c:extLst>
        </c:ser>
        <c:ser>
          <c:idx val="10"/>
          <c:order val="10"/>
          <c:tx>
            <c:strRef>
              <c:f>データベース!$A$14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2857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BBE-435B-80D5-2822E3F563CB}"/>
            </c:ext>
          </c:extLst>
        </c:ser>
        <c:ser>
          <c:idx val="11"/>
          <c:order val="11"/>
          <c:tx>
            <c:strRef>
              <c:f>データベース!$A$15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285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BBE-435B-80D5-2822E3F563CB}"/>
            </c:ext>
          </c:extLst>
        </c:ser>
        <c:ser>
          <c:idx val="12"/>
          <c:order val="12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BBE-435B-80D5-2822E3F563CB}"/>
            </c:ext>
          </c:extLst>
        </c:ser>
        <c:ser>
          <c:idx val="13"/>
          <c:order val="13"/>
          <c:tx>
            <c:strRef>
              <c:f>データベース!$A$17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データベース!$E$17</c:f>
              <c:numCache>
                <c:formatCode>General</c:formatCode>
                <c:ptCount val="1"/>
              </c:numCache>
            </c:numRef>
          </c:xVal>
          <c:yVal>
            <c:numRef>
              <c:f>データベース!$C$17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BBE-435B-80D5-2822E3F563CB}"/>
            </c:ext>
          </c:extLst>
        </c:ser>
        <c:ser>
          <c:idx val="14"/>
          <c:order val="14"/>
          <c:tx>
            <c:strRef>
              <c:f>データベース!$A$18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31750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BBE-435B-80D5-2822E3F563CB}"/>
            </c:ext>
          </c:extLst>
        </c:ser>
        <c:ser>
          <c:idx val="15"/>
          <c:order val="1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BBE-435B-80D5-2822E3F56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846369117355131"/>
          <c:y val="1.6056775210888104E-2"/>
          <c:w val="0.19374095539095676"/>
          <c:h val="0.89733739575558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8-4C8F-87BA-C1785615EB2D}"/>
            </c:ext>
          </c:extLst>
        </c:ser>
        <c:ser>
          <c:idx val="1"/>
          <c:order val="1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データベース!$D$3</c:f>
              <c:numCache>
                <c:formatCode>General</c:formatCode>
                <c:ptCount val="1"/>
                <c:pt idx="0">
                  <c:v>8.6515001387182444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58-4C8F-87BA-C1785615EB2D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データベース!$D$4</c:f>
              <c:numCache>
                <c:formatCode>General</c:formatCode>
                <c:ptCount val="1"/>
                <c:pt idx="0">
                  <c:v>8.0126517930399004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58-4C8F-87BA-C1785615EB2D}"/>
            </c:ext>
          </c:extLst>
        </c:ser>
        <c:ser>
          <c:idx val="3"/>
          <c:order val="3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データベース!$E$5</c:f>
              <c:numCache>
                <c:formatCode>General</c:formatCode>
                <c:ptCount val="1"/>
              </c:numCache>
            </c:numRef>
          </c:xVal>
          <c:yVal>
            <c:numRef>
              <c:f>データベース!$D$5</c:f>
              <c:numCache>
                <c:formatCode>General</c:formatCode>
                <c:ptCount val="1"/>
                <c:pt idx="0">
                  <c:v>5.3459331721786691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58-4C8F-87BA-C1785615EB2D}"/>
            </c:ext>
          </c:extLst>
        </c:ser>
        <c:ser>
          <c:idx val="4"/>
          <c:order val="4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データベース!$D$6</c:f>
              <c:numCache>
                <c:formatCode>General</c:formatCode>
                <c:ptCount val="1"/>
                <c:pt idx="0">
                  <c:v>1.2081910363899744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58-4C8F-87BA-C1785615EB2D}"/>
            </c:ext>
          </c:extLst>
        </c:ser>
        <c:ser>
          <c:idx val="5"/>
          <c:order val="5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データベース!$D$7</c:f>
              <c:numCache>
                <c:formatCode>General</c:formatCode>
                <c:ptCount val="1"/>
                <c:pt idx="0">
                  <c:v>9.1956023528812612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58-4C8F-87BA-C1785615EB2D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データベース!$D$8</c:f>
              <c:numCache>
                <c:formatCode>General</c:formatCode>
                <c:ptCount val="1"/>
                <c:pt idx="0">
                  <c:v>3.7035557658362612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58-4C8F-87BA-C1785615EB2D}"/>
            </c:ext>
          </c:extLst>
        </c:ser>
        <c:ser>
          <c:idx val="7"/>
          <c:order val="7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データベース!$D$10</c:f>
              <c:numCache>
                <c:formatCode>General</c:formatCode>
                <c:ptCount val="1"/>
                <c:pt idx="0">
                  <c:v>7.3450547696237338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58-4C8F-87BA-C1785615EB2D}"/>
            </c:ext>
          </c:extLst>
        </c:ser>
        <c:ser>
          <c:idx val="8"/>
          <c:order val="8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データベース!$D$11</c:f>
              <c:numCache>
                <c:formatCode>General</c:formatCode>
                <c:ptCount val="1"/>
                <c:pt idx="0">
                  <c:v>5.7449647183189496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558-4C8F-87BA-C1785615EB2D}"/>
            </c:ext>
          </c:extLst>
        </c:ser>
        <c:ser>
          <c:idx val="9"/>
          <c:order val="9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データベース!$D$13</c:f>
              <c:numCache>
                <c:formatCode>General</c:formatCode>
                <c:ptCount val="1"/>
                <c:pt idx="0">
                  <c:v>2.2803676708920637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558-4C8F-87BA-C1785615EB2D}"/>
            </c:ext>
          </c:extLst>
        </c:ser>
        <c:ser>
          <c:idx val="10"/>
          <c:order val="10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558-4C8F-87BA-C1785615EB2D}"/>
            </c:ext>
          </c:extLst>
        </c:ser>
        <c:ser>
          <c:idx val="11"/>
          <c:order val="11"/>
          <c:tx>
            <c:strRef>
              <c:f>データベース!$A$17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データベース!$E$17</c:f>
              <c:numCache>
                <c:formatCode>General</c:formatCode>
                <c:ptCount val="1"/>
              </c:numCache>
            </c:numRef>
          </c:xVal>
          <c:yVal>
            <c:numRef>
              <c:f>データベース!$D$17</c:f>
              <c:numCache>
                <c:formatCode>General</c:formatCode>
                <c:ptCount val="1"/>
                <c:pt idx="0">
                  <c:v>5.409977354025723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558-4C8F-87BA-C1785615E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34532715322058"/>
              <c:y val="0.86432808427189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質量比活性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データベース!$A$71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データベース!$C$72:$C$76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5D-4B12-9F16-CF5139F4339F}"/>
            </c:ext>
          </c:extLst>
        </c:ser>
        <c:ser>
          <c:idx val="1"/>
          <c:order val="1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データベース!$E$72:$E$74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5D-4B12-9F16-CF5139F4339F}"/>
            </c:ext>
          </c:extLst>
        </c:ser>
        <c:ser>
          <c:idx val="2"/>
          <c:order val="2"/>
          <c:tx>
            <c:strRef>
              <c:f>データベース!$F$71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データベース!$G$72:$G$76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5D-4B12-9F16-CF5139F43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.6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614535207320538"/>
          <c:y val="6.871510363741655E-2"/>
          <c:w val="0.13244584911315152"/>
          <c:h val="0.23524621398367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6243813071054"/>
          <c:y val="1.9102288239246187E-2"/>
          <c:w val="0.80323498062921483"/>
          <c:h val="0.640293452877951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データベース!$A$89:$A$105</c:f>
              <c:strCache>
                <c:ptCount val="16"/>
                <c:pt idx="0">
                  <c:v>マレイン酸</c:v>
                </c:pt>
                <c:pt idx="1">
                  <c:v>4-ニトロフタル酸</c:v>
                </c:pt>
                <c:pt idx="2">
                  <c:v>フタル酸</c:v>
                </c:pt>
                <c:pt idx="3">
                  <c:v>3-ニトロフタル酸</c:v>
                </c:pt>
                <c:pt idx="4">
                  <c:v>DE</c:v>
                </c:pt>
                <c:pt idx="5">
                  <c:v>2,3-ナフタレンジカルボン酸</c:v>
                </c:pt>
                <c:pt idx="6">
                  <c:v>ピロメリット酸</c:v>
                </c:pt>
                <c:pt idx="7">
                  <c:v>5-ニトロイソフタル酸</c:v>
                </c:pt>
                <c:pt idx="8">
                  <c:v>フマル酸</c:v>
                </c:pt>
                <c:pt idx="9">
                  <c:v>HBPEK</c:v>
                </c:pt>
                <c:pt idx="10">
                  <c:v>EE</c:v>
                </c:pt>
                <c:pt idx="11">
                  <c:v>1,2-シクロヘキサンジカルボン酸</c:v>
                </c:pt>
                <c:pt idx="12">
                  <c:v>TE</c:v>
                </c:pt>
                <c:pt idx="13">
                  <c:v>安息香酸</c:v>
                </c:pt>
                <c:pt idx="14">
                  <c:v>コハク酸</c:v>
                </c:pt>
                <c:pt idx="15">
                  <c:v>リンゴ酸</c:v>
                </c:pt>
              </c:strCache>
            </c:strRef>
          </c:cat>
          <c:val>
            <c:numRef>
              <c:f>データベース!$C$89:$C$103</c:f>
              <c:numCache>
                <c:formatCode>General</c:formatCode>
                <c:ptCount val="15"/>
                <c:pt idx="0">
                  <c:v>18.649999999999999</c:v>
                </c:pt>
                <c:pt idx="1">
                  <c:v>15.65</c:v>
                </c:pt>
                <c:pt idx="2">
                  <c:v>13.32</c:v>
                </c:pt>
                <c:pt idx="3">
                  <c:v>12.49</c:v>
                </c:pt>
                <c:pt idx="4">
                  <c:v>11.82</c:v>
                </c:pt>
                <c:pt idx="5">
                  <c:v>11.8</c:v>
                </c:pt>
                <c:pt idx="6">
                  <c:v>11.53</c:v>
                </c:pt>
                <c:pt idx="7">
                  <c:v>10.76</c:v>
                </c:pt>
                <c:pt idx="8">
                  <c:v>10.52</c:v>
                </c:pt>
                <c:pt idx="9">
                  <c:v>9.75</c:v>
                </c:pt>
                <c:pt idx="10">
                  <c:v>8.74</c:v>
                </c:pt>
                <c:pt idx="11">
                  <c:v>6.8</c:v>
                </c:pt>
                <c:pt idx="12">
                  <c:v>4.18</c:v>
                </c:pt>
                <c:pt idx="13">
                  <c:v>3.45</c:v>
                </c:pt>
                <c:pt idx="14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C-48B1-AA0B-D8C2620D37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データベース!$F$89:$F$103</c:f>
              <c:numCache>
                <c:formatCode>General</c:formatCode>
                <c:ptCount val="15"/>
                <c:pt idx="0">
                  <c:v>1.0058785714285716</c:v>
                </c:pt>
                <c:pt idx="1">
                  <c:v>0.83770658263305331</c:v>
                </c:pt>
                <c:pt idx="2">
                  <c:v>0.70725252100840341</c:v>
                </c:pt>
                <c:pt idx="3">
                  <c:v>0.6606757703081233</c:v>
                </c:pt>
                <c:pt idx="4">
                  <c:v>0.62044033613445382</c:v>
                </c:pt>
                <c:pt idx="5">
                  <c:v>0.62194915966386555</c:v>
                </c:pt>
                <c:pt idx="6">
                  <c:v>0.60692521008403366</c:v>
                </c:pt>
                <c:pt idx="7">
                  <c:v>0.56389915966386561</c:v>
                </c:pt>
                <c:pt idx="8">
                  <c:v>0.55030084033613447</c:v>
                </c:pt>
                <c:pt idx="9">
                  <c:v>0.50696848739495803</c:v>
                </c:pt>
                <c:pt idx="10">
                  <c:v>0.45034789915966389</c:v>
                </c:pt>
                <c:pt idx="11">
                  <c:v>0.34205294117647067</c:v>
                </c:pt>
                <c:pt idx="12">
                  <c:v>0.19537184873949578</c:v>
                </c:pt>
                <c:pt idx="13">
                  <c:v>0.1541949579831933</c:v>
                </c:pt>
                <c:pt idx="14">
                  <c:v>0.1458298319327731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4C-48B1-AA0B-D8C2620D3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168144"/>
        <c:axId val="1548538256"/>
      </c:line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valAx>
        <c:axId val="1548538256"/>
        <c:scaling>
          <c:orientation val="minMax"/>
          <c:max val="1.0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</a:rPr>
                  <a:t>TON</a:t>
                </a:r>
                <a:endParaRPr lang="ja-JP" altLang="en-US" sz="18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between"/>
      </c:valAx>
      <c:cat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auto val="1"/>
        <c:lblAlgn val="ctr"/>
        <c:lblOffset val="100"/>
        <c:noMultiLvlLbl val="0"/>
      </c:cat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717292693192787E-2"/>
          <c:y val="1.5415195470651307E-2"/>
          <c:w val="0.84957434699168854"/>
          <c:h val="0.810769372135863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95-4B1A-B039-B4EEBCB5C95F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04-421F-B7BE-3729207DF383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04-421F-B7BE-3729207DF383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データベース!$A$115:$A$130</c:f>
              <c:strCache>
                <c:ptCount val="16"/>
                <c:pt idx="0">
                  <c:v>マレイン酸</c:v>
                </c:pt>
                <c:pt idx="1">
                  <c:v>フマル酸</c:v>
                </c:pt>
                <c:pt idx="2">
                  <c:v>リンゴ酸</c:v>
                </c:pt>
                <c:pt idx="3">
                  <c:v>コハク酸</c:v>
                </c:pt>
                <c:pt idx="4">
                  <c:v>1,2-シクロヘキサン
ジカルボン酸</c:v>
                </c:pt>
                <c:pt idx="5">
                  <c:v>フタル酸</c:v>
                </c:pt>
                <c:pt idx="6">
                  <c:v>ピロメリット酸</c:v>
                </c:pt>
                <c:pt idx="7">
                  <c:v>2,3-ナフタレン
ジカルボン酸</c:v>
                </c:pt>
                <c:pt idx="8">
                  <c:v>4-ニトロフタル酸</c:v>
                </c:pt>
                <c:pt idx="9">
                  <c:v>3-ニトロフタル酸</c:v>
                </c:pt>
                <c:pt idx="10">
                  <c:v>5-ニトロイソ
フタル酸</c:v>
                </c:pt>
                <c:pt idx="11">
                  <c:v>安息香酸</c:v>
                </c:pt>
                <c:pt idx="12">
                  <c:v>DE</c:v>
                </c:pt>
                <c:pt idx="13">
                  <c:v>EE</c:v>
                </c:pt>
                <c:pt idx="14">
                  <c:v>TE</c:v>
                </c:pt>
                <c:pt idx="15">
                  <c:v>HBPEK</c:v>
                </c:pt>
              </c:strCache>
            </c:strRef>
          </c:cat>
          <c:val>
            <c:numRef>
              <c:f>データベース!$C$115:$C$130</c:f>
              <c:numCache>
                <c:formatCode>General</c:formatCode>
                <c:ptCount val="16"/>
                <c:pt idx="0">
                  <c:v>18.649999999999999</c:v>
                </c:pt>
                <c:pt idx="1">
                  <c:v>10.52</c:v>
                </c:pt>
                <c:pt idx="2">
                  <c:v>9.27</c:v>
                </c:pt>
                <c:pt idx="3">
                  <c:v>3.3</c:v>
                </c:pt>
                <c:pt idx="4">
                  <c:v>6.8</c:v>
                </c:pt>
                <c:pt idx="5">
                  <c:v>13.32</c:v>
                </c:pt>
                <c:pt idx="6">
                  <c:v>11.53</c:v>
                </c:pt>
                <c:pt idx="7">
                  <c:v>11.8</c:v>
                </c:pt>
                <c:pt idx="8">
                  <c:v>15.65</c:v>
                </c:pt>
                <c:pt idx="9">
                  <c:v>12.49</c:v>
                </c:pt>
                <c:pt idx="10">
                  <c:v>10.76</c:v>
                </c:pt>
                <c:pt idx="11">
                  <c:v>3.45</c:v>
                </c:pt>
                <c:pt idx="12">
                  <c:v>11.82</c:v>
                </c:pt>
                <c:pt idx="13">
                  <c:v>8.74</c:v>
                </c:pt>
                <c:pt idx="14">
                  <c:v>4.18</c:v>
                </c:pt>
                <c:pt idx="15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5-4B1A-B039-B4EEBCB5C9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データベース!$F$115:$F$117</c:f>
              <c:numCache>
                <c:formatCode>General</c:formatCode>
                <c:ptCount val="3"/>
                <c:pt idx="0">
                  <c:v>1.0058785714285716</c:v>
                </c:pt>
                <c:pt idx="1">
                  <c:v>0.55030084033613447</c:v>
                </c:pt>
                <c:pt idx="2">
                  <c:v>0.4804865546218488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95-4B1A-B039-B4EEBCB5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valAx>
        <c:axId val="1548538256"/>
        <c:scaling>
          <c:orientation val="minMax"/>
          <c:max val="1.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</a:rPr>
                  <a:t>TON</a:t>
                </a:r>
                <a:endParaRPr lang="ja-JP" altLang="en-US" sz="18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2-4C3F-A695-0BB5C191F75E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2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DCF-4818-A237-5D0980BBA6BA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02-4C3F-A695-0BB5C191F75E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4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02-4C3F-A695-0BB5C191F75E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02-4C3F-A695-0BB5C191F75E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02-4C3F-A695-0BB5C191F75E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02-4C3F-A695-0BB5C191F75E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02-4C3F-A695-0BB5C191F75E}"/>
            </c:ext>
          </c:extLst>
        </c:ser>
        <c:ser>
          <c:idx val="6"/>
          <c:order val="7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02-4C3F-A695-0BB5C191F75E}"/>
            </c:ext>
          </c:extLst>
        </c:ser>
        <c:ser>
          <c:idx val="12"/>
          <c:order val="8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02-4C3F-A695-0BB5C191F75E}"/>
            </c:ext>
          </c:extLst>
        </c:ser>
        <c:ser>
          <c:idx val="4"/>
          <c:order val="9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02-4C3F-A695-0BB5C191F75E}"/>
            </c:ext>
          </c:extLst>
        </c:ser>
        <c:ser>
          <c:idx val="9"/>
          <c:order val="10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02-4C3F-A695-0BB5C191F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8678422262"/>
          <c:y val="0.14382019897224776"/>
          <c:w val="0.14139191321577732"/>
          <c:h val="0.62369843808378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89637450307768"/>
          <c:y val="3.8027502669422765E-2"/>
          <c:w val="0.84320392438755154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508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データベース!$E$72:$E$74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746-4E32-BC22-33D06ADF6D1A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3175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データベース!$G$72:$G$76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746-4E32-BC22-33D06ADF6D1A}"/>
            </c:ext>
          </c:extLst>
        </c:ser>
        <c:ser>
          <c:idx val="2"/>
          <c:order val="2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31750">
                <a:solidFill>
                  <a:srgbClr val="00B0F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00B0F0"/>
                </a:solidFill>
                <a:ln w="1905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6746-4E32-BC22-33D06ADF6D1A}"/>
              </c:ext>
            </c:extLst>
          </c:dPt>
          <c:xVal>
            <c:numRef>
              <c:f>データベース!$B$72:$B$76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データベース!$C$72:$C$76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746-4E32-BC22-33D06ADF6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2"/>
          <c:min val="1.5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8641805194383432"/>
          <c:y val="0.15446715080023998"/>
          <c:w val="0.12765234170810252"/>
          <c:h val="0.21144846330392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B1-43A3-96AE-8DD01093F5AE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B1-43A3-96AE-8DD01093F5AE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B1-43A3-96AE-8DD01093F5AE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B1-43A3-96AE-8DD01093F5AE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B1-43A3-96AE-8DD01093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scatterChart>
        <c:scatterStyle val="lineMarker"/>
        <c:varyColors val="0"/>
        <c:ser>
          <c:idx val="10"/>
          <c:order val="5"/>
          <c:tx>
            <c:v>-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データベース!$E$139:$E$153</c:f>
              <c:numCache>
                <c:formatCode>General</c:formatCode>
                <c:ptCount val="15"/>
                <c:pt idx="0">
                  <c:v>2.44</c:v>
                </c:pt>
                <c:pt idx="1">
                  <c:v>2.44</c:v>
                </c:pt>
                <c:pt idx="2">
                  <c:v>2.73</c:v>
                </c:pt>
                <c:pt idx="3">
                  <c:v>2.39</c:v>
                </c:pt>
                <c:pt idx="6">
                  <c:v>2.5299999999999998</c:v>
                </c:pt>
                <c:pt idx="7">
                  <c:v>2.64</c:v>
                </c:pt>
                <c:pt idx="8">
                  <c:v>2.76</c:v>
                </c:pt>
                <c:pt idx="11">
                  <c:v>3.37</c:v>
                </c:pt>
                <c:pt idx="12">
                  <c:v>3.14</c:v>
                </c:pt>
                <c:pt idx="13">
                  <c:v>3.08</c:v>
                </c:pt>
                <c:pt idx="14">
                  <c:v>3.29</c:v>
                </c:pt>
              </c:numCache>
            </c:numRef>
          </c:xVal>
          <c:yVal>
            <c:numRef>
              <c:f>データベース!$F$139:$F$153</c:f>
              <c:numCache>
                <c:formatCode>General</c:formatCode>
                <c:ptCount val="15"/>
                <c:pt idx="0">
                  <c:v>1.0058785714285716</c:v>
                </c:pt>
                <c:pt idx="1">
                  <c:v>0.83770658263305331</c:v>
                </c:pt>
                <c:pt idx="2">
                  <c:v>0.70725252100840341</c:v>
                </c:pt>
                <c:pt idx="3">
                  <c:v>0.6606757703081233</c:v>
                </c:pt>
                <c:pt idx="6">
                  <c:v>0.60692521008403366</c:v>
                </c:pt>
                <c:pt idx="7">
                  <c:v>0.56389915966386561</c:v>
                </c:pt>
                <c:pt idx="8">
                  <c:v>0.55030084033613447</c:v>
                </c:pt>
                <c:pt idx="11">
                  <c:v>0.34205294117647067</c:v>
                </c:pt>
                <c:pt idx="12">
                  <c:v>0.19537184873949578</c:v>
                </c:pt>
                <c:pt idx="13">
                  <c:v>0.1541949579831933</c:v>
                </c:pt>
                <c:pt idx="14">
                  <c:v>0.1458298319327731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7B1-43A3-96AE-8DD01093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624"/>
        <c:axId val="1918673344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valAx>
        <c:axId val="1918673344"/>
        <c:scaling>
          <c:orientation val="minMax"/>
          <c:max val="1.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8384147900047344"/>
              <c:y val="0.34943715070802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624"/>
        <c:crosses val="max"/>
        <c:crossBetween val="midCat"/>
        <c:majorUnit val="0.2"/>
      </c:valAx>
      <c:valAx>
        <c:axId val="172116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867334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2975276629"/>
          <c:y val="0.17882772448840642"/>
          <c:w val="0.14139191321577732"/>
          <c:h val="0.62369843808378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46-4ACB-8D53-C6246B940C27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6-4ACB-8D53-C6246B940C27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46-4ACB-8D53-C6246B940C27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46-4ACB-8D53-C6246B940C27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46-4ACB-8D53-C6246B940C27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46-4ACB-8D53-C6246B940C27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46-4ACB-8D53-C6246B940C27}"/>
            </c:ext>
          </c:extLst>
        </c:ser>
        <c:ser>
          <c:idx val="6"/>
          <c:order val="7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746-4ACB-8D53-C6246B940C27}"/>
            </c:ext>
          </c:extLst>
        </c:ser>
        <c:ser>
          <c:idx val="12"/>
          <c:order val="8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746-4ACB-8D53-C6246B940C27}"/>
            </c:ext>
          </c:extLst>
        </c:ser>
        <c:ser>
          <c:idx val="4"/>
          <c:order val="9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746-4ACB-8D53-C6246B940C27}"/>
            </c:ext>
          </c:extLst>
        </c:ser>
        <c:ser>
          <c:idx val="9"/>
          <c:order val="10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746-4ACB-8D53-C6246B940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scatterChart>
        <c:scatterStyle val="lineMarker"/>
        <c:varyColors val="0"/>
        <c:ser>
          <c:idx val="10"/>
          <c:order val="11"/>
          <c:tx>
            <c:v>-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データベース!$E$139:$E$153</c:f>
              <c:numCache>
                <c:formatCode>General</c:formatCode>
                <c:ptCount val="15"/>
                <c:pt idx="0">
                  <c:v>2.44</c:v>
                </c:pt>
                <c:pt idx="1">
                  <c:v>2.44</c:v>
                </c:pt>
                <c:pt idx="2">
                  <c:v>2.73</c:v>
                </c:pt>
                <c:pt idx="3">
                  <c:v>2.39</c:v>
                </c:pt>
                <c:pt idx="6">
                  <c:v>2.5299999999999998</c:v>
                </c:pt>
                <c:pt idx="7">
                  <c:v>2.64</c:v>
                </c:pt>
                <c:pt idx="8">
                  <c:v>2.76</c:v>
                </c:pt>
                <c:pt idx="11">
                  <c:v>3.37</c:v>
                </c:pt>
                <c:pt idx="12">
                  <c:v>3.14</c:v>
                </c:pt>
                <c:pt idx="13">
                  <c:v>3.08</c:v>
                </c:pt>
                <c:pt idx="14">
                  <c:v>3.29</c:v>
                </c:pt>
              </c:numCache>
            </c:numRef>
          </c:xVal>
          <c:yVal>
            <c:numRef>
              <c:f>データベース!$F$139:$F$153</c:f>
              <c:numCache>
                <c:formatCode>General</c:formatCode>
                <c:ptCount val="15"/>
                <c:pt idx="0">
                  <c:v>1.0058785714285716</c:v>
                </c:pt>
                <c:pt idx="1">
                  <c:v>0.83770658263305331</c:v>
                </c:pt>
                <c:pt idx="2">
                  <c:v>0.70725252100840341</c:v>
                </c:pt>
                <c:pt idx="3">
                  <c:v>0.6606757703081233</c:v>
                </c:pt>
                <c:pt idx="6">
                  <c:v>0.60692521008403366</c:v>
                </c:pt>
                <c:pt idx="7">
                  <c:v>0.56389915966386561</c:v>
                </c:pt>
                <c:pt idx="8">
                  <c:v>0.55030084033613447</c:v>
                </c:pt>
                <c:pt idx="11">
                  <c:v>0.34205294117647067</c:v>
                </c:pt>
                <c:pt idx="12">
                  <c:v>0.19537184873949578</c:v>
                </c:pt>
                <c:pt idx="13">
                  <c:v>0.1541949579831933</c:v>
                </c:pt>
                <c:pt idx="14">
                  <c:v>0.1458298319327731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746-4ACB-8D53-C6246B940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624"/>
        <c:axId val="1918673344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valAx>
        <c:axId val="1918673344"/>
        <c:scaling>
          <c:orientation val="minMax"/>
          <c:max val="1.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8384147900047344"/>
              <c:y val="0.34943715070802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624"/>
        <c:crosses val="max"/>
        <c:crossBetween val="midCat"/>
        <c:majorUnit val="0.2"/>
      </c:valAx>
      <c:valAx>
        <c:axId val="172116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867334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8678422262"/>
          <c:y val="0.14382019897224776"/>
          <c:w val="0.14139191321577732"/>
          <c:h val="0.62369843808378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05-40ED-B0B1-063BA5C149AC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5-40ED-B0B1-063BA5C149AC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5-40ED-B0B1-063BA5C149AC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5-40ED-B0B1-063BA5C149AC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5-40ED-B0B1-063BA5C149AC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5-40ED-B0B1-063BA5C149AC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505-40ED-B0B1-063BA5C149AC}"/>
            </c:ext>
          </c:extLst>
        </c:ser>
        <c:ser>
          <c:idx val="6"/>
          <c:order val="7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05-40ED-B0B1-063BA5C149AC}"/>
            </c:ext>
          </c:extLst>
        </c:ser>
        <c:ser>
          <c:idx val="12"/>
          <c:order val="8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505-40ED-B0B1-063BA5C149AC}"/>
            </c:ext>
          </c:extLst>
        </c:ser>
        <c:ser>
          <c:idx val="4"/>
          <c:order val="9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505-40ED-B0B1-063BA5C149AC}"/>
            </c:ext>
          </c:extLst>
        </c:ser>
        <c:ser>
          <c:idx val="9"/>
          <c:order val="10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505-40ED-B0B1-063BA5C149AC}"/>
            </c:ext>
          </c:extLst>
        </c:ser>
        <c:ser>
          <c:idx val="3"/>
          <c:order val="11"/>
          <c:tx>
            <c:strRef>
              <c:f>データベース!$A$14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505-40ED-B0B1-063BA5C149AC}"/>
            </c:ext>
          </c:extLst>
        </c:ser>
        <c:ser>
          <c:idx val="10"/>
          <c:order val="12"/>
          <c:tx>
            <c:strRef>
              <c:f>データベース!$A$18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505-40ED-B0B1-063BA5C149AC}"/>
            </c:ext>
          </c:extLst>
        </c:ser>
        <c:ser>
          <c:idx val="11"/>
          <c:order val="13"/>
          <c:tx>
            <c:strRef>
              <c:f>データベース!$A$15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505-40ED-B0B1-063BA5C14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8678422262"/>
          <c:y val="0.14382019897224776"/>
          <c:w val="0.14139191321577735"/>
          <c:h val="0.740814908191697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45174035692485E-2"/>
          <c:y val="3.6873310372921526E-2"/>
          <c:w val="0.89829276489146348"/>
          <c:h val="0.78880604425825884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0B-44FE-A32F-10952E90E35D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B0B-44FE-A32F-10952E90E35D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0B-44FE-A32F-10952E90E35D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0B-44FE-A32F-10952E90E35D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0B-44FE-A32F-10952E90E35D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0B-44FE-A32F-10952E90E35D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0B-44FE-A32F-10952E90E35D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B0B-44FE-A32F-10952E90E35D}"/>
            </c:ext>
          </c:extLst>
        </c:ser>
        <c:ser>
          <c:idx val="13"/>
          <c:order val="7"/>
          <c:tx>
            <c:strRef>
              <c:f>データベース!$A$104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データベース!$E$104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データベース!$C$104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42-4225-936C-280D41436BF2}"/>
            </c:ext>
          </c:extLst>
        </c:ser>
        <c:ser>
          <c:idx val="6"/>
          <c:order val="8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B0B-44FE-A32F-10952E90E35D}"/>
            </c:ext>
          </c:extLst>
        </c:ser>
        <c:ser>
          <c:idx val="12"/>
          <c:order val="9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B0B-44FE-A32F-10952E90E35D}"/>
            </c:ext>
          </c:extLst>
        </c:ser>
        <c:ser>
          <c:idx val="4"/>
          <c:order val="10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B0B-44FE-A32F-10952E90E35D}"/>
            </c:ext>
          </c:extLst>
        </c:ser>
        <c:ser>
          <c:idx val="9"/>
          <c:order val="11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B0B-44FE-A32F-10952E90E35D}"/>
            </c:ext>
          </c:extLst>
        </c:ser>
        <c:ser>
          <c:idx val="3"/>
          <c:order val="12"/>
          <c:tx>
            <c:strRef>
              <c:f>データベース!$A$14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B0B-44FE-A32F-10952E90E35D}"/>
            </c:ext>
          </c:extLst>
        </c:ser>
        <c:ser>
          <c:idx val="10"/>
          <c:order val="13"/>
          <c:tx>
            <c:strRef>
              <c:f>データベース!$A$18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B0B-44FE-A32F-10952E90E35D}"/>
            </c:ext>
          </c:extLst>
        </c:ser>
        <c:ser>
          <c:idx val="11"/>
          <c:order val="14"/>
          <c:tx>
            <c:strRef>
              <c:f>データベース!$A$15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B0B-44FE-A32F-10952E90E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1480883769973507"/>
              <c:y val="0.89837709701616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3033045688759228"/>
          <c:y val="6.2826661077188664E-2"/>
          <c:w val="0.44524435909180188"/>
          <c:h val="0.304639498823168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198451091548297"/>
          <c:y val="2.2391924887133752E-2"/>
          <c:w val="0.81044711594405827"/>
          <c:h val="0.757241093098656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F0-43E5-9712-0C6F7745CEB9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9F0-43E5-9712-0C6F7745CEB9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EB8-498E-AD12-BEC07983276D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EB8-498E-AD12-BEC07983276D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データベース!$A$115:$A$130</c:f>
              <c:strCache>
                <c:ptCount val="16"/>
                <c:pt idx="0">
                  <c:v>マレイン酸</c:v>
                </c:pt>
                <c:pt idx="1">
                  <c:v>フマル酸</c:v>
                </c:pt>
                <c:pt idx="2">
                  <c:v>リンゴ酸</c:v>
                </c:pt>
                <c:pt idx="3">
                  <c:v>コハク酸</c:v>
                </c:pt>
                <c:pt idx="4">
                  <c:v>1,2-シクロヘキサン
ジカルボン酸</c:v>
                </c:pt>
                <c:pt idx="5">
                  <c:v>フタル酸</c:v>
                </c:pt>
                <c:pt idx="6">
                  <c:v>ピロメリット酸</c:v>
                </c:pt>
                <c:pt idx="7">
                  <c:v>2,3-ナフタレン
ジカルボン酸</c:v>
                </c:pt>
                <c:pt idx="8">
                  <c:v>4-ニトロフタル酸</c:v>
                </c:pt>
                <c:pt idx="9">
                  <c:v>3-ニトロフタル酸</c:v>
                </c:pt>
                <c:pt idx="10">
                  <c:v>5-ニトロイソ
フタル酸</c:v>
                </c:pt>
                <c:pt idx="11">
                  <c:v>安息香酸</c:v>
                </c:pt>
                <c:pt idx="12">
                  <c:v>DE</c:v>
                </c:pt>
                <c:pt idx="13">
                  <c:v>EE</c:v>
                </c:pt>
                <c:pt idx="14">
                  <c:v>TE</c:v>
                </c:pt>
                <c:pt idx="15">
                  <c:v>HBPEK</c:v>
                </c:pt>
              </c:strCache>
            </c:strRef>
          </c:cat>
          <c:val>
            <c:numRef>
              <c:f>データベース!$C$115:$C$130</c:f>
              <c:numCache>
                <c:formatCode>General</c:formatCode>
                <c:ptCount val="16"/>
                <c:pt idx="0">
                  <c:v>18.649999999999999</c:v>
                </c:pt>
                <c:pt idx="1">
                  <c:v>10.52</c:v>
                </c:pt>
                <c:pt idx="2">
                  <c:v>9.27</c:v>
                </c:pt>
                <c:pt idx="3">
                  <c:v>3.3</c:v>
                </c:pt>
                <c:pt idx="4">
                  <c:v>6.8</c:v>
                </c:pt>
                <c:pt idx="5">
                  <c:v>13.32</c:v>
                </c:pt>
                <c:pt idx="6">
                  <c:v>11.53</c:v>
                </c:pt>
                <c:pt idx="7">
                  <c:v>11.8</c:v>
                </c:pt>
                <c:pt idx="8">
                  <c:v>15.65</c:v>
                </c:pt>
                <c:pt idx="9">
                  <c:v>12.49</c:v>
                </c:pt>
                <c:pt idx="10">
                  <c:v>10.76</c:v>
                </c:pt>
                <c:pt idx="11">
                  <c:v>3.45</c:v>
                </c:pt>
                <c:pt idx="12">
                  <c:v>11.82</c:v>
                </c:pt>
                <c:pt idx="13">
                  <c:v>8.74</c:v>
                </c:pt>
                <c:pt idx="14">
                  <c:v>4.18</c:v>
                </c:pt>
                <c:pt idx="15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F0-43E5-9712-0C6F7745CE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8100">
                <a:solidFill>
                  <a:sysClr val="windowText" lastClr="000000"/>
                </a:solidFill>
              </a:ln>
              <a:effectLst/>
            </c:spPr>
          </c:marker>
          <c:yVal>
            <c:numRef>
              <c:f>データベース!$F$115:$F$130</c:f>
              <c:numCache>
                <c:formatCode>General</c:formatCode>
                <c:ptCount val="16"/>
                <c:pt idx="0">
                  <c:v>1.0058785714285716</c:v>
                </c:pt>
                <c:pt idx="1">
                  <c:v>0.55030084033613447</c:v>
                </c:pt>
                <c:pt idx="2">
                  <c:v>0.4804865546218488</c:v>
                </c:pt>
                <c:pt idx="3">
                  <c:v>0.1458298319327731</c:v>
                </c:pt>
                <c:pt idx="4">
                  <c:v>0.34205294117647067</c:v>
                </c:pt>
                <c:pt idx="5">
                  <c:v>0.70725252100840341</c:v>
                </c:pt>
                <c:pt idx="6">
                  <c:v>0.60692521008403366</c:v>
                </c:pt>
                <c:pt idx="7">
                  <c:v>0.62194915966386555</c:v>
                </c:pt>
                <c:pt idx="8">
                  <c:v>0.83770658263305331</c:v>
                </c:pt>
                <c:pt idx="9">
                  <c:v>0.6606757703081233</c:v>
                </c:pt>
                <c:pt idx="10">
                  <c:v>0.56389915966386561</c:v>
                </c:pt>
                <c:pt idx="11">
                  <c:v>0.1541949579831933</c:v>
                </c:pt>
                <c:pt idx="12">
                  <c:v>0.62044033613445382</c:v>
                </c:pt>
                <c:pt idx="13">
                  <c:v>0.45034789915966389</c:v>
                </c:pt>
                <c:pt idx="14">
                  <c:v>0.19537184873949578</c:v>
                </c:pt>
                <c:pt idx="15">
                  <c:v>0.50696848739495803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F0-43E5-9712-0C6F7745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137654196155956E-2"/>
              <c:y val="0.1872978444314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valAx>
        <c:axId val="1548538256"/>
        <c:scaling>
          <c:orientation val="minMax"/>
          <c:max val="1.100000000000000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38100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8298310887021243"/>
        </c:manualLayout>
      </c:layout>
      <c:scatterChart>
        <c:scatterStyle val="lineMarker"/>
        <c:varyColors val="0"/>
        <c:ser>
          <c:idx val="0"/>
          <c:order val="0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508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データベース!$E$72:$E$74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E-4E2B-9B1F-2A4A0EF154AB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データベース!$G$72:$G$76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E-4E2B-9B1F-2A4A0EF154AB}"/>
            </c:ext>
          </c:extLst>
        </c:ser>
        <c:ser>
          <c:idx val="2"/>
          <c:order val="2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F0"/>
              </a:solidFill>
              <a:ln w="38100">
                <a:solidFill>
                  <a:srgbClr val="00B0F0"/>
                </a:solidFill>
              </a:ln>
              <a:effectLst/>
            </c:spPr>
          </c:marker>
          <c:dPt>
            <c:idx val="4"/>
            <c:marker>
              <c:symbol val="circle"/>
              <c:size val="7"/>
              <c:spPr>
                <a:solidFill>
                  <a:srgbClr val="00B0F0"/>
                </a:solidFill>
                <a:ln w="3175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31E-4E2B-9B1F-2A4A0EF154AB}"/>
              </c:ext>
            </c:extLst>
          </c:dPt>
          <c:xVal>
            <c:numRef>
              <c:f>データベース!$B$72:$B$76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データベース!$C$72:$C$76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1E-4E2B-9B1F-2A4A0EF15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2"/>
          <c:min val="1.5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0082538947842299"/>
          <c:y val="3.8557794925142996E-2"/>
          <c:w val="0.25710647316925922"/>
          <c:h val="0.21144846330392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4-4537-92DA-C748C0559BB9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FB4-4537-92DA-C748C0559BB9}"/>
              </c:ext>
            </c:extLst>
          </c:dPt>
          <c:xVal>
            <c:numRef>
              <c:f>データベース!$B$10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B4-4537-92DA-C748C0559BB9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B4-4537-92DA-C748C0559BB9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データベース!$B$11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B4-4537-92DA-C748C0559BB9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データベース!$B$12</c:f>
              <c:numCache>
                <c:formatCode>General</c:formatCode>
                <c:ptCount val="1"/>
                <c:pt idx="0">
                  <c:v>2.81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FB4-4537-92DA-C748C0559BB9}"/>
            </c:ext>
          </c:extLst>
        </c:ser>
        <c:ser>
          <c:idx val="1"/>
          <c:order val="5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FB4-4537-92DA-C748C0559BB9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FB4-4537-92DA-C748C0559BB9}"/>
            </c:ext>
          </c:extLst>
        </c:ser>
        <c:ser>
          <c:idx val="4"/>
          <c:order val="7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FB4-4537-92DA-C748C0559BB9}"/>
            </c:ext>
          </c:extLst>
        </c:ser>
        <c:ser>
          <c:idx val="9"/>
          <c:order val="8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FB4-4537-92DA-C748C0559BB9}"/>
            </c:ext>
          </c:extLst>
        </c:ser>
        <c:ser>
          <c:idx val="3"/>
          <c:order val="9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データベース!$B$21</c:f>
              <c:numCache>
                <c:formatCode>General</c:formatCode>
                <c:ptCount val="1"/>
                <c:pt idx="0">
                  <c:v>3.4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FB4-4537-92DA-C748C0559BB9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データベース!$B$22</c:f>
              <c:numCache>
                <c:formatCode>General</c:formatCode>
                <c:ptCount val="1"/>
                <c:pt idx="0">
                  <c:v>2.38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F4-4324-8F9E-D59B50619041}"/>
            </c:ext>
          </c:extLst>
        </c:ser>
        <c:ser>
          <c:idx val="5"/>
          <c:order val="11"/>
          <c:tx>
            <c:v>アントラキノンジカルボン酸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データベース!$B$23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4E-41F3-AA3C-DB79051A55C7}"/>
            </c:ext>
          </c:extLst>
        </c:ser>
        <c:ser>
          <c:idx val="11"/>
          <c:order val="12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4E-41F3-AA3C-DB79051A5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3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50486677120001"/>
          <c:y val="0"/>
          <c:w val="0.22335336345148193"/>
          <c:h val="0.92727575389565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55474807152017"/>
          <c:y val="3.6873310372921526E-2"/>
          <c:w val="0.86288059501002523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1-4273-B88F-F4CA3157DE21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161-4273-B88F-F4CA3157DE21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1-4273-B88F-F4CA3157DE21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1-4273-B88F-F4CA3157DE21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1-4273-B88F-F4CA3157DE21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1-4273-B88F-F4CA3157DE21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1-4273-B88F-F4CA3157DE21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1-4273-B88F-F4CA3157DE21}"/>
            </c:ext>
          </c:extLst>
        </c:ser>
        <c:ser>
          <c:idx val="6"/>
          <c:order val="7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1-4273-B88F-F4CA3157DE21}"/>
            </c:ext>
          </c:extLst>
        </c:ser>
        <c:ser>
          <c:idx val="12"/>
          <c:order val="8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1-4273-B88F-F4CA3157DE21}"/>
            </c:ext>
          </c:extLst>
        </c:ser>
        <c:ser>
          <c:idx val="4"/>
          <c:order val="9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1-4273-B88F-F4CA3157DE21}"/>
            </c:ext>
          </c:extLst>
        </c:ser>
        <c:ser>
          <c:idx val="9"/>
          <c:order val="10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1-4273-B88F-F4CA3157DE21}"/>
            </c:ext>
          </c:extLst>
        </c:ser>
        <c:ser>
          <c:idx val="3"/>
          <c:order val="11"/>
          <c:tx>
            <c:strRef>
              <c:f>データベース!$A$14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1-4273-B88F-F4CA3157DE21}"/>
            </c:ext>
          </c:extLst>
        </c:ser>
        <c:ser>
          <c:idx val="10"/>
          <c:order val="12"/>
          <c:tx>
            <c:strRef>
              <c:f>データベース!$A$18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1-4273-B88F-F4CA3157DE21}"/>
            </c:ext>
          </c:extLst>
        </c:ser>
        <c:ser>
          <c:idx val="11"/>
          <c:order val="13"/>
          <c:tx>
            <c:strRef>
              <c:f>データベース!$A$15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1-4273-B88F-F4CA3157DE21}"/>
            </c:ext>
          </c:extLst>
        </c:ser>
        <c:ser>
          <c:idx val="13"/>
          <c:order val="14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データベース!$C$20:$C$21</c:f>
              <c:numCache>
                <c:formatCode>General</c:formatCode>
                <c:ptCount val="2"/>
                <c:pt idx="0">
                  <c:v>8.7356475000000007</c:v>
                </c:pt>
                <c:pt idx="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1-4273-B88F-F4CA3157D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567287210917311"/>
              <c:y val="0.92445074415308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7B-49A7-8707-915C0CEC120D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F0"/>
              </a:solidFill>
              <a:ln w="381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7B-49A7-8707-915C0CEC120D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データベース!$K$50:$K$54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14-41F8-A46C-56588103C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COOH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4567893685995226"/>
          <c:y val="0.53292626576844992"/>
          <c:w val="0.32464895648098691"/>
          <c:h val="0.347921320014447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E3-4EA4-BC74-23577C4A6AC1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7E3-4EA4-BC74-23577C4A6AC1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E3-4EA4-BC74-23577C4A6AC1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E3-4EA4-BC74-23577C4A6AC1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E3-4EA4-BC74-23577C4A6AC1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E3-4EA4-BC74-23577C4A6AC1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7E3-4EA4-BC74-23577C4A6AC1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7E3-4EA4-BC74-23577C4A6AC1}"/>
            </c:ext>
          </c:extLst>
        </c:ser>
        <c:ser>
          <c:idx val="3"/>
          <c:order val="7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7E3-4EA4-BC74-23577C4A6AC1}"/>
            </c:ext>
          </c:extLst>
        </c:ser>
        <c:ser>
          <c:idx val="6"/>
          <c:order val="8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7E3-4EA4-BC74-23577C4A6AC1}"/>
            </c:ext>
          </c:extLst>
        </c:ser>
        <c:ser>
          <c:idx val="12"/>
          <c:order val="9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7E3-4EA4-BC74-23577C4A6AC1}"/>
            </c:ext>
          </c:extLst>
        </c:ser>
        <c:ser>
          <c:idx val="4"/>
          <c:order val="10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7E3-4EA4-BC74-23577C4A6AC1}"/>
            </c:ext>
          </c:extLst>
        </c:ser>
        <c:ser>
          <c:idx val="9"/>
          <c:order val="11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7E3-4EA4-BC74-23577C4A6AC1}"/>
            </c:ext>
          </c:extLst>
        </c:ser>
        <c:ser>
          <c:idx val="10"/>
          <c:order val="12"/>
          <c:tx>
            <c:strRef>
              <c:f>データベース!$A$22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DA-4EB7-B808-6F0D9C9A1922}"/>
            </c:ext>
          </c:extLst>
        </c:ser>
        <c:ser>
          <c:idx val="11"/>
          <c:order val="13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DA-4EB7-B808-6F0D9C9A1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000960669652001"/>
          <c:h val="0.90349484327893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383791217249426E-2"/>
          <c:y val="2.2391924887133752E-2"/>
          <c:w val="0.83347341520353302"/>
          <c:h val="0.725239268334554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020-425B-9AF1-D1AAB4262B48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020-425B-9AF1-D1AAB4262B48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25-40A0-BEA3-8ED553B9DC86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データベース!$H$115:$H$123</c:f>
              <c:strCache>
                <c:ptCount val="9"/>
                <c:pt idx="0">
                  <c:v>3-ニトロフタル酸</c:v>
                </c:pt>
                <c:pt idx="1">
                  <c:v>マレイン酸</c:v>
                </c:pt>
                <c:pt idx="2">
                  <c:v>4-ニトロフタル酸</c:v>
                </c:pt>
                <c:pt idx="3">
                  <c:v>ピロメリット酸</c:v>
                </c:pt>
                <c:pt idx="4">
                  <c:v>フェニル
マレイン酸</c:v>
                </c:pt>
                <c:pt idx="5">
                  <c:v>5-ニトロ
イソフタル酸</c:v>
                </c:pt>
                <c:pt idx="6">
                  <c:v>フタル酸</c:v>
                </c:pt>
                <c:pt idx="7">
                  <c:v>4-メトキシ
フタル酸</c:v>
                </c:pt>
                <c:pt idx="8">
                  <c:v>3メト</c:v>
                </c:pt>
              </c:strCache>
            </c:strRef>
          </c:cat>
          <c:val>
            <c:numRef>
              <c:f>データベース!$J$115:$J$123</c:f>
              <c:numCache>
                <c:formatCode>General</c:formatCode>
                <c:ptCount val="9"/>
                <c:pt idx="0">
                  <c:v>12.49</c:v>
                </c:pt>
                <c:pt idx="1">
                  <c:v>18.649999999999999</c:v>
                </c:pt>
                <c:pt idx="2">
                  <c:v>15.65</c:v>
                </c:pt>
                <c:pt idx="3">
                  <c:v>11.53</c:v>
                </c:pt>
                <c:pt idx="4">
                  <c:v>12.66</c:v>
                </c:pt>
                <c:pt idx="5">
                  <c:v>10.76</c:v>
                </c:pt>
                <c:pt idx="6">
                  <c:v>13.32</c:v>
                </c:pt>
                <c:pt idx="7">
                  <c:v>13.29</c:v>
                </c:pt>
                <c:pt idx="8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20-425B-9AF1-D1AAB4262B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8100">
                <a:solidFill>
                  <a:sysClr val="windowText" lastClr="000000"/>
                </a:solidFill>
              </a:ln>
              <a:effectLst/>
            </c:spPr>
          </c:marker>
          <c:yVal>
            <c:numRef>
              <c:f>データベース!$M$115:$M$123</c:f>
              <c:numCache>
                <c:formatCode>General</c:formatCode>
                <c:ptCount val="9"/>
                <c:pt idx="0">
                  <c:v>0.6606757703081233</c:v>
                </c:pt>
                <c:pt idx="1">
                  <c:v>1.0058785714285716</c:v>
                </c:pt>
                <c:pt idx="2">
                  <c:v>0.83770658263305331</c:v>
                </c:pt>
                <c:pt idx="3">
                  <c:v>0.60692521008403366</c:v>
                </c:pt>
                <c:pt idx="4">
                  <c:v>0.67108999999999996</c:v>
                </c:pt>
                <c:pt idx="5">
                  <c:v>0.56389915966386561</c:v>
                </c:pt>
                <c:pt idx="6">
                  <c:v>0.70725252100840341</c:v>
                </c:pt>
                <c:pt idx="7">
                  <c:v>0.7054936974789916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20-425B-9AF1-D1AAB4262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Mark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valAx>
        <c:axId val="1548538256"/>
        <c:scaling>
          <c:orientation val="minMax"/>
          <c:max val="1.100000000000000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38100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55474807152017"/>
          <c:y val="3.6873310372921526E-2"/>
          <c:w val="0.86288059501002523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77-4A79-9230-F46B825F6C3A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77-4A79-9230-F46B825F6C3A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77-4A79-9230-F46B825F6C3A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77-4A79-9230-F46B825F6C3A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77-4A79-9230-F46B825F6C3A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77-4A79-9230-F46B825F6C3A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877-4A79-9230-F46B825F6C3A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77-4A79-9230-F46B825F6C3A}"/>
            </c:ext>
          </c:extLst>
        </c:ser>
        <c:ser>
          <c:idx val="6"/>
          <c:order val="7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877-4A79-9230-F46B825F6C3A}"/>
            </c:ext>
          </c:extLst>
        </c:ser>
        <c:ser>
          <c:idx val="12"/>
          <c:order val="8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77-4A79-9230-F46B825F6C3A}"/>
            </c:ext>
          </c:extLst>
        </c:ser>
        <c:ser>
          <c:idx val="4"/>
          <c:order val="9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877-4A79-9230-F46B825F6C3A}"/>
            </c:ext>
          </c:extLst>
        </c:ser>
        <c:ser>
          <c:idx val="9"/>
          <c:order val="10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877-4A79-9230-F46B825F6C3A}"/>
            </c:ext>
          </c:extLst>
        </c:ser>
        <c:ser>
          <c:idx val="3"/>
          <c:order val="11"/>
          <c:tx>
            <c:strRef>
              <c:f>データベース!$A$14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877-4A79-9230-F46B825F6C3A}"/>
            </c:ext>
          </c:extLst>
        </c:ser>
        <c:ser>
          <c:idx val="10"/>
          <c:order val="12"/>
          <c:tx>
            <c:strRef>
              <c:f>データベース!$A$18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877-4A79-9230-F46B825F6C3A}"/>
            </c:ext>
          </c:extLst>
        </c:ser>
        <c:ser>
          <c:idx val="11"/>
          <c:order val="13"/>
          <c:tx>
            <c:strRef>
              <c:f>データベース!$A$15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877-4A79-9230-F46B825F6C3A}"/>
            </c:ext>
          </c:extLst>
        </c:ser>
        <c:ser>
          <c:idx val="13"/>
          <c:order val="14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データベース!$C$20:$C$21</c:f>
              <c:numCache>
                <c:formatCode>General</c:formatCode>
                <c:ptCount val="2"/>
                <c:pt idx="0">
                  <c:v>8.7356475000000007</c:v>
                </c:pt>
                <c:pt idx="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877-4A79-9230-F46B825F6C3A}"/>
            </c:ext>
          </c:extLst>
        </c:ser>
        <c:ser>
          <c:idx val="14"/>
          <c:order val="15"/>
          <c:tx>
            <c:strRef>
              <c:f>データベース!$A$24</c:f>
              <c:strCache>
                <c:ptCount val="1"/>
                <c:pt idx="0">
                  <c:v>1mM塩酸+マレイン酸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ysClr val="windowText" lastClr="000000"/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データベース!$E$24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データベース!$C$24</c:f>
              <c:numCache>
                <c:formatCode>General</c:formatCode>
                <c:ptCount val="1"/>
                <c:pt idx="0">
                  <c:v>22.94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877-4A79-9230-F46B825F6C3A}"/>
            </c:ext>
          </c:extLst>
        </c:ser>
        <c:ser>
          <c:idx val="16"/>
          <c:order val="16"/>
          <c:tx>
            <c:strRef>
              <c:f>データベース!$A$25</c:f>
              <c:strCache>
                <c:ptCount val="1"/>
                <c:pt idx="0">
                  <c:v>1mM塩酸＋フタル酸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5">
                  <a:lumMod val="80000"/>
                  <a:lumOff val="20000"/>
                </a:schemeClr>
              </a:solidFill>
              <a:ln w="2857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データベース!$E$25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データベース!$C$25</c:f>
              <c:numCache>
                <c:formatCode>General</c:formatCode>
                <c:ptCount val="1"/>
                <c:pt idx="0">
                  <c:v>18.440000000000001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0-4C8B-B4AB-936298E14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567287210917311"/>
              <c:y val="0.92445074415308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6748781014441"/>
          <c:y val="3.0312423154732017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25400">
                <a:noFill/>
              </a:ln>
              <a:effectLst/>
            </c:spPr>
          </c:marker>
          <c:xVal>
            <c:numRef>
              <c:f>データベース!$F$72:$F$76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データベース!$G$72:$G$76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3B-48F7-A915-3684C826A6ED}"/>
            </c:ext>
          </c:extLst>
        </c:ser>
        <c:ser>
          <c:idx val="2"/>
          <c:order val="1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データベース!$C$72:$C$76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3B-48F7-A915-3684C826A6ED}"/>
            </c:ext>
          </c:extLst>
        </c:ser>
        <c:ser>
          <c:idx val="8"/>
          <c:order val="2"/>
          <c:tx>
            <c:strRef>
              <c:f>データベース!$A$24</c:f>
              <c:strCache>
                <c:ptCount val="1"/>
                <c:pt idx="0">
                  <c:v>1mM塩酸+マレイン酸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FF0000">
                  <a:alpha val="97000"/>
                </a:srgbClr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データベース!$E$24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データベース!$C$24</c:f>
              <c:numCache>
                <c:formatCode>General</c:formatCode>
                <c:ptCount val="1"/>
                <c:pt idx="0">
                  <c:v>22.94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3B-48F7-A915-3684C826A6ED}"/>
            </c:ext>
          </c:extLst>
        </c:ser>
        <c:ser>
          <c:idx val="5"/>
          <c:order val="3"/>
          <c:tx>
            <c:strRef>
              <c:f>データベース!$A$25</c:f>
              <c:strCache>
                <c:ptCount val="1"/>
                <c:pt idx="0">
                  <c:v>1mM塩酸＋フタル酸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00B0F0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データベース!$E$25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データベース!$C$25</c:f>
              <c:numCache>
                <c:formatCode>General</c:formatCode>
                <c:ptCount val="1"/>
                <c:pt idx="0">
                  <c:v>18.440000000000001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3B-48F7-A915-3684C826A6ED}"/>
            </c:ext>
          </c:extLst>
        </c:ser>
        <c:ser>
          <c:idx val="15"/>
          <c:order val="4"/>
          <c:tx>
            <c:strRef>
              <c:f>データベース!$A$26</c:f>
              <c:strCache>
                <c:ptCount val="1"/>
                <c:pt idx="0">
                  <c:v>マレイン酸＋NaCl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データベース!$E$26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データベース!$C$26</c:f>
              <c:numCache>
                <c:formatCode>General</c:formatCode>
                <c:ptCount val="1"/>
                <c:pt idx="0">
                  <c:v>10.99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3B-48F7-A915-3684C826A6ED}"/>
            </c:ext>
          </c:extLst>
        </c:ser>
        <c:ser>
          <c:idx val="1"/>
          <c:order val="5"/>
          <c:tx>
            <c:strRef>
              <c:f>データベース!$A$27</c:f>
              <c:strCache>
                <c:ptCount val="1"/>
                <c:pt idx="0">
                  <c:v>フタル酸＋NaCl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00B0F0"/>
              </a:solidFill>
              <a:ln w="25400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00B0F0"/>
                </a:solidFill>
                <a:ln w="3810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AEB-4A04-83BE-4275ABF20F53}"/>
              </c:ext>
            </c:extLst>
          </c:dPt>
          <c:xVal>
            <c:numRef>
              <c:f>データベース!$E$27</c:f>
              <c:numCache>
                <c:formatCode>General</c:formatCode>
                <c:ptCount val="1"/>
                <c:pt idx="0">
                  <c:v>2.73</c:v>
                </c:pt>
              </c:numCache>
            </c:numRef>
          </c:xVal>
          <c:yVal>
            <c:numRef>
              <c:f>データベース!$C$27</c:f>
              <c:numCache>
                <c:formatCode>General</c:formatCode>
                <c:ptCount val="1"/>
                <c:pt idx="0">
                  <c:v>9.1199999999999992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3B-48F7-A915-3684C826A6ED}"/>
            </c:ext>
          </c:extLst>
        </c:ser>
        <c:ser>
          <c:idx val="3"/>
          <c:order val="6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31E-406B-AE14-65F3EE338DD5}"/>
              </c:ext>
            </c:extLst>
          </c:dPt>
          <c:xVal>
            <c:numRef>
              <c:f>データベース!$E$109:$E$111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2.5</c:v>
                </c:pt>
              </c:numCache>
            </c:numRef>
          </c:xVal>
          <c:yVal>
            <c:numRef>
              <c:f>データベース!$C$109:$C$111</c:f>
              <c:numCache>
                <c:formatCode>General</c:formatCode>
                <c:ptCount val="3"/>
                <c:pt idx="0">
                  <c:v>35.909999999999997</c:v>
                </c:pt>
                <c:pt idx="1">
                  <c:v>12.27</c:v>
                </c:pt>
                <c:pt idx="2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EB-4A04-83BE-4275ABF20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1"/>
          <c:min val="1.6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2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563711130232453"/>
          <c:h val="0.364655206260448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78033178225300548"/>
          <c:h val="0.80659560385232121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データベース!$B$156:$B$159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</c:numCache>
            </c:numRef>
          </c:xVal>
          <c:yVal>
            <c:numRef>
              <c:f>データベース!$C$156:$C$159</c:f>
              <c:numCache>
                <c:formatCode>General</c:formatCode>
                <c:ptCount val="4"/>
                <c:pt idx="0">
                  <c:v>18.7</c:v>
                </c:pt>
                <c:pt idx="1">
                  <c:v>26.5</c:v>
                </c:pt>
                <c:pt idx="2">
                  <c:v>24.1</c:v>
                </c:pt>
                <c:pt idx="3">
                  <c:v>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48-4433-800D-AEEC3A1D7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scatterChart>
        <c:scatterStyle val="lineMarker"/>
        <c:varyColors val="0"/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データベース!$B$156:$B$159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</c:numCache>
            </c:numRef>
          </c:xVal>
          <c:yVal>
            <c:numRef>
              <c:f>データベース!$D$156:$D$159</c:f>
              <c:numCache>
                <c:formatCode>General</c:formatCode>
                <c:ptCount val="4"/>
                <c:pt idx="0">
                  <c:v>1.00057</c:v>
                </c:pt>
                <c:pt idx="1">
                  <c:v>1.4227141456582635</c:v>
                </c:pt>
                <c:pt idx="2">
                  <c:v>1.2885271708683472</c:v>
                </c:pt>
                <c:pt idx="3">
                  <c:v>1.1252868347338936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A3-4724-9D36-B74759971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290751"/>
        <c:axId val="1120283551"/>
      </c:scatterChart>
      <c:valAx>
        <c:axId val="40384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230</a:t>
                </a:r>
                <a:r>
                  <a:rPr lang="en-US" altLang="ja-JP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ja-JP" altLang="en-US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℃ 保持時間</a:t>
                </a:r>
                <a:endParaRPr lang="ja-JP" altLang="en-US" sz="2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og glucose (%)</a:t>
                </a:r>
                <a:endParaRPr lang="ja-JP" altLang="en-US" sz="2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valAx>
        <c:axId val="112028355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20290751"/>
        <c:crosses val="max"/>
        <c:crossBetween val="midCat"/>
      </c:valAx>
      <c:valAx>
        <c:axId val="112029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0283551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9664491724298961"/>
          <c:y val="3.042405843847832E-2"/>
          <c:w val="0.58153556369594317"/>
          <c:h val="0.8729279322012459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F2-4845-86F1-A410044C3F72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F2-4845-86F1-A410044C3F72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F2-4845-86F1-A410044C3F72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データベース!$H$136:$H$152</c:f>
              <c:strCache>
                <c:ptCount val="17"/>
                <c:pt idx="0">
                  <c:v>3-ニトロフタル酸</c:v>
                </c:pt>
                <c:pt idx="1">
                  <c:v>マレイン酸</c:v>
                </c:pt>
                <c:pt idx="2">
                  <c:v>4-ニトロフタル酸</c:v>
                </c:pt>
                <c:pt idx="3">
                  <c:v>ピロメリット酸</c:v>
                </c:pt>
                <c:pt idx="4">
                  <c:v>フェニルマレイン酸</c:v>
                </c:pt>
                <c:pt idx="5">
                  <c:v>5-ニトロイソフタル酸</c:v>
                </c:pt>
                <c:pt idx="6">
                  <c:v>フタル酸</c:v>
                </c:pt>
                <c:pt idx="7">
                  <c:v>4-メトキシフタル酸</c:v>
                </c:pt>
                <c:pt idx="8">
                  <c:v>3-メトキシフタル酸</c:v>
                </c:pt>
                <c:pt idx="9">
                  <c:v>フマル酸</c:v>
                </c:pt>
                <c:pt idx="10">
                  <c:v>リンゴ酸</c:v>
                </c:pt>
                <c:pt idx="11">
                  <c:v>安息香酸</c:v>
                </c:pt>
                <c:pt idx="12">
                  <c:v>TE</c:v>
                </c:pt>
                <c:pt idx="13">
                  <c:v>コハク酸</c:v>
                </c:pt>
                <c:pt idx="14">
                  <c:v>1,2-シクロヘキサンジカルボン酸</c:v>
                </c:pt>
                <c:pt idx="15">
                  <c:v>アントラキノン-2,3-ジカルボン酸</c:v>
                </c:pt>
                <c:pt idx="16">
                  <c:v>4-PO</c:v>
                </c:pt>
              </c:strCache>
            </c:strRef>
          </c:cat>
          <c:val>
            <c:numRef>
              <c:f>データベース!$J$115:$J$123</c:f>
              <c:numCache>
                <c:formatCode>General</c:formatCode>
                <c:ptCount val="9"/>
                <c:pt idx="0">
                  <c:v>12.49</c:v>
                </c:pt>
                <c:pt idx="1">
                  <c:v>18.649999999999999</c:v>
                </c:pt>
                <c:pt idx="2">
                  <c:v>15.65</c:v>
                </c:pt>
                <c:pt idx="3">
                  <c:v>11.53</c:v>
                </c:pt>
                <c:pt idx="4">
                  <c:v>12.66</c:v>
                </c:pt>
                <c:pt idx="5">
                  <c:v>10.76</c:v>
                </c:pt>
                <c:pt idx="6">
                  <c:v>13.32</c:v>
                </c:pt>
                <c:pt idx="7">
                  <c:v>13.29</c:v>
                </c:pt>
                <c:pt idx="8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F2-4845-86F1-A410044C3F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データベース!$H$136:$H$152</c15:sqref>
                        </c15:formulaRef>
                      </c:ext>
                    </c:extLst>
                    <c:strCache>
                      <c:ptCount val="17"/>
                      <c:pt idx="0">
                        <c:v>3-ニトロフタル酸</c:v>
                      </c:pt>
                      <c:pt idx="1">
                        <c:v>マレイン酸</c:v>
                      </c:pt>
                      <c:pt idx="2">
                        <c:v>4-ニトロフタル酸</c:v>
                      </c:pt>
                      <c:pt idx="3">
                        <c:v>ピロメリット酸</c:v>
                      </c:pt>
                      <c:pt idx="4">
                        <c:v>フェニルマレイン酸</c:v>
                      </c:pt>
                      <c:pt idx="5">
                        <c:v>5-ニトロイソフタル酸</c:v>
                      </c:pt>
                      <c:pt idx="6">
                        <c:v>フタル酸</c:v>
                      </c:pt>
                      <c:pt idx="7">
                        <c:v>4-メトキシフタル酸</c:v>
                      </c:pt>
                      <c:pt idx="8">
                        <c:v>3-メトキシフタル酸</c:v>
                      </c:pt>
                      <c:pt idx="9">
                        <c:v>フマル酸</c:v>
                      </c:pt>
                      <c:pt idx="10">
                        <c:v>リンゴ酸</c:v>
                      </c:pt>
                      <c:pt idx="11">
                        <c:v>安息香酸</c:v>
                      </c:pt>
                      <c:pt idx="12">
                        <c:v>TE</c:v>
                      </c:pt>
                      <c:pt idx="13">
                        <c:v>コハク酸</c:v>
                      </c:pt>
                      <c:pt idx="14">
                        <c:v>1,2-シクロヘキサンジカルボン酸</c:v>
                      </c:pt>
                      <c:pt idx="15">
                        <c:v>アントラキノン-2,3-ジカルボン酸</c:v>
                      </c:pt>
                      <c:pt idx="16">
                        <c:v>4-PO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データベース!$M$115:$M$123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44F2-4845-86F1-A410044C3F72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5697802197802193"/>
              <c:y val="0.949397590361445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55474807152017"/>
          <c:y val="3.6873310372921526E-2"/>
          <c:w val="0.86288059501002523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FE-4212-80A3-357275311E1A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CFE-4212-80A3-357275311E1A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FE-4212-80A3-357275311E1A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FE-4212-80A3-357275311E1A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FE-4212-80A3-357275311E1A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CFE-4212-80A3-357275311E1A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CFE-4212-80A3-357275311E1A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CFE-4212-80A3-357275311E1A}"/>
            </c:ext>
          </c:extLst>
        </c:ser>
        <c:ser>
          <c:idx val="6"/>
          <c:order val="7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CFE-4212-80A3-357275311E1A}"/>
            </c:ext>
          </c:extLst>
        </c:ser>
        <c:ser>
          <c:idx val="12"/>
          <c:order val="8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CFE-4212-80A3-357275311E1A}"/>
            </c:ext>
          </c:extLst>
        </c:ser>
        <c:ser>
          <c:idx val="4"/>
          <c:order val="9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CFE-4212-80A3-357275311E1A}"/>
            </c:ext>
          </c:extLst>
        </c:ser>
        <c:ser>
          <c:idx val="9"/>
          <c:order val="10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CFE-4212-80A3-357275311E1A}"/>
            </c:ext>
          </c:extLst>
        </c:ser>
        <c:ser>
          <c:idx val="3"/>
          <c:order val="11"/>
          <c:tx>
            <c:strRef>
              <c:f>データベース!$A$14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CFE-4212-80A3-357275311E1A}"/>
            </c:ext>
          </c:extLst>
        </c:ser>
        <c:ser>
          <c:idx val="10"/>
          <c:order val="12"/>
          <c:tx>
            <c:strRef>
              <c:f>データベース!$A$18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CFE-4212-80A3-357275311E1A}"/>
            </c:ext>
          </c:extLst>
        </c:ser>
        <c:ser>
          <c:idx val="11"/>
          <c:order val="13"/>
          <c:tx>
            <c:strRef>
              <c:f>データベース!$A$15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CFE-4212-80A3-357275311E1A}"/>
            </c:ext>
          </c:extLst>
        </c:ser>
        <c:ser>
          <c:idx val="13"/>
          <c:order val="14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D7D31">
                  <a:lumMod val="40000"/>
                  <a:lumOff val="60000"/>
                </a:srgbClr>
              </a:solidFill>
              <a:ln w="38100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0"/>
            <c:marker>
              <c:symbol val="x"/>
              <c:size val="10"/>
              <c:spPr>
                <a:solidFill>
                  <a:srgbClr val="ED7D31">
                    <a:lumMod val="60000"/>
                    <a:lumOff val="40000"/>
                  </a:srgbClr>
                </a:solidFill>
                <a:ln w="38100">
                  <a:solidFill>
                    <a:srgbClr val="70AD47">
                      <a:lumMod val="50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2CFE-4212-80A3-357275311E1A}"/>
              </c:ext>
            </c:extLst>
          </c:dPt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データベース!$C$20:$C$21</c:f>
              <c:numCache>
                <c:formatCode>General</c:formatCode>
                <c:ptCount val="2"/>
                <c:pt idx="0">
                  <c:v>8.7356475000000007</c:v>
                </c:pt>
                <c:pt idx="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CFE-4212-80A3-357275311E1A}"/>
            </c:ext>
          </c:extLst>
        </c:ser>
        <c:ser>
          <c:idx val="14"/>
          <c:order val="15"/>
          <c:tx>
            <c:strRef>
              <c:f>データベース!$A$29</c:f>
              <c:strCache>
                <c:ptCount val="1"/>
                <c:pt idx="0">
                  <c:v>スルホン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noFill/>
              <a:ln w="412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データベース!$E$29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データベース!$C$29</c:f>
              <c:numCache>
                <c:formatCode>General</c:formatCode>
                <c:ptCount val="1"/>
                <c:pt idx="0">
                  <c:v>30.65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CFE-4212-80A3-357275311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567287210917311"/>
              <c:y val="0.92445074415308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76243813071054"/>
          <c:y val="2.2391924887133752E-2"/>
          <c:w val="0.79260554653756399"/>
          <c:h val="0.738286100148137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B9BD5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60-4593-9490-8D93BEB594A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60-4593-9490-8D93BEB594A4}"/>
              </c:ext>
            </c:extLst>
          </c:dPt>
          <c:dPt>
            <c:idx val="4"/>
            <c:invertIfNegative val="0"/>
            <c:bubble3D val="0"/>
            <c:spPr>
              <a:solidFill>
                <a:srgbClr val="5B9BD5">
                  <a:lumMod val="60000"/>
                  <a:lumOff val="4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60-4593-9490-8D93BEB594A4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60-4593-9490-8D93BEB594A4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データベース!$H$115:$H$123</c:f>
              <c:strCache>
                <c:ptCount val="9"/>
                <c:pt idx="0">
                  <c:v>3-ニトロフタル酸</c:v>
                </c:pt>
                <c:pt idx="1">
                  <c:v>マレイン酸</c:v>
                </c:pt>
                <c:pt idx="2">
                  <c:v>4-ニトロフタル酸</c:v>
                </c:pt>
                <c:pt idx="3">
                  <c:v>ピロメリット酸</c:v>
                </c:pt>
                <c:pt idx="4">
                  <c:v>フェニル
マレイン酸</c:v>
                </c:pt>
                <c:pt idx="5">
                  <c:v>5-ニトロ
イソフタル酸</c:v>
                </c:pt>
                <c:pt idx="6">
                  <c:v>フタル酸</c:v>
                </c:pt>
                <c:pt idx="7">
                  <c:v>4-メトキシ
フタル酸</c:v>
                </c:pt>
                <c:pt idx="8">
                  <c:v>3メト</c:v>
                </c:pt>
              </c:strCache>
            </c:strRef>
          </c:cat>
          <c:val>
            <c:numRef>
              <c:f>データベース!$J$115:$J$123</c:f>
              <c:numCache>
                <c:formatCode>General</c:formatCode>
                <c:ptCount val="9"/>
                <c:pt idx="0">
                  <c:v>12.49</c:v>
                </c:pt>
                <c:pt idx="1">
                  <c:v>18.649999999999999</c:v>
                </c:pt>
                <c:pt idx="2">
                  <c:v>15.65</c:v>
                </c:pt>
                <c:pt idx="3">
                  <c:v>11.53</c:v>
                </c:pt>
                <c:pt idx="4">
                  <c:v>12.66</c:v>
                </c:pt>
                <c:pt idx="5">
                  <c:v>10.76</c:v>
                </c:pt>
                <c:pt idx="6">
                  <c:v>13.32</c:v>
                </c:pt>
                <c:pt idx="7">
                  <c:v>13.29</c:v>
                </c:pt>
                <c:pt idx="8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60-4593-9490-8D93BEB594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8100">
                <a:solidFill>
                  <a:sysClr val="windowText" lastClr="000000"/>
                </a:solidFill>
              </a:ln>
              <a:effectLst/>
            </c:spPr>
          </c:marker>
          <c:yVal>
            <c:numRef>
              <c:f>データベース!$M$115:$M$123</c:f>
              <c:numCache>
                <c:formatCode>General</c:formatCode>
                <c:ptCount val="9"/>
                <c:pt idx="0">
                  <c:v>0.6606757703081233</c:v>
                </c:pt>
                <c:pt idx="1">
                  <c:v>1.0058785714285716</c:v>
                </c:pt>
                <c:pt idx="2">
                  <c:v>0.83770658263305331</c:v>
                </c:pt>
                <c:pt idx="3">
                  <c:v>0.60692521008403366</c:v>
                </c:pt>
                <c:pt idx="4">
                  <c:v>0.67108999999999996</c:v>
                </c:pt>
                <c:pt idx="5">
                  <c:v>0.56389915966386561</c:v>
                </c:pt>
                <c:pt idx="6">
                  <c:v>0.70725252100840341</c:v>
                </c:pt>
                <c:pt idx="7">
                  <c:v>0.7054936974789916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F60-4593-9490-8D93BEB5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valAx>
        <c:axId val="1548538256"/>
        <c:scaling>
          <c:orientation val="minMax"/>
          <c:max val="1.100000000000000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38100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05-48E2-8529-E9E82872E4D9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405-48E2-8529-E9E82872E4D9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05-48E2-8529-E9E82872E4D9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05-48E2-8529-E9E82872E4D9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05-48E2-8529-E9E82872E4D9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05-48E2-8529-E9E82872E4D9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05-48E2-8529-E9E82872E4D9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405-48E2-8529-E9E82872E4D9}"/>
            </c:ext>
          </c:extLst>
        </c:ser>
        <c:ser>
          <c:idx val="3"/>
          <c:order val="7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05-48E2-8529-E9E82872E4D9}"/>
            </c:ext>
          </c:extLst>
        </c:ser>
        <c:ser>
          <c:idx val="6"/>
          <c:order val="8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FF00"/>
              </a:solidFill>
              <a:ln w="920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405-48E2-8529-E9E82872E4D9}"/>
            </c:ext>
          </c:extLst>
        </c:ser>
        <c:ser>
          <c:idx val="12"/>
          <c:order val="9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405-48E2-8529-E9E82872E4D9}"/>
            </c:ext>
          </c:extLst>
        </c:ser>
        <c:ser>
          <c:idx val="4"/>
          <c:order val="10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405-48E2-8529-E9E82872E4D9}"/>
            </c:ext>
          </c:extLst>
        </c:ser>
        <c:ser>
          <c:idx val="9"/>
          <c:order val="11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405-48E2-8529-E9E82872E4D9}"/>
            </c:ext>
          </c:extLst>
        </c:ser>
        <c:ser>
          <c:idx val="10"/>
          <c:order val="12"/>
          <c:tx>
            <c:strRef>
              <c:f>データベース!$A$22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rgbClr val="FFC000"/>
                </a:solidFill>
              </a:ln>
              <a:effectLst/>
            </c:spPr>
          </c:marker>
          <c:xVal>
            <c:numRef>
              <c:f>データベース!$E$22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405-48E2-8529-E9E82872E4D9}"/>
            </c:ext>
          </c:extLst>
        </c:ser>
        <c:ser>
          <c:idx val="11"/>
          <c:order val="13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405-48E2-8529-E9E82872E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119174601071381"/>
          <c:h val="0.85418235913925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4855029796089514"/>
          <c:h val="0.83070992111987552"/>
        </c:manualLayout>
      </c:layout>
      <c:scatterChart>
        <c:scatterStyle val="lineMarker"/>
        <c:varyColors val="0"/>
        <c:ser>
          <c:idx val="7"/>
          <c:order val="0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D0C-4ABA-B076-9F09D80C5421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0C-4ABA-B076-9F09D80C5421}"/>
            </c:ext>
          </c:extLst>
        </c:ser>
        <c:ser>
          <c:idx val="2"/>
          <c:order val="1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0C-4ABA-B076-9F09D80C5421}"/>
            </c:ext>
          </c:extLst>
        </c:ser>
        <c:ser>
          <c:idx val="8"/>
          <c:order val="2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0C-4ABA-B076-9F09D80C5421}"/>
            </c:ext>
          </c:extLst>
        </c:ser>
        <c:ser>
          <c:idx val="15"/>
          <c:order val="3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D0C-4ABA-B076-9F09D80C5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5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177213236033237"/>
          <c:y val="4.5222895461757813E-3"/>
          <c:w val="0.21255731998800501"/>
          <c:h val="0.58480331587324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78475558542618129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12-486B-9126-F60CAA47B3BC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D12-486B-9126-F60CAA47B3BC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2-486B-9126-F60CAA47B3BC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2-486B-9126-F60CAA47B3BC}"/>
            </c:ext>
          </c:extLst>
        </c:ser>
        <c:ser>
          <c:idx val="15"/>
          <c:order val="3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12-486B-9126-F60CAA47B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5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115306176952896"/>
          <c:y val="6.5573245118950546E-2"/>
          <c:w val="0.26264496261813813"/>
          <c:h val="0.22226653237976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638738068384028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BA-4351-AA81-6711AD849760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7BA-4351-AA81-6711AD849760}"/>
              </c:ext>
            </c:extLst>
          </c:dPt>
          <c:xVal>
            <c:numRef>
              <c:f>データベース!$B$10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BA-4351-AA81-6711AD849760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BA-4351-AA81-6711AD849760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データベース!$B$11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BA-4351-AA81-6711AD849760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データベース!$B$12</c:f>
              <c:numCache>
                <c:formatCode>General</c:formatCode>
                <c:ptCount val="1"/>
                <c:pt idx="0">
                  <c:v>2.81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BA-4351-AA81-6711AD849760}"/>
            </c:ext>
          </c:extLst>
        </c:ser>
        <c:ser>
          <c:idx val="1"/>
          <c:order val="5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7BA-4351-AA81-6711AD849760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FF00"/>
              </a:solidFill>
              <a:ln w="698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7BA-4351-AA81-6711AD849760}"/>
            </c:ext>
          </c:extLst>
        </c:ser>
        <c:ser>
          <c:idx val="4"/>
          <c:order val="7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7BA-4351-AA81-6711AD849760}"/>
            </c:ext>
          </c:extLst>
        </c:ser>
        <c:ser>
          <c:idx val="9"/>
          <c:order val="8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7BA-4351-AA81-6711AD849760}"/>
            </c:ext>
          </c:extLst>
        </c:ser>
        <c:ser>
          <c:idx val="3"/>
          <c:order val="9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175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データベース!$B$21</c:f>
              <c:numCache>
                <c:formatCode>General</c:formatCode>
                <c:ptCount val="1"/>
                <c:pt idx="0">
                  <c:v>3.4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7BA-4351-AA81-6711AD849760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データベース!$B$22</c:f>
              <c:numCache>
                <c:formatCode>General</c:formatCode>
                <c:ptCount val="1"/>
                <c:pt idx="0">
                  <c:v>2.38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7BA-4351-AA81-6711AD849760}"/>
            </c:ext>
          </c:extLst>
        </c:ser>
        <c:ser>
          <c:idx val="5"/>
          <c:order val="11"/>
          <c:tx>
            <c:strRef>
              <c:f>データベース!$A$23</c:f>
              <c:strCache>
                <c:ptCount val="1"/>
                <c:pt idx="0">
                  <c:v>アントラキノン-
2,3-ジカルボン酸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002060">
                  <a:alpha val="88000"/>
                </a:srgbClr>
              </a:solidFill>
              <a:ln w="539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データベース!$B$23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7BA-4351-AA81-6711AD849760}"/>
            </c:ext>
          </c:extLst>
        </c:ser>
        <c:ser>
          <c:idx val="11"/>
          <c:order val="12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7BA-4351-AA81-6711AD849760}"/>
            </c:ext>
          </c:extLst>
        </c:ser>
        <c:ser>
          <c:idx val="12"/>
          <c:order val="13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190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star"/>
              <c:size val="15"/>
              <c:spPr>
                <a:solidFill>
                  <a:schemeClr val="accent6"/>
                </a:solidFill>
                <a:ln w="190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F7BA-4351-AA81-6711AD849760}"/>
              </c:ext>
            </c:extLst>
          </c:dPt>
          <c:xVal>
            <c:numRef>
              <c:f>データベース!$B$28</c:f>
              <c:numCache>
                <c:formatCode>General</c:formatCode>
                <c:ptCount val="1"/>
                <c:pt idx="0">
                  <c:v>3.13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7BA-4351-AA81-6711AD849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5"/>
          <c:min val="1.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50486677120001"/>
          <c:y val="0"/>
          <c:w val="0.22449507924862896"/>
          <c:h val="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32-4F0F-BD7F-6F8057BC8253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32-4F0F-BD7F-6F8057BC8253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データベース!$K$50:$K$54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32-4F0F-BD7F-6F8057BC8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COOH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59806825336092195"/>
          <c:y val="0.42287074701847671"/>
          <c:w val="0.2666234921628669"/>
          <c:h val="0.347921320014447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3-4579-BA25-7EF47D7E69FF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83-4579-BA25-7EF47D7E69FF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83-4579-BA25-7EF47D7E69FF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83-4579-BA25-7EF47D7E69FF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83-4579-BA25-7EF47D7E69FF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83-4579-BA25-7EF47D7E69FF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83-4579-BA25-7EF47D7E69FF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83-4579-BA25-7EF47D7E69FF}"/>
            </c:ext>
          </c:extLst>
        </c:ser>
        <c:ser>
          <c:idx val="3"/>
          <c:order val="7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83-4579-BA25-7EF47D7E69FF}"/>
            </c:ext>
          </c:extLst>
        </c:ser>
        <c:ser>
          <c:idx val="6"/>
          <c:order val="8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FF00"/>
              </a:solidFill>
              <a:ln w="920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83-4579-BA25-7EF47D7E69FF}"/>
            </c:ext>
          </c:extLst>
        </c:ser>
        <c:ser>
          <c:idx val="12"/>
          <c:order val="9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C83-4579-BA25-7EF47D7E69FF}"/>
            </c:ext>
          </c:extLst>
        </c:ser>
        <c:ser>
          <c:idx val="4"/>
          <c:order val="10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C83-4579-BA25-7EF47D7E69FF}"/>
            </c:ext>
          </c:extLst>
        </c:ser>
        <c:ser>
          <c:idx val="9"/>
          <c:order val="11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C83-4579-BA25-7EF47D7E69FF}"/>
            </c:ext>
          </c:extLst>
        </c:ser>
        <c:ser>
          <c:idx val="10"/>
          <c:order val="12"/>
          <c:tx>
            <c:strRef>
              <c:f>データベース!$A$22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rgbClr val="FFC000"/>
                </a:solidFill>
              </a:ln>
              <a:effectLst/>
            </c:spPr>
          </c:marker>
          <c:xVal>
            <c:numRef>
              <c:f>データベース!$E$22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C83-4579-BA25-7EF47D7E69FF}"/>
            </c:ext>
          </c:extLst>
        </c:ser>
        <c:ser>
          <c:idx val="11"/>
          <c:order val="13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C83-4579-BA25-7EF47D7E69FF}"/>
            </c:ext>
          </c:extLst>
        </c:ser>
        <c:ser>
          <c:idx val="13"/>
          <c:order val="14"/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C83-4579-BA25-7EF47D7E69FF}"/>
            </c:ext>
          </c:extLst>
        </c:ser>
        <c:ser>
          <c:idx val="14"/>
          <c:order val="15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C83-4579-BA25-7EF47D7E69FF}"/>
            </c:ext>
          </c:extLst>
        </c:ser>
        <c:ser>
          <c:idx val="16"/>
          <c:order val="16"/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C83-4579-BA25-7EF47D7E6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4"/>
          <c:min val="1.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8298310887021243"/>
        </c:manualLayout>
      </c:layout>
      <c:scatterChart>
        <c:scatterStyle val="lineMarker"/>
        <c:varyColors val="0"/>
        <c:ser>
          <c:idx val="0"/>
          <c:order val="0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2"/>
            <c:spPr>
              <a:solidFill>
                <a:schemeClr val="tx1"/>
              </a:solidFill>
              <a:ln w="508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データベース!$E$72:$E$74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F-4BE2-B00B-8211CE827681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175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データベース!$G$72:$G$76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AF-4BE2-B00B-8211CE827681}"/>
            </c:ext>
          </c:extLst>
        </c:ser>
        <c:ser>
          <c:idx val="2"/>
          <c:order val="2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B0F0"/>
              </a:solidFill>
              <a:ln w="31750">
                <a:solidFill>
                  <a:srgbClr val="00B0F0"/>
                </a:solidFill>
              </a:ln>
              <a:effectLst/>
            </c:spPr>
          </c:marker>
          <c:dPt>
            <c:idx val="4"/>
            <c:marker>
              <c:symbol val="triangle"/>
              <c:size val="7"/>
              <c:spPr>
                <a:solidFill>
                  <a:srgbClr val="00B0F0"/>
                </a:solidFill>
                <a:ln w="1905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DAF-4BE2-B00B-8211CE827681}"/>
              </c:ext>
            </c:extLst>
          </c:dPt>
          <c:xVal>
            <c:numRef>
              <c:f>データベース!$B$72:$B$76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データベース!$C$72:$C$76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AF-4BE2-B00B-8211CE827681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データベース!$E$29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データベース!$C$29</c:f>
              <c:numCache>
                <c:formatCode>General</c:formatCode>
                <c:ptCount val="1"/>
                <c:pt idx="0">
                  <c:v>30.65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AF-4BE2-B00B-8211CE827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2"/>
          <c:min val="1.5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2796165340711576"/>
              <c:y val="0.90713054452283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2772141494979203"/>
          <c:y val="0.64223853599600045"/>
          <c:w val="0.32639715614718445"/>
          <c:h val="0.35776139143946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1-48DA-97CB-D61873540846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2060"/>
              </a:solidFill>
              <a:ln w="2540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31-48DA-97CB-D61873540846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データベース!$K$50:$K$54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31-48DA-97CB-D61873540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COOH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6701369212825622"/>
              <c:y val="0.903798638961867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363641625690612E-2"/>
              <c:y val="0.214484775557019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9951326524410529"/>
          <c:y val="0.53967358889947903"/>
          <c:w val="0.25045105013501118"/>
          <c:h val="0.249618190571417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440042280373346"/>
          <c:y val="3.042405843847832E-2"/>
          <c:w val="0.61828139793267134"/>
          <c:h val="0.8573617540407424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AE-476B-8B43-E004DC3C6069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0C-4B9C-ADB9-ED7A5341EE7A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0C-4B9C-ADB9-ED7A5341EE7A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C45-42B7-AF32-1AF283A05879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データベース!$H$135:$H$157</c:f>
              <c:strCache>
                <c:ptCount val="23"/>
                <c:pt idx="0">
                  <c:v>blank</c:v>
                </c:pt>
                <c:pt idx="1">
                  <c:v>3-ニトロフタル酸</c:v>
                </c:pt>
                <c:pt idx="2">
                  <c:v>マレイン酸</c:v>
                </c:pt>
                <c:pt idx="3">
                  <c:v>4-ニトロフタル酸</c:v>
                </c:pt>
                <c:pt idx="4">
                  <c:v>ピロメリット酸</c:v>
                </c:pt>
                <c:pt idx="5">
                  <c:v>フェニルマレイン酸</c:v>
                </c:pt>
                <c:pt idx="6">
                  <c:v>5-ニトロイソフタル酸</c:v>
                </c:pt>
                <c:pt idx="7">
                  <c:v>フタル酸</c:v>
                </c:pt>
                <c:pt idx="8">
                  <c:v>4-メトキシフタル酸</c:v>
                </c:pt>
                <c:pt idx="9">
                  <c:v>3-メトキシフタル酸</c:v>
                </c:pt>
                <c:pt idx="10">
                  <c:v>フマル酸</c:v>
                </c:pt>
                <c:pt idx="11">
                  <c:v>リンゴ酸</c:v>
                </c:pt>
                <c:pt idx="12">
                  <c:v>安息香酸</c:v>
                </c:pt>
                <c:pt idx="13">
                  <c:v>TE</c:v>
                </c:pt>
                <c:pt idx="14">
                  <c:v>コハク酸</c:v>
                </c:pt>
                <c:pt idx="15">
                  <c:v>1,2-シクロヘキサンジカルボン酸</c:v>
                </c:pt>
                <c:pt idx="16">
                  <c:v>アントラキノン-2,3-ジカルボン酸</c:v>
                </c:pt>
                <c:pt idx="17">
                  <c:v>4-PO</c:v>
                </c:pt>
                <c:pt idx="18">
                  <c:v>4-PE</c:v>
                </c:pt>
                <c:pt idx="19">
                  <c:v>4-NB</c:v>
                </c:pt>
                <c:pt idx="20">
                  <c:v>4-NO</c:v>
                </c:pt>
                <c:pt idx="21">
                  <c:v>4-NE</c:v>
                </c:pt>
                <c:pt idx="22">
                  <c:v>DE</c:v>
                </c:pt>
              </c:strCache>
            </c:strRef>
          </c:cat>
          <c:val>
            <c:numRef>
              <c:f>データベース!$J$114:$J$133</c:f>
              <c:numCache>
                <c:formatCode>General</c:formatCode>
                <c:ptCount val="20"/>
                <c:pt idx="0">
                  <c:v>0.7</c:v>
                </c:pt>
                <c:pt idx="1">
                  <c:v>12.49</c:v>
                </c:pt>
                <c:pt idx="2">
                  <c:v>18.649999999999999</c:v>
                </c:pt>
                <c:pt idx="3">
                  <c:v>15.65</c:v>
                </c:pt>
                <c:pt idx="4">
                  <c:v>11.53</c:v>
                </c:pt>
                <c:pt idx="5">
                  <c:v>12.66</c:v>
                </c:pt>
                <c:pt idx="6">
                  <c:v>10.76</c:v>
                </c:pt>
                <c:pt idx="7">
                  <c:v>13.32</c:v>
                </c:pt>
                <c:pt idx="8">
                  <c:v>13.29</c:v>
                </c:pt>
                <c:pt idx="9">
                  <c:v>8.9499999999999993</c:v>
                </c:pt>
                <c:pt idx="10">
                  <c:v>10.52</c:v>
                </c:pt>
                <c:pt idx="11">
                  <c:v>9.27</c:v>
                </c:pt>
                <c:pt idx="12">
                  <c:v>3.45</c:v>
                </c:pt>
                <c:pt idx="13">
                  <c:v>4.18</c:v>
                </c:pt>
                <c:pt idx="14">
                  <c:v>3.3</c:v>
                </c:pt>
                <c:pt idx="15">
                  <c:v>6.8</c:v>
                </c:pt>
                <c:pt idx="16">
                  <c:v>17.7</c:v>
                </c:pt>
                <c:pt idx="17">
                  <c:v>13.9</c:v>
                </c:pt>
                <c:pt idx="18">
                  <c:v>13.55</c:v>
                </c:pt>
                <c:pt idx="19">
                  <c:v>13.46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AE-476B-8B43-E004DC3C60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データベース!$H$135:$H$157</c15:sqref>
                        </c15:formulaRef>
                      </c:ext>
                    </c:extLst>
                    <c:strCache>
                      <c:ptCount val="23"/>
                      <c:pt idx="0">
                        <c:v>blank</c:v>
                      </c:pt>
                      <c:pt idx="1">
                        <c:v>3-ニトロフタル酸</c:v>
                      </c:pt>
                      <c:pt idx="2">
                        <c:v>マレイン酸</c:v>
                      </c:pt>
                      <c:pt idx="3">
                        <c:v>4-ニトロフタル酸</c:v>
                      </c:pt>
                      <c:pt idx="4">
                        <c:v>ピロメリット酸</c:v>
                      </c:pt>
                      <c:pt idx="5">
                        <c:v>フェニルマレイン酸</c:v>
                      </c:pt>
                      <c:pt idx="6">
                        <c:v>5-ニトロイソフタル酸</c:v>
                      </c:pt>
                      <c:pt idx="7">
                        <c:v>フタル酸</c:v>
                      </c:pt>
                      <c:pt idx="8">
                        <c:v>4-メトキシフタル酸</c:v>
                      </c:pt>
                      <c:pt idx="9">
                        <c:v>3-メトキシフタル酸</c:v>
                      </c:pt>
                      <c:pt idx="10">
                        <c:v>フマル酸</c:v>
                      </c:pt>
                      <c:pt idx="11">
                        <c:v>リンゴ酸</c:v>
                      </c:pt>
                      <c:pt idx="12">
                        <c:v>安息香酸</c:v>
                      </c:pt>
                      <c:pt idx="13">
                        <c:v>TE</c:v>
                      </c:pt>
                      <c:pt idx="14">
                        <c:v>コハク酸</c:v>
                      </c:pt>
                      <c:pt idx="15">
                        <c:v>1,2-シクロヘキサンジカルボン酸</c:v>
                      </c:pt>
                      <c:pt idx="16">
                        <c:v>アントラキノン-2,3-ジカルボン酸</c:v>
                      </c:pt>
                      <c:pt idx="17">
                        <c:v>4-PO</c:v>
                      </c:pt>
                      <c:pt idx="18">
                        <c:v>4-PE</c:v>
                      </c:pt>
                      <c:pt idx="19">
                        <c:v>4-NB</c:v>
                      </c:pt>
                      <c:pt idx="20">
                        <c:v>4-NO</c:v>
                      </c:pt>
                      <c:pt idx="21">
                        <c:v>4-NE</c:v>
                      </c:pt>
                      <c:pt idx="22">
                        <c:v>DE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データベース!$M$115:$M$123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7BAE-476B-8B43-E004DC3C6069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4854343834473773"/>
              <c:y val="0.93747799539224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440042280373346"/>
          <c:y val="3.042405843847832E-2"/>
          <c:w val="0.61828139793267134"/>
          <c:h val="0.8573617540407424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5D-4F31-885F-F9DF4963492D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5D-4F31-885F-F9DF4963492D}"/>
              </c:ext>
            </c:extLst>
          </c:dPt>
          <c:dPt>
            <c:idx val="7"/>
            <c:invertIfNegative val="0"/>
            <c:bubble3D val="0"/>
            <c:spPr>
              <a:solidFill>
                <a:srgbClr val="20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5D-4F31-885F-F9DF4963492D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5D-4F31-885F-F9DF4963492D}"/>
              </c:ext>
            </c:extLst>
          </c:dPt>
          <c:dPt>
            <c:idx val="9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A5D-4F31-885F-F9DF4963492D}"/>
              </c:ext>
            </c:extLst>
          </c:dPt>
          <c:dPt>
            <c:idx val="16"/>
            <c:invertIfNegative val="0"/>
            <c:bubble3D val="0"/>
            <c:spPr>
              <a:solidFill>
                <a:srgbClr val="20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A5D-4F31-885F-F9DF4963492D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データベース!$H$135:$H$161</c:f>
              <c:strCache>
                <c:ptCount val="27"/>
                <c:pt idx="0">
                  <c:v>blank</c:v>
                </c:pt>
                <c:pt idx="1">
                  <c:v>3-ニトロフタル酸</c:v>
                </c:pt>
                <c:pt idx="2">
                  <c:v>マレイン酸</c:v>
                </c:pt>
                <c:pt idx="3">
                  <c:v>4-ニトロフタル酸</c:v>
                </c:pt>
                <c:pt idx="4">
                  <c:v>ピロメリット酸</c:v>
                </c:pt>
                <c:pt idx="5">
                  <c:v>フェニルマレイン酸</c:v>
                </c:pt>
                <c:pt idx="6">
                  <c:v>5-ニトロイソフタル酸</c:v>
                </c:pt>
                <c:pt idx="7">
                  <c:v>フタル酸</c:v>
                </c:pt>
                <c:pt idx="8">
                  <c:v>4-メトキシフタル酸</c:v>
                </c:pt>
                <c:pt idx="9">
                  <c:v>3-メトキシフタル酸</c:v>
                </c:pt>
                <c:pt idx="10">
                  <c:v>フマル酸</c:v>
                </c:pt>
                <c:pt idx="11">
                  <c:v>リンゴ酸</c:v>
                </c:pt>
                <c:pt idx="12">
                  <c:v>安息香酸</c:v>
                </c:pt>
                <c:pt idx="13">
                  <c:v>TE</c:v>
                </c:pt>
                <c:pt idx="14">
                  <c:v>コハク酸</c:v>
                </c:pt>
                <c:pt idx="15">
                  <c:v>1,2-シクロヘキサンジカルボン酸</c:v>
                </c:pt>
                <c:pt idx="16">
                  <c:v>アントラキノン-2,3-ジカルボン酸</c:v>
                </c:pt>
                <c:pt idx="17">
                  <c:v>4-PO</c:v>
                </c:pt>
                <c:pt idx="18">
                  <c:v>4-PE</c:v>
                </c:pt>
                <c:pt idx="19">
                  <c:v>4-NB</c:v>
                </c:pt>
                <c:pt idx="20">
                  <c:v>4-NO</c:v>
                </c:pt>
                <c:pt idx="21">
                  <c:v>4-NE</c:v>
                </c:pt>
                <c:pt idx="22">
                  <c:v>DE</c:v>
                </c:pt>
                <c:pt idx="23">
                  <c:v>2,3-ナフタレンジカルボン酸</c:v>
                </c:pt>
                <c:pt idx="24">
                  <c:v>HBPEK</c:v>
                </c:pt>
                <c:pt idx="25">
                  <c:v>EE</c:v>
                </c:pt>
                <c:pt idx="26">
                  <c:v>3-NE</c:v>
                </c:pt>
              </c:strCache>
            </c:strRef>
          </c:cat>
          <c:val>
            <c:numRef>
              <c:f>データベース!$J$114:$J$140</c:f>
              <c:numCache>
                <c:formatCode>General</c:formatCode>
                <c:ptCount val="27"/>
                <c:pt idx="0">
                  <c:v>0.7</c:v>
                </c:pt>
                <c:pt idx="1">
                  <c:v>12.49</c:v>
                </c:pt>
                <c:pt idx="2">
                  <c:v>18.649999999999999</c:v>
                </c:pt>
                <c:pt idx="3">
                  <c:v>15.65</c:v>
                </c:pt>
                <c:pt idx="4">
                  <c:v>11.53</c:v>
                </c:pt>
                <c:pt idx="5">
                  <c:v>12.66</c:v>
                </c:pt>
                <c:pt idx="6">
                  <c:v>10.76</c:v>
                </c:pt>
                <c:pt idx="7">
                  <c:v>13.32</c:v>
                </c:pt>
                <c:pt idx="8">
                  <c:v>13.29</c:v>
                </c:pt>
                <c:pt idx="9">
                  <c:v>8.9499999999999993</c:v>
                </c:pt>
                <c:pt idx="10">
                  <c:v>10.52</c:v>
                </c:pt>
                <c:pt idx="11">
                  <c:v>9.27</c:v>
                </c:pt>
                <c:pt idx="12">
                  <c:v>3.45</c:v>
                </c:pt>
                <c:pt idx="13">
                  <c:v>4.18</c:v>
                </c:pt>
                <c:pt idx="14">
                  <c:v>3.3</c:v>
                </c:pt>
                <c:pt idx="15">
                  <c:v>6.8</c:v>
                </c:pt>
                <c:pt idx="16">
                  <c:v>17.7</c:v>
                </c:pt>
                <c:pt idx="17">
                  <c:v>13.9</c:v>
                </c:pt>
                <c:pt idx="18">
                  <c:v>13.55</c:v>
                </c:pt>
                <c:pt idx="19">
                  <c:v>13.46</c:v>
                </c:pt>
                <c:pt idx="20">
                  <c:v>12.97</c:v>
                </c:pt>
                <c:pt idx="21">
                  <c:v>12.8</c:v>
                </c:pt>
                <c:pt idx="22">
                  <c:v>11.82</c:v>
                </c:pt>
                <c:pt idx="23">
                  <c:v>11.8</c:v>
                </c:pt>
                <c:pt idx="24">
                  <c:v>9.75</c:v>
                </c:pt>
                <c:pt idx="25">
                  <c:v>8.74</c:v>
                </c:pt>
                <c:pt idx="26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A5D-4F31-885F-F9DF496349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データベース!$H$135:$H$161</c15:sqref>
                        </c15:formulaRef>
                      </c:ext>
                    </c:extLst>
                    <c:strCache>
                      <c:ptCount val="27"/>
                      <c:pt idx="0">
                        <c:v>blank</c:v>
                      </c:pt>
                      <c:pt idx="1">
                        <c:v>3-ニトロフタル酸</c:v>
                      </c:pt>
                      <c:pt idx="2">
                        <c:v>マレイン酸</c:v>
                      </c:pt>
                      <c:pt idx="3">
                        <c:v>4-ニトロフタル酸</c:v>
                      </c:pt>
                      <c:pt idx="4">
                        <c:v>ピロメリット酸</c:v>
                      </c:pt>
                      <c:pt idx="5">
                        <c:v>フェニルマレイン酸</c:v>
                      </c:pt>
                      <c:pt idx="6">
                        <c:v>5-ニトロイソフタル酸</c:v>
                      </c:pt>
                      <c:pt idx="7">
                        <c:v>フタル酸</c:v>
                      </c:pt>
                      <c:pt idx="8">
                        <c:v>4-メトキシフタル酸</c:v>
                      </c:pt>
                      <c:pt idx="9">
                        <c:v>3-メトキシフタル酸</c:v>
                      </c:pt>
                      <c:pt idx="10">
                        <c:v>フマル酸</c:v>
                      </c:pt>
                      <c:pt idx="11">
                        <c:v>リンゴ酸</c:v>
                      </c:pt>
                      <c:pt idx="12">
                        <c:v>安息香酸</c:v>
                      </c:pt>
                      <c:pt idx="13">
                        <c:v>TE</c:v>
                      </c:pt>
                      <c:pt idx="14">
                        <c:v>コハク酸</c:v>
                      </c:pt>
                      <c:pt idx="15">
                        <c:v>1,2-シクロヘキサンジカルボン酸</c:v>
                      </c:pt>
                      <c:pt idx="16">
                        <c:v>アントラキノン-2,3-ジカルボン酸</c:v>
                      </c:pt>
                      <c:pt idx="17">
                        <c:v>4-PO</c:v>
                      </c:pt>
                      <c:pt idx="18">
                        <c:v>4-PE</c:v>
                      </c:pt>
                      <c:pt idx="19">
                        <c:v>4-NB</c:v>
                      </c:pt>
                      <c:pt idx="20">
                        <c:v>4-NO</c:v>
                      </c:pt>
                      <c:pt idx="21">
                        <c:v>4-NE</c:v>
                      </c:pt>
                      <c:pt idx="22">
                        <c:v>DE</c:v>
                      </c:pt>
                      <c:pt idx="23">
                        <c:v>2,3-ナフタレンジカルボン酸</c:v>
                      </c:pt>
                      <c:pt idx="24">
                        <c:v>HBPEK</c:v>
                      </c:pt>
                      <c:pt idx="25">
                        <c:v>EE</c:v>
                      </c:pt>
                      <c:pt idx="26">
                        <c:v>3-NE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データベース!$M$115:$M$123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5A5D-4F31-885F-F9DF4963492D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4854343834473773"/>
              <c:y val="0.93747799539224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6748781014441"/>
          <c:y val="3.0312423154732017E-2"/>
          <c:w val="0.67792795749967172"/>
          <c:h val="0.83070992111987552"/>
        </c:manualLayout>
      </c:layout>
      <c:scatterChart>
        <c:scatterStyle val="lineMarker"/>
        <c:varyColors val="0"/>
        <c:ser>
          <c:idx val="2"/>
          <c:order val="0"/>
          <c:tx>
            <c:strRef>
              <c:f>データベース!$B$381</c:f>
              <c:strCache>
                <c:ptCount val="1"/>
                <c:pt idx="0">
                  <c:v>フタル酸(0.18)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rgbClr val="00B0F0"/>
                </a:solidFill>
                <a:ln w="9525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C7C1-4752-885F-8ABB107D2DF3}"/>
              </c:ext>
            </c:extLst>
          </c:dPt>
          <c:xVal>
            <c:numRef>
              <c:f>データベース!$C$381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データベース!$D$381</c:f>
              <c:numCache>
                <c:formatCode>General</c:formatCode>
                <c:ptCount val="1"/>
                <c:pt idx="0">
                  <c:v>13.28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71-44D0-AC51-17B026C069FF}"/>
            </c:ext>
          </c:extLst>
        </c:ser>
        <c:ser>
          <c:idx val="4"/>
          <c:order val="1"/>
          <c:tx>
            <c:strRef>
              <c:f>データベース!$B$382</c:f>
              <c:strCache>
                <c:ptCount val="1"/>
                <c:pt idx="0">
                  <c:v>フタル酸(0.18)+NaCl(1.0)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データベース!$C$382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データベース!$D$382</c:f>
              <c:numCache>
                <c:formatCode>General</c:formatCode>
                <c:ptCount val="1"/>
                <c:pt idx="0">
                  <c:v>9.1199999999999992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C1-4752-885F-8ABB107D2DF3}"/>
            </c:ext>
          </c:extLst>
        </c:ser>
        <c:ser>
          <c:idx val="6"/>
          <c:order val="2"/>
          <c:tx>
            <c:strRef>
              <c:f>データベース!$B$383</c:f>
              <c:strCache>
                <c:ptCount val="1"/>
                <c:pt idx="0">
                  <c:v>フタル酸(1.8)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データベース!$C$383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データベース!$D$383</c:f>
              <c:numCache>
                <c:formatCode>General</c:formatCode>
                <c:ptCount val="1"/>
                <c:pt idx="0">
                  <c:v>30.6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C1-4752-885F-8ABB107D2DF3}"/>
            </c:ext>
          </c:extLst>
        </c:ser>
        <c:ser>
          <c:idx val="7"/>
          <c:order val="3"/>
          <c:tx>
            <c:strRef>
              <c:f>データベース!$B$384</c:f>
              <c:strCache>
                <c:ptCount val="1"/>
                <c:pt idx="0">
                  <c:v>フタル酸(1.8)+NaCl(1.0)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データベース!$C$384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データベース!$D$384</c:f>
              <c:numCache>
                <c:formatCode>General</c:formatCode>
                <c:ptCount val="1"/>
                <c:pt idx="0">
                  <c:v>28.62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C1-4752-885F-8ABB107D2DF3}"/>
            </c:ext>
          </c:extLst>
        </c:ser>
        <c:ser>
          <c:idx val="9"/>
          <c:order val="4"/>
          <c:tx>
            <c:strRef>
              <c:f>データベース!$B$385</c:f>
              <c:strCache>
                <c:ptCount val="1"/>
                <c:pt idx="0">
                  <c:v>フタル酸(1.8)+NaCl(10)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データベース!$C$385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データベース!$D$385</c:f>
              <c:numCache>
                <c:formatCode>General</c:formatCode>
                <c:ptCount val="1"/>
                <c:pt idx="0">
                  <c:v>22.15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C1-4752-885F-8ABB107D2DF3}"/>
            </c:ext>
          </c:extLst>
        </c:ser>
        <c:ser>
          <c:idx val="0"/>
          <c:order val="5"/>
          <c:tx>
            <c:strRef>
              <c:f>データベース!$B$386</c:f>
              <c:strCache>
                <c:ptCount val="1"/>
                <c:pt idx="0">
                  <c:v>p-トルエンスルホン酸(0.18)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25400">
                <a:noFill/>
              </a:ln>
              <a:effectLst/>
            </c:spPr>
          </c:marker>
          <c:xVal>
            <c:numRef>
              <c:f>データベース!$C$386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データベース!$D$386</c:f>
              <c:numCache>
                <c:formatCode>General</c:formatCode>
                <c:ptCount val="1"/>
                <c:pt idx="0">
                  <c:v>30.65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1-44D0-AC51-17B026C069FF}"/>
            </c:ext>
          </c:extLst>
        </c:ser>
        <c:ser>
          <c:idx val="10"/>
          <c:order val="6"/>
          <c:tx>
            <c:strRef>
              <c:f>データベース!$B$387</c:f>
              <c:strCache>
                <c:ptCount val="1"/>
                <c:pt idx="0">
                  <c:v>p-トルエンスルホン酸(0.18)+NaCl(1.0)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データベース!$C$387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データベース!$D$387</c:f>
              <c:numCache>
                <c:formatCode>General</c:formatCode>
                <c:ptCount val="1"/>
                <c:pt idx="0">
                  <c:v>27.87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7C1-4752-885F-8ABB107D2DF3}"/>
            </c:ext>
          </c:extLst>
        </c:ser>
        <c:ser>
          <c:idx val="11"/>
          <c:order val="7"/>
          <c:tx>
            <c:strRef>
              <c:f>データベース!$B$388</c:f>
              <c:strCache>
                <c:ptCount val="1"/>
                <c:pt idx="0">
                  <c:v>p-トルエンスルホン酸(0.18)+NaCl(10)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データベース!$C$388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データベース!$D$388</c:f>
              <c:numCache>
                <c:formatCode>General</c:formatCode>
                <c:ptCount val="1"/>
                <c:pt idx="0">
                  <c:v>26.67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7C1-4752-885F-8ABB107D2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1"/>
          <c:min val="1.6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2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20686238375538049"/>
          <c:h val="0.576801808919506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24136670959563"/>
          <c:y val="9.4729056529607392E-2"/>
          <c:w val="0.6638738068384028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データベース!$G$2</c:f>
              <c:numCache>
                <c:formatCode>0.00_);[Red]\(0.00\)</c:formatCode>
                <c:ptCount val="1"/>
                <c:pt idx="0">
                  <c:v>1.7955156240555172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F5-4636-AC53-E3F86CEB5EE3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8F5-4636-AC53-E3F86CEB5EE3}"/>
              </c:ext>
            </c:extLst>
          </c:dPt>
          <c:xVal>
            <c:numRef>
              <c:f>データベース!$G$10</c:f>
              <c:numCache>
                <c:formatCode>0.00_);[Red]\(0.00\)</c:formatCode>
                <c:ptCount val="1"/>
                <c:pt idx="0">
                  <c:v>1.3600089392197512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F5-4636-AC53-E3F86CEB5EE3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データベース!$G$4</c:f>
              <c:numCache>
                <c:formatCode>0.00_);[Red]\(0.00\)</c:formatCode>
                <c:ptCount val="1"/>
                <c:pt idx="0">
                  <c:v>2.4882746224445818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F5-4636-AC53-E3F86CEB5EE3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データベース!$G$11</c:f>
              <c:numCache>
                <c:formatCode>0.00_);[Red]\(0.00\)</c:formatCode>
                <c:ptCount val="1"/>
                <c:pt idx="0">
                  <c:v>1.27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F5-4636-AC53-E3F86CEB5EE3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データベース!$G$12</c:f>
              <c:numCache>
                <c:formatCode>0.00_);[Red]\(0.00\)</c:formatCode>
                <c:ptCount val="1"/>
                <c:pt idx="0">
                  <c:v>2.6150830917526768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F5-4636-AC53-E3F86CEB5EE3}"/>
            </c:ext>
          </c:extLst>
        </c:ser>
        <c:ser>
          <c:idx val="1"/>
          <c:order val="5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データベース!$G$3</c:f>
              <c:numCache>
                <c:formatCode>0.00_);[Red]\(0.00\)</c:formatCode>
                <c:ptCount val="1"/>
                <c:pt idx="0">
                  <c:v>2.9539616123697523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8F5-4636-AC53-E3F86CEB5EE3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FF00"/>
              </a:solidFill>
              <a:ln w="698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データベース!$G$8</c:f>
              <c:numCache>
                <c:formatCode>0.00_);[Red]\(0.00\)</c:formatCode>
                <c:ptCount val="1"/>
                <c:pt idx="0">
                  <c:v>4.345026974313436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F5-4636-AC53-E3F86CEB5EE3}"/>
            </c:ext>
          </c:extLst>
        </c:ser>
        <c:ser>
          <c:idx val="4"/>
          <c:order val="7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データベース!$G$6</c:f>
              <c:numCache>
                <c:formatCode>0.00_);[Red]\(0.00\)</c:formatCode>
                <c:ptCount val="1"/>
                <c:pt idx="0">
                  <c:v>4.0672090135165435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8F5-4636-AC53-E3F86CEB5EE3}"/>
            </c:ext>
          </c:extLst>
        </c:ser>
        <c:ser>
          <c:idx val="9"/>
          <c:order val="8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データベース!$G$13</c:f>
              <c:numCache>
                <c:formatCode>0.00_);[Red]\(0.00\)</c:formatCode>
                <c:ptCount val="1"/>
                <c:pt idx="0">
                  <c:v>4.175621709950347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F5-4636-AC53-E3F86CEB5EE3}"/>
            </c:ext>
          </c:extLst>
        </c:ser>
        <c:ser>
          <c:idx val="3"/>
          <c:order val="9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175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データベース!$G$21</c:f>
              <c:numCache>
                <c:formatCode>0.00_);[Red]\(0.00\)</c:formatCode>
                <c:ptCount val="1"/>
                <c:pt idx="0">
                  <c:v>3.2804766770472331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8F5-4636-AC53-E3F86CEB5EE3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データベース!$G$22</c:f>
              <c:numCache>
                <c:formatCode>0.00_);[Red]\(0.00\)</c:formatCode>
                <c:ptCount val="1"/>
                <c:pt idx="0">
                  <c:v>2.3503904912138656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F5-4636-AC53-E3F86CEB5EE3}"/>
            </c:ext>
          </c:extLst>
        </c:ser>
        <c:ser>
          <c:idx val="12"/>
          <c:order val="11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190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star"/>
              <c:size val="15"/>
              <c:spPr>
                <a:solidFill>
                  <a:schemeClr val="accent6"/>
                </a:solidFill>
                <a:ln w="190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98F5-4636-AC53-E3F86CEB5EE3}"/>
              </c:ext>
            </c:extLst>
          </c:dPt>
          <c:xVal>
            <c:numRef>
              <c:f>データベース!$G$28</c:f>
              <c:numCache>
                <c:formatCode>0.00_);[Red]\(0.00\)</c:formatCode>
                <c:ptCount val="1"/>
                <c:pt idx="0">
                  <c:v>2.6454284034069762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8F5-4636-AC53-E3F86CEB5EE3}"/>
            </c:ext>
          </c:extLst>
        </c:ser>
        <c:ser>
          <c:idx val="13"/>
          <c:order val="12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データベース!$G$5</c:f>
              <c:numCache>
                <c:formatCode>0.00_);[Red]\(0.00\)</c:formatCode>
                <c:ptCount val="1"/>
                <c:pt idx="0">
                  <c:v>2.87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0E-422A-B902-8593B32E6297}"/>
            </c:ext>
          </c:extLst>
        </c:ser>
        <c:ser>
          <c:idx val="14"/>
          <c:order val="13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データベース!$G$7</c:f>
              <c:numCache>
                <c:formatCode>0.00_);[Red]\(0.00\)</c:formatCode>
                <c:ptCount val="1"/>
                <c:pt idx="0">
                  <c:v>1.9198640535723652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0E-422A-B902-8593B32E6297}"/>
            </c:ext>
          </c:extLst>
        </c:ser>
        <c:ser>
          <c:idx val="16"/>
          <c:order val="14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データベース!$G$13</c:f>
              <c:numCache>
                <c:formatCode>0.00_);[Red]\(0.00\)</c:formatCode>
                <c:ptCount val="1"/>
                <c:pt idx="0">
                  <c:v>4.175621709950347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0E-422A-B902-8593B32E6297}"/>
            </c:ext>
          </c:extLst>
        </c:ser>
        <c:ser>
          <c:idx val="17"/>
          <c:order val="15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データベース!$G$16</c:f>
              <c:numCache>
                <c:formatCode>0.00_);[Red]\(0.00\)</c:formatCode>
                <c:ptCount val="1"/>
                <c:pt idx="0">
                  <c:v>3.851658068773717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0E-422A-B902-8593B32E6297}"/>
            </c:ext>
          </c:extLst>
        </c:ser>
        <c:ser>
          <c:idx val="18"/>
          <c:order val="16"/>
          <c:tx>
            <c:strRef>
              <c:f>データベース!$A$17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データベース!$G$17</c:f>
              <c:numCache>
                <c:formatCode>0.00_);[Red]\(0.00\)</c:formatCode>
                <c:ptCount val="1"/>
                <c:pt idx="0">
                  <c:v>2.84</c:v>
                </c:pt>
              </c:numCache>
            </c:numRef>
          </c:xVal>
          <c:yVal>
            <c:numRef>
              <c:f>データベース!$C$17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00E-422A-B902-8593B32E6297}"/>
            </c:ext>
          </c:extLst>
        </c:ser>
        <c:ser>
          <c:idx val="19"/>
          <c:order val="17"/>
          <c:tx>
            <c:strRef>
              <c:f>データベース!$A$20</c:f>
              <c:strCache>
                <c:ptCount val="1"/>
                <c:pt idx="0">
                  <c:v>EE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データベース!$G$20</c:f>
              <c:numCache>
                <c:formatCode>0.00_);[Red]\(0.00\)</c:formatCode>
                <c:ptCount val="1"/>
                <c:pt idx="0">
                  <c:v>2.74</c:v>
                </c:pt>
              </c:numCache>
            </c:numRef>
          </c:xVal>
          <c:yVal>
            <c:numRef>
              <c:f>データベース!$C$20</c:f>
              <c:numCache>
                <c:formatCode>General</c:formatCode>
                <c:ptCount val="1"/>
                <c:pt idx="0">
                  <c:v>8.7356475000000007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0E-422A-B902-8593B32E6297}"/>
            </c:ext>
          </c:extLst>
        </c:ser>
        <c:ser>
          <c:idx val="20"/>
          <c:order val="18"/>
          <c:tx>
            <c:strRef>
              <c:f>データベース!$A$23</c:f>
              <c:strCache>
                <c:ptCount val="1"/>
                <c:pt idx="0">
                  <c:v>アントラキノン-
2,3-ジカルボン酸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データベース!$G$23</c:f>
              <c:numCache>
                <c:formatCode>0.00_);[Red]\(0.00\)</c:formatCode>
                <c:ptCount val="1"/>
                <c:pt idx="0">
                  <c:v>1.32</c:v>
                </c:pt>
              </c:numCache>
            </c:numRef>
          </c:xVal>
          <c:yVal>
            <c:numRef>
              <c:f>データベース!$C$23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0E-422A-B902-8593B32E6297}"/>
            </c:ext>
          </c:extLst>
        </c:ser>
        <c:ser>
          <c:idx val="21"/>
          <c:order val="19"/>
          <c:tx>
            <c:strRef>
              <c:f>データベース!$A$30</c:f>
              <c:strCache>
                <c:ptCount val="1"/>
                <c:pt idx="0">
                  <c:v>3-メトキシフタル酸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データベース!$G$30</c:f>
              <c:numCache>
                <c:formatCode>0.00_);[Red]\(0.00\)</c:formatCode>
                <c:ptCount val="1"/>
                <c:pt idx="0">
                  <c:v>2.9274407606004136</c:v>
                </c:pt>
              </c:numCache>
            </c:numRef>
          </c:xVal>
          <c:yVal>
            <c:numRef>
              <c:f>データベース!$C$30</c:f>
              <c:numCache>
                <c:formatCode>General</c:formatCode>
                <c:ptCount val="1"/>
                <c:pt idx="0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00E-422A-B902-8593B32E6297}"/>
            </c:ext>
          </c:extLst>
        </c:ser>
        <c:ser>
          <c:idx val="22"/>
          <c:order val="20"/>
          <c:tx>
            <c:strRef>
              <c:f>データベース!$A$31</c:f>
              <c:strCache>
                <c:ptCount val="1"/>
                <c:pt idx="0">
                  <c:v>4-NO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データベース!$G$31</c:f>
              <c:numCache>
                <c:formatCode>0.00_);[Red]\(0.00\)</c:formatCode>
                <c:ptCount val="1"/>
                <c:pt idx="0">
                  <c:v>2.63</c:v>
                </c:pt>
              </c:numCache>
            </c:numRef>
          </c:xVal>
          <c:yVal>
            <c:numRef>
              <c:f>データベース!$C$31</c:f>
              <c:numCache>
                <c:formatCode>General</c:formatCode>
                <c:ptCount val="1"/>
                <c:pt idx="0">
                  <c:v>12.97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00E-422A-B902-8593B32E6297}"/>
            </c:ext>
          </c:extLst>
        </c:ser>
        <c:ser>
          <c:idx val="23"/>
          <c:order val="21"/>
          <c:tx>
            <c:strRef>
              <c:f>データベース!$A$32</c:f>
              <c:strCache>
                <c:ptCount val="1"/>
                <c:pt idx="0">
                  <c:v>4-PO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データベース!$G$32</c:f>
              <c:numCache>
                <c:formatCode>0.00_);[Red]\(0.00\)</c:formatCode>
                <c:ptCount val="1"/>
                <c:pt idx="0">
                  <c:v>2.73</c:v>
                </c:pt>
              </c:numCache>
            </c:numRef>
          </c:xVal>
          <c:yVal>
            <c:numRef>
              <c:f>データベース!$C$32</c:f>
              <c:numCache>
                <c:formatCode>General</c:formatCode>
                <c:ptCount val="1"/>
                <c:pt idx="0">
                  <c:v>13.9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00E-422A-B902-8593B32E6297}"/>
            </c:ext>
          </c:extLst>
        </c:ser>
        <c:ser>
          <c:idx val="24"/>
          <c:order val="22"/>
          <c:tx>
            <c:strRef>
              <c:f>データベース!$A$33</c:f>
              <c:strCache>
                <c:ptCount val="1"/>
                <c:pt idx="0">
                  <c:v>4-NE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データベース!$G$33</c:f>
              <c:numCache>
                <c:formatCode>0.00_);[Red]\(0.00\)</c:formatCode>
                <c:ptCount val="1"/>
                <c:pt idx="0">
                  <c:v>2.78</c:v>
                </c:pt>
              </c:numCache>
            </c:numRef>
          </c:xVal>
          <c:yVal>
            <c:numRef>
              <c:f>データベース!$C$33</c:f>
              <c:numCache>
                <c:formatCode>General</c:formatCode>
                <c:ptCount val="1"/>
                <c:pt idx="0">
                  <c:v>12.8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00E-422A-B902-8593B32E6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4000000000000004"/>
          <c:min val="1.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6032811347950692"/>
              <c:y val="0.92138843914198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.00_);[Red]\(0.00\)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50486677120001"/>
          <c:y val="0"/>
          <c:w val="0.20395740816715391"/>
          <c:h val="0.902504660927025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440042280373346"/>
          <c:y val="3.042405843847832E-2"/>
          <c:w val="0.61828139793267134"/>
          <c:h val="0.8573617540407424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E8-442C-AECD-0B9315A7ED22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E8-442C-AECD-0B9315A7ED22}"/>
              </c:ext>
            </c:extLst>
          </c:dPt>
          <c:dPt>
            <c:idx val="7"/>
            <c:invertIfNegative val="0"/>
            <c:bubble3D val="0"/>
            <c:spPr>
              <a:solidFill>
                <a:srgbClr val="20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E8-442C-AECD-0B9315A7ED22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1E8-442C-AECD-0B9315A7ED22}"/>
              </c:ext>
            </c:extLst>
          </c:dPt>
          <c:dPt>
            <c:idx val="9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1E8-442C-AECD-0B9315A7ED22}"/>
              </c:ext>
            </c:extLst>
          </c:dPt>
          <c:dPt>
            <c:idx val="16"/>
            <c:invertIfNegative val="0"/>
            <c:bubble3D val="0"/>
            <c:spPr>
              <a:solidFill>
                <a:srgbClr val="20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1E8-442C-AECD-0B9315A7ED22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データベース!$H$135:$H$161</c15:sqref>
                  </c15:fullRef>
                </c:ext>
              </c:extLst>
              <c:f>(データベース!$H$135:$H$151,データベース!$H$157:$H$160)</c:f>
              <c:strCache>
                <c:ptCount val="21"/>
                <c:pt idx="0">
                  <c:v>blank</c:v>
                </c:pt>
                <c:pt idx="1">
                  <c:v>3-ニトロフタル酸</c:v>
                </c:pt>
                <c:pt idx="2">
                  <c:v>マレイン酸</c:v>
                </c:pt>
                <c:pt idx="3">
                  <c:v>4-ニトロフタル酸</c:v>
                </c:pt>
                <c:pt idx="4">
                  <c:v>ピロメリット酸</c:v>
                </c:pt>
                <c:pt idx="5">
                  <c:v>フェニルマレイン酸</c:v>
                </c:pt>
                <c:pt idx="6">
                  <c:v>5-ニトロイソフタル酸</c:v>
                </c:pt>
                <c:pt idx="7">
                  <c:v>フタル酸</c:v>
                </c:pt>
                <c:pt idx="8">
                  <c:v>4-メトキシフタル酸</c:v>
                </c:pt>
                <c:pt idx="9">
                  <c:v>3-メトキシフタル酸</c:v>
                </c:pt>
                <c:pt idx="10">
                  <c:v>フマル酸</c:v>
                </c:pt>
                <c:pt idx="11">
                  <c:v>リンゴ酸</c:v>
                </c:pt>
                <c:pt idx="12">
                  <c:v>安息香酸</c:v>
                </c:pt>
                <c:pt idx="13">
                  <c:v>TE</c:v>
                </c:pt>
                <c:pt idx="14">
                  <c:v>コハク酸</c:v>
                </c:pt>
                <c:pt idx="15">
                  <c:v>1,2-シクロヘキサンジカルボン酸</c:v>
                </c:pt>
                <c:pt idx="16">
                  <c:v>アントラキノン-2,3-ジカルボン酸</c:v>
                </c:pt>
                <c:pt idx="17">
                  <c:v>DE</c:v>
                </c:pt>
                <c:pt idx="18">
                  <c:v>2,3-ナフタレンジカルボン酸</c:v>
                </c:pt>
                <c:pt idx="19">
                  <c:v>HBPEK</c:v>
                </c:pt>
                <c:pt idx="20">
                  <c:v>EE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データベース!$J$114:$J$140</c15:sqref>
                  </c15:fullRef>
                </c:ext>
              </c:extLst>
              <c:f>(データベース!$J$114:$J$130,データベース!$J$136:$J$139)</c:f>
              <c:numCache>
                <c:formatCode>General</c:formatCode>
                <c:ptCount val="21"/>
                <c:pt idx="0">
                  <c:v>0.7</c:v>
                </c:pt>
                <c:pt idx="1">
                  <c:v>12.49</c:v>
                </c:pt>
                <c:pt idx="2">
                  <c:v>18.649999999999999</c:v>
                </c:pt>
                <c:pt idx="3">
                  <c:v>15.65</c:v>
                </c:pt>
                <c:pt idx="4">
                  <c:v>11.53</c:v>
                </c:pt>
                <c:pt idx="5">
                  <c:v>12.66</c:v>
                </c:pt>
                <c:pt idx="6">
                  <c:v>10.76</c:v>
                </c:pt>
                <c:pt idx="7">
                  <c:v>13.32</c:v>
                </c:pt>
                <c:pt idx="8">
                  <c:v>13.29</c:v>
                </c:pt>
                <c:pt idx="9">
                  <c:v>8.9499999999999993</c:v>
                </c:pt>
                <c:pt idx="10">
                  <c:v>10.52</c:v>
                </c:pt>
                <c:pt idx="11">
                  <c:v>9.27</c:v>
                </c:pt>
                <c:pt idx="12">
                  <c:v>3.45</c:v>
                </c:pt>
                <c:pt idx="13">
                  <c:v>4.18</c:v>
                </c:pt>
                <c:pt idx="14">
                  <c:v>3.3</c:v>
                </c:pt>
                <c:pt idx="15">
                  <c:v>6.8</c:v>
                </c:pt>
                <c:pt idx="16">
                  <c:v>17.7</c:v>
                </c:pt>
                <c:pt idx="17">
                  <c:v>11.82</c:v>
                </c:pt>
                <c:pt idx="18">
                  <c:v>11.8</c:v>
                </c:pt>
                <c:pt idx="19">
                  <c:v>9.75</c:v>
                </c:pt>
                <c:pt idx="20">
                  <c:v>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E8-442C-AECD-0B9315A7ED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データベース!$H$135:$H$161</c15:sqref>
                        </c15:fullRef>
                        <c15:formulaRef>
                          <c15:sqref>(データベース!$H$135:$H$151,データベース!$H$157:$H$160)</c15:sqref>
                        </c15:formulaRef>
                      </c:ext>
                    </c:extLst>
                    <c:strCache>
                      <c:ptCount val="21"/>
                      <c:pt idx="0">
                        <c:v>blank</c:v>
                      </c:pt>
                      <c:pt idx="1">
                        <c:v>3-ニトロフタル酸</c:v>
                      </c:pt>
                      <c:pt idx="2">
                        <c:v>マレイン酸</c:v>
                      </c:pt>
                      <c:pt idx="3">
                        <c:v>4-ニトロフタル酸</c:v>
                      </c:pt>
                      <c:pt idx="4">
                        <c:v>ピロメリット酸</c:v>
                      </c:pt>
                      <c:pt idx="5">
                        <c:v>フェニルマレイン酸</c:v>
                      </c:pt>
                      <c:pt idx="6">
                        <c:v>5-ニトロイソフタル酸</c:v>
                      </c:pt>
                      <c:pt idx="7">
                        <c:v>フタル酸</c:v>
                      </c:pt>
                      <c:pt idx="8">
                        <c:v>4-メトキシフタル酸</c:v>
                      </c:pt>
                      <c:pt idx="9">
                        <c:v>3-メトキシフタル酸</c:v>
                      </c:pt>
                      <c:pt idx="10">
                        <c:v>フマル酸</c:v>
                      </c:pt>
                      <c:pt idx="11">
                        <c:v>リンゴ酸</c:v>
                      </c:pt>
                      <c:pt idx="12">
                        <c:v>安息香酸</c:v>
                      </c:pt>
                      <c:pt idx="13">
                        <c:v>TE</c:v>
                      </c:pt>
                      <c:pt idx="14">
                        <c:v>コハク酸</c:v>
                      </c:pt>
                      <c:pt idx="15">
                        <c:v>1,2-シクロヘキサンジカルボン酸</c:v>
                      </c:pt>
                      <c:pt idx="16">
                        <c:v>アントラキノン-2,3-ジカルボン酸</c:v>
                      </c:pt>
                      <c:pt idx="17">
                        <c:v>4-PO</c:v>
                      </c:pt>
                      <c:pt idx="18">
                        <c:v>4-PE</c:v>
                      </c:pt>
                      <c:pt idx="19">
                        <c:v>4-NB</c:v>
                      </c:pt>
                      <c:pt idx="20">
                        <c:v>4-NO</c:v>
                      </c:pt>
                      <c:pt idx="21">
                        <c:v>4-NE</c:v>
                      </c:pt>
                      <c:pt idx="22">
                        <c:v>DE</c:v>
                      </c:pt>
                      <c:pt idx="23">
                        <c:v>2,3-ナフタレンジカルボン酸</c:v>
                      </c:pt>
                      <c:pt idx="24">
                        <c:v>HBPEK</c:v>
                      </c:pt>
                      <c:pt idx="25">
                        <c:v>EE</c:v>
                      </c:pt>
                      <c:pt idx="26">
                        <c:v>3-NE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データベース!$M$115:$M$123</c15:sqref>
                        </c15:fullRef>
                        <c15:formulaRef>
                          <c15:sqref>データベース!$M$115:$M$123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31E8-442C-AECD-0B9315A7ED22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4854343834473773"/>
              <c:y val="0.93747799539224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image" Target="../media/image1.png"/><Relationship Id="rId1" Type="http://schemas.openxmlformats.org/officeDocument/2006/relationships/chart" Target="../charts/chart2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image" Target="../media/image1.png"/><Relationship Id="rId1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image" Target="../media/image1.png"/><Relationship Id="rId1" Type="http://schemas.openxmlformats.org/officeDocument/2006/relationships/chart" Target="../charts/chart2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image" Target="../media/image1.png"/><Relationship Id="rId1" Type="http://schemas.openxmlformats.org/officeDocument/2006/relationships/chart" Target="../charts/chart31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45.xml"/><Relationship Id="rId18" Type="http://schemas.openxmlformats.org/officeDocument/2006/relationships/chart" Target="../charts/chart50.xml"/><Relationship Id="rId26" Type="http://schemas.openxmlformats.org/officeDocument/2006/relationships/chart" Target="../charts/chart57.xml"/><Relationship Id="rId39" Type="http://schemas.openxmlformats.org/officeDocument/2006/relationships/chart" Target="../charts/chart69.xml"/><Relationship Id="rId21" Type="http://schemas.openxmlformats.org/officeDocument/2006/relationships/chart" Target="../charts/chart52.xml"/><Relationship Id="rId34" Type="http://schemas.openxmlformats.org/officeDocument/2006/relationships/chart" Target="../charts/chart64.xml"/><Relationship Id="rId42" Type="http://schemas.openxmlformats.org/officeDocument/2006/relationships/chart" Target="../charts/chart72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6" Type="http://schemas.openxmlformats.org/officeDocument/2006/relationships/chart" Target="../charts/chart48.xml"/><Relationship Id="rId20" Type="http://schemas.openxmlformats.org/officeDocument/2006/relationships/chart" Target="../charts/chart51.xml"/><Relationship Id="rId29" Type="http://schemas.openxmlformats.org/officeDocument/2006/relationships/image" Target="../media/image3.png"/><Relationship Id="rId41" Type="http://schemas.openxmlformats.org/officeDocument/2006/relationships/chart" Target="../charts/chart71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24" Type="http://schemas.openxmlformats.org/officeDocument/2006/relationships/chart" Target="../charts/chart55.xml"/><Relationship Id="rId32" Type="http://schemas.openxmlformats.org/officeDocument/2006/relationships/chart" Target="../charts/chart62.xml"/><Relationship Id="rId37" Type="http://schemas.openxmlformats.org/officeDocument/2006/relationships/chart" Target="../charts/chart67.xml"/><Relationship Id="rId40" Type="http://schemas.openxmlformats.org/officeDocument/2006/relationships/chart" Target="../charts/chart70.xml"/><Relationship Id="rId5" Type="http://schemas.openxmlformats.org/officeDocument/2006/relationships/chart" Target="../charts/chart37.xml"/><Relationship Id="rId15" Type="http://schemas.openxmlformats.org/officeDocument/2006/relationships/chart" Target="../charts/chart47.xml"/><Relationship Id="rId23" Type="http://schemas.openxmlformats.org/officeDocument/2006/relationships/chart" Target="../charts/chart54.xml"/><Relationship Id="rId28" Type="http://schemas.openxmlformats.org/officeDocument/2006/relationships/chart" Target="../charts/chart59.xml"/><Relationship Id="rId36" Type="http://schemas.openxmlformats.org/officeDocument/2006/relationships/chart" Target="../charts/chart66.xml"/><Relationship Id="rId10" Type="http://schemas.openxmlformats.org/officeDocument/2006/relationships/chart" Target="../charts/chart42.xml"/><Relationship Id="rId19" Type="http://schemas.openxmlformats.org/officeDocument/2006/relationships/image" Target="../media/image2.png"/><Relationship Id="rId31" Type="http://schemas.openxmlformats.org/officeDocument/2006/relationships/chart" Target="../charts/chart61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14" Type="http://schemas.openxmlformats.org/officeDocument/2006/relationships/chart" Target="../charts/chart46.xml"/><Relationship Id="rId22" Type="http://schemas.openxmlformats.org/officeDocument/2006/relationships/chart" Target="../charts/chart53.xml"/><Relationship Id="rId27" Type="http://schemas.openxmlformats.org/officeDocument/2006/relationships/chart" Target="../charts/chart58.xml"/><Relationship Id="rId30" Type="http://schemas.openxmlformats.org/officeDocument/2006/relationships/chart" Target="../charts/chart60.xml"/><Relationship Id="rId35" Type="http://schemas.openxmlformats.org/officeDocument/2006/relationships/chart" Target="../charts/chart65.xml"/><Relationship Id="rId8" Type="http://schemas.openxmlformats.org/officeDocument/2006/relationships/chart" Target="../charts/chart40.xml"/><Relationship Id="rId3" Type="http://schemas.openxmlformats.org/officeDocument/2006/relationships/chart" Target="../charts/chart35.xml"/><Relationship Id="rId12" Type="http://schemas.openxmlformats.org/officeDocument/2006/relationships/chart" Target="../charts/chart44.xml"/><Relationship Id="rId17" Type="http://schemas.openxmlformats.org/officeDocument/2006/relationships/chart" Target="../charts/chart49.xml"/><Relationship Id="rId25" Type="http://schemas.openxmlformats.org/officeDocument/2006/relationships/chart" Target="../charts/chart56.xml"/><Relationship Id="rId33" Type="http://schemas.openxmlformats.org/officeDocument/2006/relationships/chart" Target="../charts/chart63.xml"/><Relationship Id="rId38" Type="http://schemas.openxmlformats.org/officeDocument/2006/relationships/chart" Target="../charts/chart6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13" Type="http://schemas.openxmlformats.org/officeDocument/2006/relationships/chart" Target="../charts/chart85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12" Type="http://schemas.openxmlformats.org/officeDocument/2006/relationships/chart" Target="../charts/chart84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11" Type="http://schemas.openxmlformats.org/officeDocument/2006/relationships/chart" Target="../charts/chart83.xml"/><Relationship Id="rId5" Type="http://schemas.openxmlformats.org/officeDocument/2006/relationships/chart" Target="../charts/chart77.xml"/><Relationship Id="rId15" Type="http://schemas.openxmlformats.org/officeDocument/2006/relationships/chart" Target="../charts/chart87.xml"/><Relationship Id="rId10" Type="http://schemas.openxmlformats.org/officeDocument/2006/relationships/chart" Target="../charts/chart82.xml"/><Relationship Id="rId4" Type="http://schemas.openxmlformats.org/officeDocument/2006/relationships/chart" Target="../charts/chart76.xml"/><Relationship Id="rId9" Type="http://schemas.openxmlformats.org/officeDocument/2006/relationships/chart" Target="../charts/chart81.xml"/><Relationship Id="rId14" Type="http://schemas.openxmlformats.org/officeDocument/2006/relationships/chart" Target="../charts/chart86.xml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00.xml"/><Relationship Id="rId18" Type="http://schemas.openxmlformats.org/officeDocument/2006/relationships/image" Target="../media/image2.png"/><Relationship Id="rId26" Type="http://schemas.openxmlformats.org/officeDocument/2006/relationships/chart" Target="../charts/chart112.xml"/><Relationship Id="rId39" Type="http://schemas.openxmlformats.org/officeDocument/2006/relationships/chart" Target="../charts/chart124.xml"/><Relationship Id="rId21" Type="http://schemas.openxmlformats.org/officeDocument/2006/relationships/chart" Target="../charts/chart107.xml"/><Relationship Id="rId34" Type="http://schemas.openxmlformats.org/officeDocument/2006/relationships/chart" Target="../charts/chart119.xml"/><Relationship Id="rId42" Type="http://schemas.openxmlformats.org/officeDocument/2006/relationships/chart" Target="../charts/chart127.xml"/><Relationship Id="rId7" Type="http://schemas.openxmlformats.org/officeDocument/2006/relationships/chart" Target="../charts/chart94.xml"/><Relationship Id="rId2" Type="http://schemas.openxmlformats.org/officeDocument/2006/relationships/chart" Target="../charts/chart89.xml"/><Relationship Id="rId16" Type="http://schemas.openxmlformats.org/officeDocument/2006/relationships/chart" Target="../charts/chart103.xml"/><Relationship Id="rId20" Type="http://schemas.openxmlformats.org/officeDocument/2006/relationships/chart" Target="../charts/chart106.xml"/><Relationship Id="rId29" Type="http://schemas.openxmlformats.org/officeDocument/2006/relationships/chart" Target="../charts/chart114.xml"/><Relationship Id="rId41" Type="http://schemas.openxmlformats.org/officeDocument/2006/relationships/chart" Target="../charts/chart126.xml"/><Relationship Id="rId1" Type="http://schemas.openxmlformats.org/officeDocument/2006/relationships/chart" Target="../charts/chart88.xml"/><Relationship Id="rId6" Type="http://schemas.openxmlformats.org/officeDocument/2006/relationships/chart" Target="../charts/chart93.xml"/><Relationship Id="rId11" Type="http://schemas.openxmlformats.org/officeDocument/2006/relationships/chart" Target="../charts/chart98.xml"/><Relationship Id="rId24" Type="http://schemas.openxmlformats.org/officeDocument/2006/relationships/chart" Target="../charts/chart110.xml"/><Relationship Id="rId32" Type="http://schemas.openxmlformats.org/officeDocument/2006/relationships/chart" Target="../charts/chart117.xml"/><Relationship Id="rId37" Type="http://schemas.openxmlformats.org/officeDocument/2006/relationships/chart" Target="../charts/chart122.xml"/><Relationship Id="rId40" Type="http://schemas.openxmlformats.org/officeDocument/2006/relationships/chart" Target="../charts/chart125.xml"/><Relationship Id="rId5" Type="http://schemas.openxmlformats.org/officeDocument/2006/relationships/chart" Target="../charts/chart92.xml"/><Relationship Id="rId15" Type="http://schemas.openxmlformats.org/officeDocument/2006/relationships/chart" Target="../charts/chart102.xml"/><Relationship Id="rId23" Type="http://schemas.openxmlformats.org/officeDocument/2006/relationships/chart" Target="../charts/chart109.xml"/><Relationship Id="rId28" Type="http://schemas.openxmlformats.org/officeDocument/2006/relationships/image" Target="../media/image3.png"/><Relationship Id="rId36" Type="http://schemas.openxmlformats.org/officeDocument/2006/relationships/chart" Target="../charts/chart121.xml"/><Relationship Id="rId10" Type="http://schemas.openxmlformats.org/officeDocument/2006/relationships/chart" Target="../charts/chart97.xml"/><Relationship Id="rId19" Type="http://schemas.openxmlformats.org/officeDocument/2006/relationships/chart" Target="../charts/chart105.xml"/><Relationship Id="rId31" Type="http://schemas.openxmlformats.org/officeDocument/2006/relationships/chart" Target="../charts/chart116.xml"/><Relationship Id="rId44" Type="http://schemas.openxmlformats.org/officeDocument/2006/relationships/chart" Target="../charts/chart129.xml"/><Relationship Id="rId4" Type="http://schemas.openxmlformats.org/officeDocument/2006/relationships/chart" Target="../charts/chart91.xml"/><Relationship Id="rId9" Type="http://schemas.openxmlformats.org/officeDocument/2006/relationships/chart" Target="../charts/chart96.xml"/><Relationship Id="rId14" Type="http://schemas.openxmlformats.org/officeDocument/2006/relationships/chart" Target="../charts/chart101.xml"/><Relationship Id="rId22" Type="http://schemas.openxmlformats.org/officeDocument/2006/relationships/chart" Target="../charts/chart108.xml"/><Relationship Id="rId27" Type="http://schemas.openxmlformats.org/officeDocument/2006/relationships/chart" Target="../charts/chart113.xml"/><Relationship Id="rId30" Type="http://schemas.openxmlformats.org/officeDocument/2006/relationships/chart" Target="../charts/chart115.xml"/><Relationship Id="rId35" Type="http://schemas.openxmlformats.org/officeDocument/2006/relationships/chart" Target="../charts/chart120.xml"/><Relationship Id="rId43" Type="http://schemas.openxmlformats.org/officeDocument/2006/relationships/chart" Target="../charts/chart128.xml"/><Relationship Id="rId8" Type="http://schemas.openxmlformats.org/officeDocument/2006/relationships/chart" Target="../charts/chart95.xml"/><Relationship Id="rId3" Type="http://schemas.openxmlformats.org/officeDocument/2006/relationships/chart" Target="../charts/chart90.xml"/><Relationship Id="rId12" Type="http://schemas.openxmlformats.org/officeDocument/2006/relationships/chart" Target="../charts/chart99.xml"/><Relationship Id="rId17" Type="http://schemas.openxmlformats.org/officeDocument/2006/relationships/chart" Target="../charts/chart104.xml"/><Relationship Id="rId25" Type="http://schemas.openxmlformats.org/officeDocument/2006/relationships/chart" Target="../charts/chart111.xml"/><Relationship Id="rId33" Type="http://schemas.openxmlformats.org/officeDocument/2006/relationships/chart" Target="../charts/chart118.xml"/><Relationship Id="rId38" Type="http://schemas.openxmlformats.org/officeDocument/2006/relationships/chart" Target="../charts/chart1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641613</xdr:colOff>
      <xdr:row>1</xdr:row>
      <xdr:rowOff>152136</xdr:rowOff>
    </xdr:from>
    <xdr:to>
      <xdr:col>9</xdr:col>
      <xdr:colOff>589755</xdr:colOff>
      <xdr:row>13</xdr:row>
      <xdr:rowOff>152136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123031</xdr:colOff>
      <xdr:row>1</xdr:row>
      <xdr:rowOff>31220</xdr:rowOff>
    </xdr:from>
    <xdr:to>
      <xdr:col>17</xdr:col>
      <xdr:colOff>72230</xdr:colOff>
      <xdr:row>13</xdr:row>
      <xdr:rowOff>31220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272256</xdr:colOff>
      <xdr:row>7</xdr:row>
      <xdr:rowOff>115093</xdr:rowOff>
    </xdr:from>
    <xdr:to>
      <xdr:col>20</xdr:col>
      <xdr:colOff>221456</xdr:colOff>
      <xdr:row>19</xdr:row>
      <xdr:rowOff>115093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85989</xdr:colOff>
      <xdr:row>9</xdr:row>
      <xdr:rowOff>205052</xdr:rowOff>
    </xdr:from>
    <xdr:to>
      <xdr:col>21</xdr:col>
      <xdr:colOff>34131</xdr:colOff>
      <xdr:row>21</xdr:row>
      <xdr:rowOff>205052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85723</xdr:colOff>
      <xdr:row>24</xdr:row>
      <xdr:rowOff>206640</xdr:rowOff>
    </xdr:from>
    <xdr:to>
      <xdr:col>14</xdr:col>
      <xdr:colOff>66144</xdr:colOff>
      <xdr:row>37</xdr:row>
      <xdr:rowOff>125677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231511</xdr:colOff>
      <xdr:row>38</xdr:row>
      <xdr:rowOff>92605</xdr:rowOff>
    </xdr:from>
    <xdr:to>
      <xdr:col>14</xdr:col>
      <xdr:colOff>85989</xdr:colOff>
      <xdr:row>49</xdr:row>
      <xdr:rowOff>85991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399519</xdr:colOff>
      <xdr:row>13</xdr:row>
      <xdr:rowOff>27382</xdr:rowOff>
    </xdr:from>
    <xdr:to>
      <xdr:col>16</xdr:col>
      <xdr:colOff>341311</xdr:colOff>
      <xdr:row>24</xdr:row>
      <xdr:rowOff>223967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238125</xdr:colOff>
      <xdr:row>1</xdr:row>
      <xdr:rowOff>46303</xdr:rowOff>
    </xdr:from>
    <xdr:to>
      <xdr:col>15</xdr:col>
      <xdr:colOff>179917</xdr:colOff>
      <xdr:row>13</xdr:row>
      <xdr:rowOff>11378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800363</xdr:colOff>
      <xdr:row>46</xdr:row>
      <xdr:rowOff>211667</xdr:rowOff>
    </xdr:from>
    <xdr:to>
      <xdr:col>9</xdr:col>
      <xdr:colOff>543454</xdr:colOff>
      <xdr:row>58</xdr:row>
      <xdr:rowOff>211667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85990</xdr:colOff>
      <xdr:row>51</xdr:row>
      <xdr:rowOff>145520</xdr:rowOff>
    </xdr:from>
    <xdr:to>
      <xdr:col>19</xdr:col>
      <xdr:colOff>34132</xdr:colOff>
      <xdr:row>63</xdr:row>
      <xdr:rowOff>145520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92603</xdr:colOff>
      <xdr:row>65</xdr:row>
      <xdr:rowOff>85989</xdr:rowOff>
    </xdr:from>
    <xdr:to>
      <xdr:col>13</xdr:col>
      <xdr:colOff>530224</xdr:colOff>
      <xdr:row>77</xdr:row>
      <xdr:rowOff>85989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231511</xdr:colOff>
      <xdr:row>64</xdr:row>
      <xdr:rowOff>152135</xdr:rowOff>
    </xdr:from>
    <xdr:to>
      <xdr:col>22</xdr:col>
      <xdr:colOff>7672</xdr:colOff>
      <xdr:row>76</xdr:row>
      <xdr:rowOff>152135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489480</xdr:colOff>
      <xdr:row>25</xdr:row>
      <xdr:rowOff>119062</xdr:rowOff>
    </xdr:from>
    <xdr:to>
      <xdr:col>21</xdr:col>
      <xdr:colOff>377296</xdr:colOff>
      <xdr:row>40</xdr:row>
      <xdr:rowOff>224894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52916</xdr:colOff>
      <xdr:row>42</xdr:row>
      <xdr:rowOff>46302</xdr:rowOff>
    </xdr:from>
    <xdr:to>
      <xdr:col>20</xdr:col>
      <xdr:colOff>522816</xdr:colOff>
      <xdr:row>54</xdr:row>
      <xdr:rowOff>196849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13229</xdr:colOff>
      <xdr:row>48</xdr:row>
      <xdr:rowOff>125674</xdr:rowOff>
    </xdr:from>
    <xdr:to>
      <xdr:col>17</xdr:col>
      <xdr:colOff>357187</xdr:colOff>
      <xdr:row>64</xdr:row>
      <xdr:rowOff>112446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158750</xdr:colOff>
      <xdr:row>80</xdr:row>
      <xdr:rowOff>13231</xdr:rowOff>
    </xdr:from>
    <xdr:to>
      <xdr:col>22</xdr:col>
      <xdr:colOff>596372</xdr:colOff>
      <xdr:row>92</xdr:row>
      <xdr:rowOff>13231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317501</xdr:colOff>
      <xdr:row>109</xdr:row>
      <xdr:rowOff>205054</xdr:rowOff>
    </xdr:from>
    <xdr:to>
      <xdr:col>14</xdr:col>
      <xdr:colOff>245799</xdr:colOff>
      <xdr:row>121</xdr:row>
      <xdr:rowOff>205054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383646</xdr:colOff>
      <xdr:row>64</xdr:row>
      <xdr:rowOff>79374</xdr:rowOff>
    </xdr:from>
    <xdr:to>
      <xdr:col>30</xdr:col>
      <xdr:colOff>192088</xdr:colOff>
      <xdr:row>76</xdr:row>
      <xdr:rowOff>229921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171980</xdr:colOff>
      <xdr:row>91</xdr:row>
      <xdr:rowOff>145521</xdr:rowOff>
    </xdr:from>
    <xdr:to>
      <xdr:col>13</xdr:col>
      <xdr:colOff>179652</xdr:colOff>
      <xdr:row>103</xdr:row>
      <xdr:rowOff>145521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158750</xdr:colOff>
      <xdr:row>91</xdr:row>
      <xdr:rowOff>85990</xdr:rowOff>
    </xdr:from>
    <xdr:to>
      <xdr:col>19</xdr:col>
      <xdr:colOff>596371</xdr:colOff>
      <xdr:row>103</xdr:row>
      <xdr:rowOff>85990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145521</xdr:colOff>
      <xdr:row>105</xdr:row>
      <xdr:rowOff>99218</xdr:rowOff>
    </xdr:from>
    <xdr:to>
      <xdr:col>14</xdr:col>
      <xdr:colOff>153194</xdr:colOff>
      <xdr:row>117</xdr:row>
      <xdr:rowOff>99218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363803</xdr:colOff>
      <xdr:row>103</xdr:row>
      <xdr:rowOff>39686</xdr:rowOff>
    </xdr:from>
    <xdr:to>
      <xdr:col>14</xdr:col>
      <xdr:colOff>139965</xdr:colOff>
      <xdr:row>115</xdr:row>
      <xdr:rowOff>39686</xdr:rowOff>
    </xdr:to>
    <xdr:graphicFrame macro="">
      <xdr:nvGraphicFramePr>
        <xdr:cNvPr id="23" name="グラフ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</xdr:col>
      <xdr:colOff>238126</xdr:colOff>
      <xdr:row>69</xdr:row>
      <xdr:rowOff>191824</xdr:rowOff>
    </xdr:from>
    <xdr:to>
      <xdr:col>14</xdr:col>
      <xdr:colOff>14289</xdr:colOff>
      <xdr:row>81</xdr:row>
      <xdr:rowOff>191824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132292</xdr:colOff>
      <xdr:row>101</xdr:row>
      <xdr:rowOff>112449</xdr:rowOff>
    </xdr:from>
    <xdr:to>
      <xdr:col>7</xdr:col>
      <xdr:colOff>364860</xdr:colOff>
      <xdr:row>113</xdr:row>
      <xdr:rowOff>112449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169317</xdr:colOff>
      <xdr:row>76</xdr:row>
      <xdr:rowOff>177858</xdr:rowOff>
    </xdr:from>
    <xdr:to>
      <xdr:col>30</xdr:col>
      <xdr:colOff>422359</xdr:colOff>
      <xdr:row>97</xdr:row>
      <xdr:rowOff>114700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300338</xdr:colOff>
      <xdr:row>62</xdr:row>
      <xdr:rowOff>154461</xdr:rowOff>
    </xdr:from>
    <xdr:to>
      <xdr:col>38</xdr:col>
      <xdr:colOff>788902</xdr:colOff>
      <xdr:row>78</xdr:row>
      <xdr:rowOff>141360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31892" y="14519191"/>
          <a:ext cx="7370219" cy="3693926"/>
        </a:xfrm>
        <a:prstGeom prst="rect">
          <a:avLst/>
        </a:prstGeom>
      </xdr:spPr>
    </xdr:pic>
    <xdr:clientData/>
  </xdr:twoCellAnchor>
  <xdr:twoCellAnchor>
    <xdr:from>
      <xdr:col>10</xdr:col>
      <xdr:colOff>64079</xdr:colOff>
      <xdr:row>77</xdr:row>
      <xdr:rowOff>178263</xdr:rowOff>
    </xdr:from>
    <xdr:to>
      <xdr:col>20</xdr:col>
      <xdr:colOff>745093</xdr:colOff>
      <xdr:row>103</xdr:row>
      <xdr:rowOff>87496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28205</xdr:colOff>
      <xdr:row>96</xdr:row>
      <xdr:rowOff>75944</xdr:rowOff>
    </xdr:from>
    <xdr:to>
      <xdr:col>31</xdr:col>
      <xdr:colOff>430198</xdr:colOff>
      <xdr:row>117</xdr:row>
      <xdr:rowOff>12786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300338</xdr:colOff>
      <xdr:row>62</xdr:row>
      <xdr:rowOff>154461</xdr:rowOff>
    </xdr:from>
    <xdr:to>
      <xdr:col>38</xdr:col>
      <xdr:colOff>788902</xdr:colOff>
      <xdr:row>78</xdr:row>
      <xdr:rowOff>141360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33138" y="14327661"/>
          <a:ext cx="7384664" cy="3644499"/>
        </a:xfrm>
        <a:prstGeom prst="rect">
          <a:avLst/>
        </a:prstGeom>
      </xdr:spPr>
    </xdr:pic>
    <xdr:clientData/>
  </xdr:twoCellAnchor>
  <xdr:twoCellAnchor>
    <xdr:from>
      <xdr:col>9</xdr:col>
      <xdr:colOff>879387</xdr:colOff>
      <xdr:row>95</xdr:row>
      <xdr:rowOff>29311</xdr:rowOff>
    </xdr:from>
    <xdr:to>
      <xdr:col>20</xdr:col>
      <xdr:colOff>643179</xdr:colOff>
      <xdr:row>120</xdr:row>
      <xdr:rowOff>165891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28205</xdr:colOff>
      <xdr:row>96</xdr:row>
      <xdr:rowOff>75944</xdr:rowOff>
    </xdr:from>
    <xdr:to>
      <xdr:col>31</xdr:col>
      <xdr:colOff>430198</xdr:colOff>
      <xdr:row>117</xdr:row>
      <xdr:rowOff>12786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300338</xdr:colOff>
      <xdr:row>62</xdr:row>
      <xdr:rowOff>154461</xdr:rowOff>
    </xdr:from>
    <xdr:to>
      <xdr:col>38</xdr:col>
      <xdr:colOff>788902</xdr:colOff>
      <xdr:row>78</xdr:row>
      <xdr:rowOff>141360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74738" y="14327661"/>
          <a:ext cx="7384664" cy="3644499"/>
        </a:xfrm>
        <a:prstGeom prst="rect">
          <a:avLst/>
        </a:prstGeom>
      </xdr:spPr>
    </xdr:pic>
    <xdr:clientData/>
  </xdr:twoCellAnchor>
  <xdr:twoCellAnchor>
    <xdr:from>
      <xdr:col>9</xdr:col>
      <xdr:colOff>879387</xdr:colOff>
      <xdr:row>95</xdr:row>
      <xdr:rowOff>29311</xdr:rowOff>
    </xdr:from>
    <xdr:to>
      <xdr:col>20</xdr:col>
      <xdr:colOff>643179</xdr:colOff>
      <xdr:row>120</xdr:row>
      <xdr:rowOff>165891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28205</xdr:colOff>
      <xdr:row>96</xdr:row>
      <xdr:rowOff>75944</xdr:rowOff>
    </xdr:from>
    <xdr:to>
      <xdr:col>31</xdr:col>
      <xdr:colOff>430198</xdr:colOff>
      <xdr:row>117</xdr:row>
      <xdr:rowOff>12786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300338</xdr:colOff>
      <xdr:row>62</xdr:row>
      <xdr:rowOff>154461</xdr:rowOff>
    </xdr:from>
    <xdr:to>
      <xdr:col>38</xdr:col>
      <xdr:colOff>788902</xdr:colOff>
      <xdr:row>78</xdr:row>
      <xdr:rowOff>141360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33138" y="14327661"/>
          <a:ext cx="7384664" cy="3644499"/>
        </a:xfrm>
        <a:prstGeom prst="rect">
          <a:avLst/>
        </a:prstGeom>
      </xdr:spPr>
    </xdr:pic>
    <xdr:clientData/>
  </xdr:twoCellAnchor>
  <xdr:twoCellAnchor>
    <xdr:from>
      <xdr:col>9</xdr:col>
      <xdr:colOff>879387</xdr:colOff>
      <xdr:row>95</xdr:row>
      <xdr:rowOff>29311</xdr:rowOff>
    </xdr:from>
    <xdr:to>
      <xdr:col>20</xdr:col>
      <xdr:colOff>643179</xdr:colOff>
      <xdr:row>120</xdr:row>
      <xdr:rowOff>165891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400326</xdr:colOff>
      <xdr:row>256</xdr:row>
      <xdr:rowOff>13805</xdr:rowOff>
    </xdr:from>
    <xdr:to>
      <xdr:col>24</xdr:col>
      <xdr:colOff>380688</xdr:colOff>
      <xdr:row>278</xdr:row>
      <xdr:rowOff>16456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80430</xdr:colOff>
      <xdr:row>0</xdr:row>
      <xdr:rowOff>143137</xdr:rowOff>
    </xdr:from>
    <xdr:to>
      <xdr:col>19</xdr:col>
      <xdr:colOff>545038</xdr:colOff>
      <xdr:row>13</xdr:row>
      <xdr:rowOff>60851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336020</xdr:colOff>
      <xdr:row>7</xdr:row>
      <xdr:rowOff>166692</xdr:rowOff>
    </xdr:from>
    <xdr:to>
      <xdr:col>21</xdr:col>
      <xdr:colOff>18520</xdr:colOff>
      <xdr:row>14</xdr:row>
      <xdr:rowOff>181243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109799</xdr:colOff>
      <xdr:row>56</xdr:row>
      <xdr:rowOff>6214</xdr:rowOff>
    </xdr:from>
    <xdr:to>
      <xdr:col>13</xdr:col>
      <xdr:colOff>51591</xdr:colOff>
      <xdr:row>67</xdr:row>
      <xdr:rowOff>204122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103187</xdr:colOff>
      <xdr:row>55</xdr:row>
      <xdr:rowOff>170659</xdr:rowOff>
    </xdr:from>
    <xdr:to>
      <xdr:col>6</xdr:col>
      <xdr:colOff>71437</xdr:colOff>
      <xdr:row>67</xdr:row>
      <xdr:rowOff>134411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452439</xdr:colOff>
      <xdr:row>1</xdr:row>
      <xdr:rowOff>38364</xdr:rowOff>
    </xdr:from>
    <xdr:to>
      <xdr:col>19</xdr:col>
      <xdr:colOff>505620</xdr:colOff>
      <xdr:row>16</xdr:row>
      <xdr:rowOff>145519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427303</xdr:colOff>
      <xdr:row>21</xdr:row>
      <xdr:rowOff>7936</xdr:rowOff>
    </xdr:from>
    <xdr:to>
      <xdr:col>37</xdr:col>
      <xdr:colOff>354542</xdr:colOff>
      <xdr:row>36</xdr:row>
      <xdr:rowOff>227542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383646</xdr:colOff>
      <xdr:row>71</xdr:row>
      <xdr:rowOff>33072</xdr:rowOff>
    </xdr:from>
    <xdr:to>
      <xdr:col>17</xdr:col>
      <xdr:colOff>192088</xdr:colOff>
      <xdr:row>83</xdr:row>
      <xdr:rowOff>183619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46303</xdr:colOff>
      <xdr:row>83</xdr:row>
      <xdr:rowOff>46302</xdr:rowOff>
    </xdr:from>
    <xdr:to>
      <xdr:col>19</xdr:col>
      <xdr:colOff>271199</xdr:colOff>
      <xdr:row>107</xdr:row>
      <xdr:rowOff>119063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223573</xdr:colOff>
      <xdr:row>112</xdr:row>
      <xdr:rowOff>112447</xdr:rowOff>
    </xdr:from>
    <xdr:to>
      <xdr:col>27</xdr:col>
      <xdr:colOff>443178</xdr:colOff>
      <xdr:row>131</xdr:row>
      <xdr:rowOff>218280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44977</xdr:colOff>
      <xdr:row>30</xdr:row>
      <xdr:rowOff>150809</xdr:rowOff>
    </xdr:from>
    <xdr:to>
      <xdr:col>12</xdr:col>
      <xdr:colOff>157426</xdr:colOff>
      <xdr:row>46</xdr:row>
      <xdr:rowOff>23809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582083</xdr:colOff>
      <xdr:row>21</xdr:row>
      <xdr:rowOff>10583</xdr:rowOff>
    </xdr:from>
    <xdr:to>
      <xdr:col>20</xdr:col>
      <xdr:colOff>435241</xdr:colOff>
      <xdr:row>36</xdr:row>
      <xdr:rowOff>116415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304270</xdr:colOff>
      <xdr:row>66</xdr:row>
      <xdr:rowOff>218282</xdr:rowOff>
    </xdr:from>
    <xdr:to>
      <xdr:col>20</xdr:col>
      <xdr:colOff>410104</xdr:colOff>
      <xdr:row>82</xdr:row>
      <xdr:rowOff>99219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57060</xdr:colOff>
      <xdr:row>45</xdr:row>
      <xdr:rowOff>216612</xdr:rowOff>
    </xdr:from>
    <xdr:to>
      <xdr:col>22</xdr:col>
      <xdr:colOff>382498</xdr:colOff>
      <xdr:row>61</xdr:row>
      <xdr:rowOff>89611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166</xdr:row>
      <xdr:rowOff>0</xdr:rowOff>
    </xdr:from>
    <xdr:to>
      <xdr:col>14</xdr:col>
      <xdr:colOff>112450</xdr:colOff>
      <xdr:row>181</xdr:row>
      <xdr:rowOff>105833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184</xdr:row>
      <xdr:rowOff>0</xdr:rowOff>
    </xdr:from>
    <xdr:to>
      <xdr:col>14</xdr:col>
      <xdr:colOff>112450</xdr:colOff>
      <xdr:row>199</xdr:row>
      <xdr:rowOff>105833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13230</xdr:colOff>
      <xdr:row>202</xdr:row>
      <xdr:rowOff>185209</xdr:rowOff>
    </xdr:from>
    <xdr:to>
      <xdr:col>20</xdr:col>
      <xdr:colOff>576998</xdr:colOff>
      <xdr:row>227</xdr:row>
      <xdr:rowOff>20687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224894</xdr:colOff>
      <xdr:row>117</xdr:row>
      <xdr:rowOff>-1</xdr:rowOff>
    </xdr:from>
    <xdr:to>
      <xdr:col>41</xdr:col>
      <xdr:colOff>238125</xdr:colOff>
      <xdr:row>137</xdr:row>
      <xdr:rowOff>185207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25</xdr:col>
      <xdr:colOff>227544</xdr:colOff>
      <xdr:row>142</xdr:row>
      <xdr:rowOff>47625</xdr:rowOff>
    </xdr:from>
    <xdr:to>
      <xdr:col>37</xdr:col>
      <xdr:colOff>74084</xdr:colOff>
      <xdr:row>161</xdr:row>
      <xdr:rowOff>112351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004244" y="38909625"/>
          <a:ext cx="7771340" cy="4408126"/>
        </a:xfrm>
        <a:prstGeom prst="rect">
          <a:avLst/>
        </a:prstGeom>
      </xdr:spPr>
    </xdr:pic>
    <xdr:clientData/>
  </xdr:twoCellAnchor>
  <xdr:twoCellAnchor>
    <xdr:from>
      <xdr:col>20</xdr:col>
      <xdr:colOff>645583</xdr:colOff>
      <xdr:row>73</xdr:row>
      <xdr:rowOff>169333</xdr:rowOff>
    </xdr:from>
    <xdr:to>
      <xdr:col>33</xdr:col>
      <xdr:colOff>572864</xdr:colOff>
      <xdr:row>94</xdr:row>
      <xdr:rowOff>199049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31</xdr:col>
      <xdr:colOff>423334</xdr:colOff>
      <xdr:row>14</xdr:row>
      <xdr:rowOff>79375</xdr:rowOff>
    </xdr:from>
    <xdr:to>
      <xdr:col>48</xdr:col>
      <xdr:colOff>391584</xdr:colOff>
      <xdr:row>39</xdr:row>
      <xdr:rowOff>73603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116418</xdr:colOff>
      <xdr:row>33</xdr:row>
      <xdr:rowOff>161395</xdr:rowOff>
    </xdr:from>
    <xdr:to>
      <xdr:col>22</xdr:col>
      <xdr:colOff>179504</xdr:colOff>
      <xdr:row>54</xdr:row>
      <xdr:rowOff>47095</xdr:rowOff>
    </xdr:to>
    <xdr:graphicFrame macro="">
      <xdr:nvGraphicFramePr>
        <xdr:cNvPr id="23" name="グラフ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18</xdr:col>
      <xdr:colOff>427882</xdr:colOff>
      <xdr:row>58</xdr:row>
      <xdr:rowOff>119639</xdr:rowOff>
    </xdr:from>
    <xdr:to>
      <xdr:col>31</xdr:col>
      <xdr:colOff>349871</xdr:colOff>
      <xdr:row>80</xdr:row>
      <xdr:rowOff>34251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29</xdr:col>
      <xdr:colOff>184620</xdr:colOff>
      <xdr:row>38</xdr:row>
      <xdr:rowOff>112889</xdr:rowOff>
    </xdr:from>
    <xdr:to>
      <xdr:col>47</xdr:col>
      <xdr:colOff>164982</xdr:colOff>
      <xdr:row>63</xdr:row>
      <xdr:rowOff>99179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20</xdr:col>
      <xdr:colOff>463021</xdr:colOff>
      <xdr:row>171</xdr:row>
      <xdr:rowOff>52917</xdr:rowOff>
    </xdr:from>
    <xdr:to>
      <xdr:col>38</xdr:col>
      <xdr:colOff>150059</xdr:colOff>
      <xdr:row>199</xdr:row>
      <xdr:rowOff>92538</xdr:rowOff>
    </xdr:to>
    <xdr:graphicFrame macro="">
      <xdr:nvGraphicFramePr>
        <xdr:cNvPr id="26" name="グラフ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33</xdr:col>
      <xdr:colOff>463020</xdr:colOff>
      <xdr:row>0</xdr:row>
      <xdr:rowOff>0</xdr:rowOff>
    </xdr:from>
    <xdr:to>
      <xdr:col>43</xdr:col>
      <xdr:colOff>526106</xdr:colOff>
      <xdr:row>16</xdr:row>
      <xdr:rowOff>97366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33</xdr:col>
      <xdr:colOff>21166</xdr:colOff>
      <xdr:row>69</xdr:row>
      <xdr:rowOff>169334</xdr:rowOff>
    </xdr:from>
    <xdr:to>
      <xdr:col>51</xdr:col>
      <xdr:colOff>1528</xdr:colOff>
      <xdr:row>94</xdr:row>
      <xdr:rowOff>155625</xdr:rowOff>
    </xdr:to>
    <xdr:graphicFrame macro="">
      <xdr:nvGraphicFramePr>
        <xdr:cNvPr id="28" name="グラフ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22</xdr:col>
      <xdr:colOff>275167</xdr:colOff>
      <xdr:row>94</xdr:row>
      <xdr:rowOff>95250</xdr:rowOff>
    </xdr:from>
    <xdr:to>
      <xdr:col>36</xdr:col>
      <xdr:colOff>179917</xdr:colOff>
      <xdr:row>115</xdr:row>
      <xdr:rowOff>124966</xdr:rowOff>
    </xdr:to>
    <xdr:graphicFrame macro="">
      <xdr:nvGraphicFramePr>
        <xdr:cNvPr id="29" name="グラフ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33</xdr:col>
      <xdr:colOff>182759</xdr:colOff>
      <xdr:row>204</xdr:row>
      <xdr:rowOff>170089</xdr:rowOff>
    </xdr:from>
    <xdr:to>
      <xdr:col>42</xdr:col>
      <xdr:colOff>343220</xdr:colOff>
      <xdr:row>219</xdr:row>
      <xdr:rowOff>144387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242659" y="53205289"/>
          <a:ext cx="6104061" cy="3403298"/>
        </a:xfrm>
        <a:prstGeom prst="rect">
          <a:avLst/>
        </a:prstGeom>
      </xdr:spPr>
    </xdr:pic>
    <xdr:clientData/>
  </xdr:twoCellAnchor>
  <xdr:twoCellAnchor>
    <xdr:from>
      <xdr:col>17</xdr:col>
      <xdr:colOff>306917</xdr:colOff>
      <xdr:row>224</xdr:row>
      <xdr:rowOff>211666</xdr:rowOff>
    </xdr:from>
    <xdr:to>
      <xdr:col>35</xdr:col>
      <xdr:colOff>52917</xdr:colOff>
      <xdr:row>252</xdr:row>
      <xdr:rowOff>285749</xdr:rowOff>
    </xdr:to>
    <xdr:graphicFrame macro="">
      <xdr:nvGraphicFramePr>
        <xdr:cNvPr id="31" name="グラフ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19</xdr:col>
      <xdr:colOff>624417</xdr:colOff>
      <xdr:row>203</xdr:row>
      <xdr:rowOff>137583</xdr:rowOff>
    </xdr:from>
    <xdr:to>
      <xdr:col>30</xdr:col>
      <xdr:colOff>84253</xdr:colOff>
      <xdr:row>223</xdr:row>
      <xdr:rowOff>89428</xdr:rowOff>
    </xdr:to>
    <xdr:graphicFrame macro="">
      <xdr:nvGraphicFramePr>
        <xdr:cNvPr id="32" name="グラフ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657677</xdr:colOff>
      <xdr:row>256</xdr:row>
      <xdr:rowOff>226785</xdr:rowOff>
    </xdr:from>
    <xdr:to>
      <xdr:col>41</xdr:col>
      <xdr:colOff>532946</xdr:colOff>
      <xdr:row>287</xdr:row>
      <xdr:rowOff>204107</xdr:rowOff>
    </xdr:to>
    <xdr:graphicFrame macro="">
      <xdr:nvGraphicFramePr>
        <xdr:cNvPr id="33" name="グラフ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21</xdr:col>
      <xdr:colOff>164630</xdr:colOff>
      <xdr:row>292</xdr:row>
      <xdr:rowOff>0</xdr:rowOff>
    </xdr:from>
    <xdr:to>
      <xdr:col>39</xdr:col>
      <xdr:colOff>144993</xdr:colOff>
      <xdr:row>316</xdr:row>
      <xdr:rowOff>209717</xdr:rowOff>
    </xdr:to>
    <xdr:graphicFrame macro="">
      <xdr:nvGraphicFramePr>
        <xdr:cNvPr id="34" name="グラフ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6</xdr:col>
      <xdr:colOff>423334</xdr:colOff>
      <xdr:row>289</xdr:row>
      <xdr:rowOff>164630</xdr:rowOff>
    </xdr:from>
    <xdr:to>
      <xdr:col>21</xdr:col>
      <xdr:colOff>56200</xdr:colOff>
      <xdr:row>314</xdr:row>
      <xdr:rowOff>195602</xdr:rowOff>
    </xdr:to>
    <xdr:graphicFrame macro="">
      <xdr:nvGraphicFramePr>
        <xdr:cNvPr id="35" name="グラフ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</xdr:col>
      <xdr:colOff>482129</xdr:colOff>
      <xdr:row>306</xdr:row>
      <xdr:rowOff>141111</xdr:rowOff>
    </xdr:from>
    <xdr:to>
      <xdr:col>15</xdr:col>
      <xdr:colOff>538329</xdr:colOff>
      <xdr:row>331</xdr:row>
      <xdr:rowOff>172083</xdr:rowOff>
    </xdr:to>
    <xdr:graphicFrame macro="">
      <xdr:nvGraphicFramePr>
        <xdr:cNvPr id="36" name="グラフ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22</xdr:col>
      <xdr:colOff>0</xdr:colOff>
      <xdr:row>327</xdr:row>
      <xdr:rowOff>0</xdr:rowOff>
    </xdr:from>
    <xdr:to>
      <xdr:col>35</xdr:col>
      <xdr:colOff>441739</xdr:colOff>
      <xdr:row>351</xdr:row>
      <xdr:rowOff>46336</xdr:rowOff>
    </xdr:to>
    <xdr:graphicFrame macro="">
      <xdr:nvGraphicFramePr>
        <xdr:cNvPr id="37" name="グラフ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138043</xdr:colOff>
      <xdr:row>332</xdr:row>
      <xdr:rowOff>96630</xdr:rowOff>
    </xdr:from>
    <xdr:to>
      <xdr:col>19</xdr:col>
      <xdr:colOff>60032</xdr:colOff>
      <xdr:row>354</xdr:row>
      <xdr:rowOff>11242</xdr:rowOff>
    </xdr:to>
    <xdr:graphicFrame macro="">
      <xdr:nvGraphicFramePr>
        <xdr:cNvPr id="38" name="グラフ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</xdr:col>
      <xdr:colOff>0</xdr:colOff>
      <xdr:row>357</xdr:row>
      <xdr:rowOff>0</xdr:rowOff>
    </xdr:from>
    <xdr:to>
      <xdr:col>21</xdr:col>
      <xdr:colOff>573949</xdr:colOff>
      <xdr:row>381</xdr:row>
      <xdr:rowOff>209717</xdr:rowOff>
    </xdr:to>
    <xdr:graphicFrame macro="">
      <xdr:nvGraphicFramePr>
        <xdr:cNvPr id="39" name="グラフ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14</xdr:col>
      <xdr:colOff>110433</xdr:colOff>
      <xdr:row>383</xdr:row>
      <xdr:rowOff>69023</xdr:rowOff>
    </xdr:from>
    <xdr:to>
      <xdr:col>23</xdr:col>
      <xdr:colOff>96630</xdr:colOff>
      <xdr:row>404</xdr:row>
      <xdr:rowOff>165652</xdr:rowOff>
    </xdr:to>
    <xdr:graphicFrame macro="">
      <xdr:nvGraphicFramePr>
        <xdr:cNvPr id="40" name="グラフ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371</xdr:row>
      <xdr:rowOff>0</xdr:rowOff>
    </xdr:from>
    <xdr:to>
      <xdr:col>37</xdr:col>
      <xdr:colOff>24262</xdr:colOff>
      <xdr:row>394</xdr:row>
      <xdr:rowOff>75108</xdr:rowOff>
    </xdr:to>
    <xdr:graphicFrame macro="">
      <xdr:nvGraphicFramePr>
        <xdr:cNvPr id="41" name="グラフ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36</xdr:col>
      <xdr:colOff>0</xdr:colOff>
      <xdr:row>226</xdr:row>
      <xdr:rowOff>0</xdr:rowOff>
    </xdr:from>
    <xdr:to>
      <xdr:col>50</xdr:col>
      <xdr:colOff>84518</xdr:colOff>
      <xdr:row>244</xdr:row>
      <xdr:rowOff>243462</xdr:rowOff>
    </xdr:to>
    <xdr:graphicFrame macro="">
      <xdr:nvGraphicFramePr>
        <xdr:cNvPr id="42" name="グラフ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8</xdr:col>
      <xdr:colOff>248478</xdr:colOff>
      <xdr:row>261</xdr:row>
      <xdr:rowOff>717826</xdr:rowOff>
    </xdr:from>
    <xdr:to>
      <xdr:col>20</xdr:col>
      <xdr:colOff>331304</xdr:colOff>
      <xdr:row>261</xdr:row>
      <xdr:rowOff>717826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CxnSpPr/>
      </xdr:nvCxnSpPr>
      <xdr:spPr>
        <a:xfrm>
          <a:off x="5798378" y="69481976"/>
          <a:ext cx="8007626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331304</xdr:colOff>
      <xdr:row>269</xdr:row>
      <xdr:rowOff>41413</xdr:rowOff>
    </xdr:from>
    <xdr:to>
      <xdr:col>20</xdr:col>
      <xdr:colOff>400326</xdr:colOff>
      <xdr:row>269</xdr:row>
      <xdr:rowOff>41413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CxnSpPr/>
      </xdr:nvCxnSpPr>
      <xdr:spPr>
        <a:xfrm>
          <a:off x="5881204" y="71320163"/>
          <a:ext cx="7993822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408</xdr:row>
      <xdr:rowOff>0</xdr:rowOff>
    </xdr:from>
    <xdr:to>
      <xdr:col>25</xdr:col>
      <xdr:colOff>84518</xdr:colOff>
      <xdr:row>434</xdr:row>
      <xdr:rowOff>84712</xdr:rowOff>
    </xdr:to>
    <xdr:graphicFrame macro="">
      <xdr:nvGraphicFramePr>
        <xdr:cNvPr id="45" name="グラフ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628648</xdr:colOff>
      <xdr:row>2</xdr:row>
      <xdr:rowOff>74083</xdr:rowOff>
    </xdr:from>
    <xdr:to>
      <xdr:col>29</xdr:col>
      <xdr:colOff>476249</xdr:colOff>
      <xdr:row>24</xdr:row>
      <xdr:rowOff>63500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58796</xdr:colOff>
      <xdr:row>36</xdr:row>
      <xdr:rowOff>141111</xdr:rowOff>
    </xdr:from>
    <xdr:to>
      <xdr:col>20</xdr:col>
      <xdr:colOff>217545</xdr:colOff>
      <xdr:row>78</xdr:row>
      <xdr:rowOff>35277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-1</xdr:colOff>
      <xdr:row>75</xdr:row>
      <xdr:rowOff>0</xdr:rowOff>
    </xdr:from>
    <xdr:to>
      <xdr:col>15</xdr:col>
      <xdr:colOff>658517</xdr:colOff>
      <xdr:row>100</xdr:row>
      <xdr:rowOff>58796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317500</xdr:colOff>
      <xdr:row>73</xdr:row>
      <xdr:rowOff>129352</xdr:rowOff>
    </xdr:from>
    <xdr:to>
      <xdr:col>32</xdr:col>
      <xdr:colOff>317499</xdr:colOff>
      <xdr:row>98</xdr:row>
      <xdr:rowOff>188148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47037</xdr:colOff>
      <xdr:row>129</xdr:row>
      <xdr:rowOff>176389</xdr:rowOff>
    </xdr:from>
    <xdr:to>
      <xdr:col>25</xdr:col>
      <xdr:colOff>311580</xdr:colOff>
      <xdr:row>158</xdr:row>
      <xdr:rowOff>189589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282222</xdr:colOff>
      <xdr:row>101</xdr:row>
      <xdr:rowOff>70556</xdr:rowOff>
    </xdr:from>
    <xdr:to>
      <xdr:col>26</xdr:col>
      <xdr:colOff>546764</xdr:colOff>
      <xdr:row>130</xdr:row>
      <xdr:rowOff>83756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576202</xdr:colOff>
      <xdr:row>160</xdr:row>
      <xdr:rowOff>176388</xdr:rowOff>
    </xdr:from>
    <xdr:to>
      <xdr:col>24</xdr:col>
      <xdr:colOff>211665</xdr:colOff>
      <xdr:row>188</xdr:row>
      <xdr:rowOff>58842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258704</xdr:colOff>
      <xdr:row>100</xdr:row>
      <xdr:rowOff>164630</xdr:rowOff>
    </xdr:from>
    <xdr:to>
      <xdr:col>41</xdr:col>
      <xdr:colOff>258704</xdr:colOff>
      <xdr:row>119</xdr:row>
      <xdr:rowOff>152870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190</xdr:row>
      <xdr:rowOff>0</xdr:rowOff>
    </xdr:from>
    <xdr:to>
      <xdr:col>22</xdr:col>
      <xdr:colOff>393934</xdr:colOff>
      <xdr:row>231</xdr:row>
      <xdr:rowOff>117592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46</xdr:row>
      <xdr:rowOff>0</xdr:rowOff>
    </xdr:from>
    <xdr:to>
      <xdr:col>31</xdr:col>
      <xdr:colOff>482046</xdr:colOff>
      <xdr:row>70</xdr:row>
      <xdr:rowOff>205934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529167</xdr:colOff>
      <xdr:row>29</xdr:row>
      <xdr:rowOff>94074</xdr:rowOff>
    </xdr:from>
    <xdr:to>
      <xdr:col>34</xdr:col>
      <xdr:colOff>352694</xdr:colOff>
      <xdr:row>54</xdr:row>
      <xdr:rowOff>76582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9634E5DF-FE33-B1DD-4B8C-A57D40E3B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38</xdr:col>
      <xdr:colOff>0</xdr:colOff>
      <xdr:row>31</xdr:row>
      <xdr:rowOff>0</xdr:rowOff>
    </xdr:from>
    <xdr:to>
      <xdr:col>47</xdr:col>
      <xdr:colOff>318364</xdr:colOff>
      <xdr:row>55</xdr:row>
      <xdr:rowOff>205934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035787FD-BDBB-A6B8-806C-2B02FDD11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55</xdr:row>
      <xdr:rowOff>0</xdr:rowOff>
    </xdr:from>
    <xdr:to>
      <xdr:col>42</xdr:col>
      <xdr:colOff>318364</xdr:colOff>
      <xdr:row>79</xdr:row>
      <xdr:rowOff>205934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0</xdr:colOff>
      <xdr:row>197</xdr:row>
      <xdr:rowOff>0</xdr:rowOff>
    </xdr:from>
    <xdr:to>
      <xdr:col>33</xdr:col>
      <xdr:colOff>623241</xdr:colOff>
      <xdr:row>223</xdr:row>
      <xdr:rowOff>167590</xdr:rowOff>
    </xdr:to>
    <xdr:graphicFrame macro="">
      <xdr:nvGraphicFramePr>
        <xdr:cNvPr id="29" name="グラフ 28">
          <a:extLst>
            <a:ext uri="{FF2B5EF4-FFF2-40B4-BE49-F238E27FC236}">
              <a16:creationId xmlns:a16="http://schemas.microsoft.com/office/drawing/2014/main" id="{D3C00B0A-E131-D6E6-8EAD-2ADAAD680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232</xdr:row>
      <xdr:rowOff>0</xdr:rowOff>
    </xdr:from>
    <xdr:to>
      <xdr:col>15</xdr:col>
      <xdr:colOff>583259</xdr:colOff>
      <xdr:row>257</xdr:row>
      <xdr:rowOff>92866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9AA9879-D094-400B-7419-19AC03905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400326</xdr:colOff>
      <xdr:row>256</xdr:row>
      <xdr:rowOff>13805</xdr:rowOff>
    </xdr:from>
    <xdr:to>
      <xdr:col>24</xdr:col>
      <xdr:colOff>380688</xdr:colOff>
      <xdr:row>278</xdr:row>
      <xdr:rowOff>16456</xdr:rowOff>
    </xdr:to>
    <xdr:graphicFrame macro="">
      <xdr:nvGraphicFramePr>
        <xdr:cNvPr id="51" name="グラフ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628838</xdr:colOff>
      <xdr:row>2</xdr:row>
      <xdr:rowOff>181622</xdr:rowOff>
    </xdr:from>
    <xdr:to>
      <xdr:col>38</xdr:col>
      <xdr:colOff>429583</xdr:colOff>
      <xdr:row>15</xdr:row>
      <xdr:rowOff>99335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191702</xdr:colOff>
      <xdr:row>6</xdr:row>
      <xdr:rowOff>60858</xdr:rowOff>
    </xdr:from>
    <xdr:to>
      <xdr:col>36</xdr:col>
      <xdr:colOff>538065</xdr:colOff>
      <xdr:row>13</xdr:row>
      <xdr:rowOff>75409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109799</xdr:colOff>
      <xdr:row>56</xdr:row>
      <xdr:rowOff>6214</xdr:rowOff>
    </xdr:from>
    <xdr:to>
      <xdr:col>13</xdr:col>
      <xdr:colOff>51591</xdr:colOff>
      <xdr:row>67</xdr:row>
      <xdr:rowOff>204122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103187</xdr:colOff>
      <xdr:row>55</xdr:row>
      <xdr:rowOff>170659</xdr:rowOff>
    </xdr:from>
    <xdr:to>
      <xdr:col>6</xdr:col>
      <xdr:colOff>71437</xdr:colOff>
      <xdr:row>67</xdr:row>
      <xdr:rowOff>134411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644863</xdr:colOff>
      <xdr:row>0</xdr:row>
      <xdr:rowOff>163440</xdr:rowOff>
    </xdr:from>
    <xdr:to>
      <xdr:col>38</xdr:col>
      <xdr:colOff>34181</xdr:colOff>
      <xdr:row>16</xdr:row>
      <xdr:rowOff>39686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427303</xdr:colOff>
      <xdr:row>21</xdr:row>
      <xdr:rowOff>7936</xdr:rowOff>
    </xdr:from>
    <xdr:to>
      <xdr:col>37</xdr:col>
      <xdr:colOff>354542</xdr:colOff>
      <xdr:row>36</xdr:row>
      <xdr:rowOff>227542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500619</xdr:colOff>
      <xdr:row>69</xdr:row>
      <xdr:rowOff>200177</xdr:rowOff>
    </xdr:from>
    <xdr:to>
      <xdr:col>23</xdr:col>
      <xdr:colOff>543008</xdr:colOff>
      <xdr:row>82</xdr:row>
      <xdr:rowOff>116776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46303</xdr:colOff>
      <xdr:row>83</xdr:row>
      <xdr:rowOff>46302</xdr:rowOff>
    </xdr:from>
    <xdr:to>
      <xdr:col>19</xdr:col>
      <xdr:colOff>271199</xdr:colOff>
      <xdr:row>107</xdr:row>
      <xdr:rowOff>119063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223573</xdr:colOff>
      <xdr:row>112</xdr:row>
      <xdr:rowOff>112447</xdr:rowOff>
    </xdr:from>
    <xdr:to>
      <xdr:col>27</xdr:col>
      <xdr:colOff>443178</xdr:colOff>
      <xdr:row>131</xdr:row>
      <xdr:rowOff>218280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482489</xdr:colOff>
      <xdr:row>40</xdr:row>
      <xdr:rowOff>107767</xdr:rowOff>
    </xdr:from>
    <xdr:to>
      <xdr:col>29</xdr:col>
      <xdr:colOff>511385</xdr:colOff>
      <xdr:row>55</xdr:row>
      <xdr:rowOff>214714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70323</xdr:colOff>
      <xdr:row>70</xdr:row>
      <xdr:rowOff>101309</xdr:rowOff>
    </xdr:from>
    <xdr:to>
      <xdr:col>28</xdr:col>
      <xdr:colOff>176156</xdr:colOff>
      <xdr:row>85</xdr:row>
      <xdr:rowOff>216193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626737</xdr:colOff>
      <xdr:row>52</xdr:row>
      <xdr:rowOff>98118</xdr:rowOff>
    </xdr:from>
    <xdr:to>
      <xdr:col>24</xdr:col>
      <xdr:colOff>283754</xdr:colOff>
      <xdr:row>67</xdr:row>
      <xdr:rowOff>202027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166</xdr:row>
      <xdr:rowOff>0</xdr:rowOff>
    </xdr:from>
    <xdr:to>
      <xdr:col>14</xdr:col>
      <xdr:colOff>112450</xdr:colOff>
      <xdr:row>181</xdr:row>
      <xdr:rowOff>105833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184</xdr:row>
      <xdr:rowOff>0</xdr:rowOff>
    </xdr:from>
    <xdr:to>
      <xdr:col>14</xdr:col>
      <xdr:colOff>112450</xdr:colOff>
      <xdr:row>199</xdr:row>
      <xdr:rowOff>105833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13230</xdr:colOff>
      <xdr:row>202</xdr:row>
      <xdr:rowOff>185209</xdr:rowOff>
    </xdr:from>
    <xdr:to>
      <xdr:col>20</xdr:col>
      <xdr:colOff>576998</xdr:colOff>
      <xdr:row>227</xdr:row>
      <xdr:rowOff>20687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224894</xdr:colOff>
      <xdr:row>117</xdr:row>
      <xdr:rowOff>-1</xdr:rowOff>
    </xdr:from>
    <xdr:to>
      <xdr:col>41</xdr:col>
      <xdr:colOff>238125</xdr:colOff>
      <xdr:row>137</xdr:row>
      <xdr:rowOff>185207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25</xdr:col>
      <xdr:colOff>227544</xdr:colOff>
      <xdr:row>142</xdr:row>
      <xdr:rowOff>47625</xdr:rowOff>
    </xdr:from>
    <xdr:to>
      <xdr:col>37</xdr:col>
      <xdr:colOff>74084</xdr:colOff>
      <xdr:row>161</xdr:row>
      <xdr:rowOff>112351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864544" y="38782625"/>
          <a:ext cx="7720540" cy="4488560"/>
        </a:xfrm>
        <a:prstGeom prst="rect">
          <a:avLst/>
        </a:prstGeom>
      </xdr:spPr>
    </xdr:pic>
    <xdr:clientData/>
  </xdr:twoCellAnchor>
  <xdr:twoCellAnchor>
    <xdr:from>
      <xdr:col>21</xdr:col>
      <xdr:colOff>27293</xdr:colOff>
      <xdr:row>76</xdr:row>
      <xdr:rowOff>69069</xdr:rowOff>
    </xdr:from>
    <xdr:to>
      <xdr:col>33</xdr:col>
      <xdr:colOff>622996</xdr:colOff>
      <xdr:row>97</xdr:row>
      <xdr:rowOff>98786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31</xdr:col>
      <xdr:colOff>423334</xdr:colOff>
      <xdr:row>14</xdr:row>
      <xdr:rowOff>79375</xdr:rowOff>
    </xdr:from>
    <xdr:to>
      <xdr:col>48</xdr:col>
      <xdr:colOff>391584</xdr:colOff>
      <xdr:row>39</xdr:row>
      <xdr:rowOff>73603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166550</xdr:colOff>
      <xdr:row>33</xdr:row>
      <xdr:rowOff>127974</xdr:rowOff>
    </xdr:from>
    <xdr:to>
      <xdr:col>28</xdr:col>
      <xdr:colOff>229636</xdr:colOff>
      <xdr:row>54</xdr:row>
      <xdr:rowOff>13674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19</xdr:col>
      <xdr:colOff>193935</xdr:colOff>
      <xdr:row>60</xdr:row>
      <xdr:rowOff>2665</xdr:rowOff>
    </xdr:from>
    <xdr:to>
      <xdr:col>32</xdr:col>
      <xdr:colOff>115924</xdr:colOff>
      <xdr:row>81</xdr:row>
      <xdr:rowOff>151225</xdr:rowOff>
    </xdr:to>
    <xdr:graphicFrame macro="">
      <xdr:nvGraphicFramePr>
        <xdr:cNvPr id="23" name="グラフ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29</xdr:col>
      <xdr:colOff>184620</xdr:colOff>
      <xdr:row>38</xdr:row>
      <xdr:rowOff>112889</xdr:rowOff>
    </xdr:from>
    <xdr:to>
      <xdr:col>47</xdr:col>
      <xdr:colOff>164982</xdr:colOff>
      <xdr:row>63</xdr:row>
      <xdr:rowOff>99179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20</xdr:col>
      <xdr:colOff>463021</xdr:colOff>
      <xdr:row>171</xdr:row>
      <xdr:rowOff>52917</xdr:rowOff>
    </xdr:from>
    <xdr:to>
      <xdr:col>38</xdr:col>
      <xdr:colOff>150059</xdr:colOff>
      <xdr:row>199</xdr:row>
      <xdr:rowOff>92538</xdr:rowOff>
    </xdr:to>
    <xdr:graphicFrame macro="">
      <xdr:nvGraphicFramePr>
        <xdr:cNvPr id="28" name="グラフ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463020</xdr:colOff>
      <xdr:row>0</xdr:row>
      <xdr:rowOff>0</xdr:rowOff>
    </xdr:from>
    <xdr:to>
      <xdr:col>43</xdr:col>
      <xdr:colOff>526106</xdr:colOff>
      <xdr:row>16</xdr:row>
      <xdr:rowOff>97366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33</xdr:col>
      <xdr:colOff>21166</xdr:colOff>
      <xdr:row>69</xdr:row>
      <xdr:rowOff>169334</xdr:rowOff>
    </xdr:from>
    <xdr:to>
      <xdr:col>51</xdr:col>
      <xdr:colOff>1528</xdr:colOff>
      <xdr:row>94</xdr:row>
      <xdr:rowOff>155625</xdr:rowOff>
    </xdr:to>
    <xdr:graphicFrame macro="">
      <xdr:nvGraphicFramePr>
        <xdr:cNvPr id="29" name="グラフ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22</xdr:col>
      <xdr:colOff>275167</xdr:colOff>
      <xdr:row>94</xdr:row>
      <xdr:rowOff>95250</xdr:rowOff>
    </xdr:from>
    <xdr:to>
      <xdr:col>36</xdr:col>
      <xdr:colOff>179917</xdr:colOff>
      <xdr:row>115</xdr:row>
      <xdr:rowOff>124966</xdr:rowOff>
    </xdr:to>
    <xdr:graphicFrame macro="">
      <xdr:nvGraphicFramePr>
        <xdr:cNvPr id="30" name="グラフ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33</xdr:col>
      <xdr:colOff>182759</xdr:colOff>
      <xdr:row>204</xdr:row>
      <xdr:rowOff>170089</xdr:rowOff>
    </xdr:from>
    <xdr:to>
      <xdr:col>42</xdr:col>
      <xdr:colOff>343219</xdr:colOff>
      <xdr:row>219</xdr:row>
      <xdr:rowOff>141212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112938" y="51945268"/>
          <a:ext cx="6079568" cy="3376084"/>
        </a:xfrm>
        <a:prstGeom prst="rect">
          <a:avLst/>
        </a:prstGeom>
      </xdr:spPr>
    </xdr:pic>
    <xdr:clientData/>
  </xdr:twoCellAnchor>
  <xdr:twoCellAnchor>
    <xdr:from>
      <xdr:col>17</xdr:col>
      <xdr:colOff>306917</xdr:colOff>
      <xdr:row>224</xdr:row>
      <xdr:rowOff>211666</xdr:rowOff>
    </xdr:from>
    <xdr:to>
      <xdr:col>35</xdr:col>
      <xdr:colOff>52917</xdr:colOff>
      <xdr:row>252</xdr:row>
      <xdr:rowOff>285749</xdr:rowOff>
    </xdr:to>
    <xdr:graphicFrame macro="">
      <xdr:nvGraphicFramePr>
        <xdr:cNvPr id="32" name="グラフ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19</xdr:col>
      <xdr:colOff>624417</xdr:colOff>
      <xdr:row>203</xdr:row>
      <xdr:rowOff>137583</xdr:rowOff>
    </xdr:from>
    <xdr:to>
      <xdr:col>30</xdr:col>
      <xdr:colOff>84253</xdr:colOff>
      <xdr:row>223</xdr:row>
      <xdr:rowOff>89428</xdr:rowOff>
    </xdr:to>
    <xdr:graphicFrame macro="">
      <xdr:nvGraphicFramePr>
        <xdr:cNvPr id="31" name="グラフ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23</xdr:col>
      <xdr:colOff>657677</xdr:colOff>
      <xdr:row>256</xdr:row>
      <xdr:rowOff>226785</xdr:rowOff>
    </xdr:from>
    <xdr:to>
      <xdr:col>41</xdr:col>
      <xdr:colOff>532946</xdr:colOff>
      <xdr:row>287</xdr:row>
      <xdr:rowOff>204107</xdr:rowOff>
    </xdr:to>
    <xdr:graphicFrame macro="">
      <xdr:nvGraphicFramePr>
        <xdr:cNvPr id="33" name="グラフ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21</xdr:col>
      <xdr:colOff>164630</xdr:colOff>
      <xdr:row>292</xdr:row>
      <xdr:rowOff>0</xdr:rowOff>
    </xdr:from>
    <xdr:to>
      <xdr:col>39</xdr:col>
      <xdr:colOff>144993</xdr:colOff>
      <xdr:row>316</xdr:row>
      <xdr:rowOff>209717</xdr:rowOff>
    </xdr:to>
    <xdr:graphicFrame macro="">
      <xdr:nvGraphicFramePr>
        <xdr:cNvPr id="34" name="グラフ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423334</xdr:colOff>
      <xdr:row>289</xdr:row>
      <xdr:rowOff>164630</xdr:rowOff>
    </xdr:from>
    <xdr:to>
      <xdr:col>21</xdr:col>
      <xdr:colOff>56200</xdr:colOff>
      <xdr:row>314</xdr:row>
      <xdr:rowOff>195602</xdr:rowOff>
    </xdr:to>
    <xdr:graphicFrame macro="">
      <xdr:nvGraphicFramePr>
        <xdr:cNvPr id="35" name="グラフ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</xdr:col>
      <xdr:colOff>482129</xdr:colOff>
      <xdr:row>306</xdr:row>
      <xdr:rowOff>141111</xdr:rowOff>
    </xdr:from>
    <xdr:to>
      <xdr:col>15</xdr:col>
      <xdr:colOff>538329</xdr:colOff>
      <xdr:row>331</xdr:row>
      <xdr:rowOff>172083</xdr:rowOff>
    </xdr:to>
    <xdr:graphicFrame macro="">
      <xdr:nvGraphicFramePr>
        <xdr:cNvPr id="36" name="グラフ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22</xdr:col>
      <xdr:colOff>0</xdr:colOff>
      <xdr:row>327</xdr:row>
      <xdr:rowOff>0</xdr:rowOff>
    </xdr:from>
    <xdr:to>
      <xdr:col>35</xdr:col>
      <xdr:colOff>441739</xdr:colOff>
      <xdr:row>351</xdr:row>
      <xdr:rowOff>46336</xdr:rowOff>
    </xdr:to>
    <xdr:graphicFrame macro="">
      <xdr:nvGraphicFramePr>
        <xdr:cNvPr id="38" name="グラフ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6</xdr:col>
      <xdr:colOff>138043</xdr:colOff>
      <xdr:row>332</xdr:row>
      <xdr:rowOff>96630</xdr:rowOff>
    </xdr:from>
    <xdr:to>
      <xdr:col>19</xdr:col>
      <xdr:colOff>60032</xdr:colOff>
      <xdr:row>354</xdr:row>
      <xdr:rowOff>11242</xdr:rowOff>
    </xdr:to>
    <xdr:graphicFrame macro="">
      <xdr:nvGraphicFramePr>
        <xdr:cNvPr id="39" name="グラフ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4</xdr:col>
      <xdr:colOff>0</xdr:colOff>
      <xdr:row>357</xdr:row>
      <xdr:rowOff>0</xdr:rowOff>
    </xdr:from>
    <xdr:to>
      <xdr:col>21</xdr:col>
      <xdr:colOff>573949</xdr:colOff>
      <xdr:row>381</xdr:row>
      <xdr:rowOff>209717</xdr:rowOff>
    </xdr:to>
    <xdr:graphicFrame macro="">
      <xdr:nvGraphicFramePr>
        <xdr:cNvPr id="40" name="グラフ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17</xdr:col>
      <xdr:colOff>177781</xdr:colOff>
      <xdr:row>383</xdr:row>
      <xdr:rowOff>88265</xdr:rowOff>
    </xdr:from>
    <xdr:to>
      <xdr:col>26</xdr:col>
      <xdr:colOff>163978</xdr:colOff>
      <xdr:row>404</xdr:row>
      <xdr:rowOff>184894</xdr:rowOff>
    </xdr:to>
    <xdr:graphicFrame macro="">
      <xdr:nvGraphicFramePr>
        <xdr:cNvPr id="41" name="グラフ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24</xdr:col>
      <xdr:colOff>0</xdr:colOff>
      <xdr:row>371</xdr:row>
      <xdr:rowOff>0</xdr:rowOff>
    </xdr:from>
    <xdr:to>
      <xdr:col>37</xdr:col>
      <xdr:colOff>24262</xdr:colOff>
      <xdr:row>394</xdr:row>
      <xdr:rowOff>75108</xdr:rowOff>
    </xdr:to>
    <xdr:graphicFrame macro="">
      <xdr:nvGraphicFramePr>
        <xdr:cNvPr id="37" name="グラフ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36</xdr:col>
      <xdr:colOff>0</xdr:colOff>
      <xdr:row>226</xdr:row>
      <xdr:rowOff>0</xdr:rowOff>
    </xdr:from>
    <xdr:to>
      <xdr:col>50</xdr:col>
      <xdr:colOff>84518</xdr:colOff>
      <xdr:row>244</xdr:row>
      <xdr:rowOff>243462</xdr:rowOff>
    </xdr:to>
    <xdr:graphicFrame macro="">
      <xdr:nvGraphicFramePr>
        <xdr:cNvPr id="42" name="グラフ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8</xdr:col>
      <xdr:colOff>248478</xdr:colOff>
      <xdr:row>261</xdr:row>
      <xdr:rowOff>717826</xdr:rowOff>
    </xdr:from>
    <xdr:to>
      <xdr:col>20</xdr:col>
      <xdr:colOff>331304</xdr:colOff>
      <xdr:row>261</xdr:row>
      <xdr:rowOff>717826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CxnSpPr/>
      </xdr:nvCxnSpPr>
      <xdr:spPr>
        <a:xfrm>
          <a:off x="5756413" y="71561739"/>
          <a:ext cx="8034130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331304</xdr:colOff>
      <xdr:row>269</xdr:row>
      <xdr:rowOff>41413</xdr:rowOff>
    </xdr:from>
    <xdr:to>
      <xdr:col>20</xdr:col>
      <xdr:colOff>400326</xdr:colOff>
      <xdr:row>269</xdr:row>
      <xdr:rowOff>41413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CxnSpPr/>
      </xdr:nvCxnSpPr>
      <xdr:spPr>
        <a:xfrm>
          <a:off x="5839239" y="73439130"/>
          <a:ext cx="8020326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444500</xdr:colOff>
      <xdr:row>408</xdr:row>
      <xdr:rowOff>177800</xdr:rowOff>
    </xdr:from>
    <xdr:to>
      <xdr:col>31</xdr:col>
      <xdr:colOff>529018</xdr:colOff>
      <xdr:row>435</xdr:row>
      <xdr:rowOff>33912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0</xdr:col>
      <xdr:colOff>86590</xdr:colOff>
      <xdr:row>390</xdr:row>
      <xdr:rowOff>19242</xdr:rowOff>
    </xdr:from>
    <xdr:to>
      <xdr:col>17</xdr:col>
      <xdr:colOff>471042</xdr:colOff>
      <xdr:row>415</xdr:row>
      <xdr:rowOff>5533</xdr:rowOff>
    </xdr:to>
    <xdr:graphicFrame macro="">
      <xdr:nvGraphicFramePr>
        <xdr:cNvPr id="43" name="グラフ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15</xdr:col>
      <xdr:colOff>508659</xdr:colOff>
      <xdr:row>30</xdr:row>
      <xdr:rowOff>202045</xdr:rowOff>
    </xdr:from>
    <xdr:to>
      <xdr:col>30</xdr:col>
      <xdr:colOff>446120</xdr:colOff>
      <xdr:row>57</xdr:row>
      <xdr:rowOff>113819</xdr:rowOff>
    </xdr:to>
    <xdr:graphicFrame macro="">
      <xdr:nvGraphicFramePr>
        <xdr:cNvPr id="48" name="グラフ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3</xdr:col>
      <xdr:colOff>0</xdr:colOff>
      <xdr:row>422</xdr:row>
      <xdr:rowOff>0</xdr:rowOff>
    </xdr:from>
    <xdr:to>
      <xdr:col>16</xdr:col>
      <xdr:colOff>249618</xdr:colOff>
      <xdr:row>448</xdr:row>
      <xdr:rowOff>84712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5422-289B-4658-B621-4EAC134B3187}">
  <dimension ref="A1:AB100"/>
  <sheetViews>
    <sheetView topLeftCell="P1" zoomScale="96" zoomScaleNormal="100" workbookViewId="0">
      <selection activeCell="Y52" sqref="Y52"/>
    </sheetView>
  </sheetViews>
  <sheetFormatPr defaultRowHeight="18" x14ac:dyDescent="0.55000000000000004"/>
  <cols>
    <col min="3" max="3" width="10.58203125" bestFit="1" customWidth="1"/>
    <col min="6" max="6" width="17.08203125" customWidth="1"/>
    <col min="13" max="13" width="16.33203125" bestFit="1" customWidth="1"/>
  </cols>
  <sheetData>
    <row r="1" spans="1:28" x14ac:dyDescent="0.55000000000000004">
      <c r="A1" t="s">
        <v>2</v>
      </c>
    </row>
    <row r="2" spans="1:28" x14ac:dyDescent="0.55000000000000004">
      <c r="A2" t="s">
        <v>0</v>
      </c>
      <c r="B2" t="s">
        <v>1</v>
      </c>
      <c r="V2" t="s">
        <v>92</v>
      </c>
      <c r="W2" t="s">
        <v>93</v>
      </c>
      <c r="X2" t="s">
        <v>94</v>
      </c>
    </row>
    <row r="3" spans="1:28" x14ac:dyDescent="0.55000000000000004">
      <c r="A3">
        <v>60089</v>
      </c>
      <c r="B3">
        <v>2</v>
      </c>
      <c r="D3">
        <v>60074</v>
      </c>
      <c r="E3">
        <v>2</v>
      </c>
      <c r="V3">
        <v>7.1376908139999999</v>
      </c>
      <c r="X3">
        <v>166.14</v>
      </c>
    </row>
    <row r="4" spans="1:28" x14ac:dyDescent="0.55000000000000004">
      <c r="A4">
        <v>148254</v>
      </c>
      <c r="B4">
        <v>5</v>
      </c>
      <c r="D4">
        <v>148417</v>
      </c>
      <c r="E4">
        <v>5</v>
      </c>
      <c r="V4">
        <v>50</v>
      </c>
      <c r="X4" t="s">
        <v>92</v>
      </c>
      <c r="Y4">
        <v>12.03804021</v>
      </c>
      <c r="Z4" t="s">
        <v>95</v>
      </c>
      <c r="AA4">
        <f>Y4*Y5</f>
        <v>356.88454083609577</v>
      </c>
    </row>
    <row r="5" spans="1:28" x14ac:dyDescent="0.55000000000000004">
      <c r="A5">
        <v>297751</v>
      </c>
      <c r="B5">
        <v>10</v>
      </c>
      <c r="D5">
        <v>298049</v>
      </c>
      <c r="E5">
        <v>10</v>
      </c>
      <c r="Y5">
        <v>29.6463988</v>
      </c>
      <c r="Z5" t="s">
        <v>96</v>
      </c>
    </row>
    <row r="6" spans="1:28" x14ac:dyDescent="0.55000000000000004">
      <c r="A6">
        <v>591828</v>
      </c>
      <c r="B6">
        <v>20</v>
      </c>
      <c r="D6">
        <v>593967</v>
      </c>
      <c r="E6">
        <v>20</v>
      </c>
      <c r="W6" t="s">
        <v>97</v>
      </c>
      <c r="X6" t="s">
        <v>94</v>
      </c>
    </row>
    <row r="7" spans="1:28" x14ac:dyDescent="0.55000000000000004">
      <c r="X7">
        <v>438.31799999999998</v>
      </c>
    </row>
    <row r="8" spans="1:28" x14ac:dyDescent="0.55000000000000004">
      <c r="A8" t="s">
        <v>6</v>
      </c>
      <c r="X8" t="s">
        <v>92</v>
      </c>
      <c r="Y8">
        <v>9.1257945140000007</v>
      </c>
    </row>
    <row r="9" spans="1:28" x14ac:dyDescent="0.55000000000000004">
      <c r="A9" t="s">
        <v>0</v>
      </c>
      <c r="B9" t="s">
        <v>1</v>
      </c>
      <c r="Y9">
        <v>39.107229529999998</v>
      </c>
      <c r="Z9" t="s">
        <v>96</v>
      </c>
    </row>
    <row r="10" spans="1:28" x14ac:dyDescent="0.55000000000000004">
      <c r="A10">
        <v>54968</v>
      </c>
      <c r="B10">
        <v>1</v>
      </c>
      <c r="W10" t="s">
        <v>98</v>
      </c>
      <c r="X10" t="s">
        <v>94</v>
      </c>
    </row>
    <row r="11" spans="1:28" x14ac:dyDescent="0.55000000000000004">
      <c r="A11">
        <v>136929</v>
      </c>
      <c r="B11">
        <v>2.5</v>
      </c>
      <c r="X11">
        <v>122.12</v>
      </c>
    </row>
    <row r="12" spans="1:28" x14ac:dyDescent="0.55000000000000004">
      <c r="A12">
        <v>264022</v>
      </c>
      <c r="B12">
        <v>5</v>
      </c>
      <c r="X12" t="s">
        <v>92</v>
      </c>
      <c r="Y12">
        <v>8.188666885</v>
      </c>
      <c r="AA12">
        <v>356.8845407</v>
      </c>
      <c r="AB12" t="s">
        <v>135</v>
      </c>
    </row>
    <row r="13" spans="1:28" x14ac:dyDescent="0.55000000000000004">
      <c r="Y13">
        <v>43.582740110000003</v>
      </c>
      <c r="Z13" t="s">
        <v>96</v>
      </c>
    </row>
    <row r="14" spans="1:28" x14ac:dyDescent="0.55000000000000004">
      <c r="A14" t="s">
        <v>7</v>
      </c>
      <c r="W14" t="s">
        <v>235</v>
      </c>
      <c r="X14">
        <v>196.16</v>
      </c>
    </row>
    <row r="15" spans="1:28" x14ac:dyDescent="0.55000000000000004">
      <c r="A15" t="s">
        <v>0</v>
      </c>
      <c r="B15" t="s">
        <v>1</v>
      </c>
      <c r="X15" t="s">
        <v>92</v>
      </c>
      <c r="Y15">
        <v>5.17</v>
      </c>
      <c r="AA15">
        <v>356.8845407</v>
      </c>
    </row>
    <row r="16" spans="1:28" x14ac:dyDescent="0.55000000000000004">
      <c r="A16">
        <v>28505</v>
      </c>
      <c r="B16">
        <v>1</v>
      </c>
      <c r="C16" t="s">
        <v>87</v>
      </c>
      <c r="D16" t="s">
        <v>74</v>
      </c>
      <c r="H16" t="s">
        <v>88</v>
      </c>
      <c r="Y16">
        <f>V3*0.05/Y15*1000</f>
        <v>69.029891818181824</v>
      </c>
      <c r="Z16" t="s">
        <v>96</v>
      </c>
      <c r="AA16">
        <v>0</v>
      </c>
    </row>
    <row r="17" spans="1:27" x14ac:dyDescent="0.55000000000000004">
      <c r="A17">
        <v>68838</v>
      </c>
      <c r="B17">
        <v>2.5</v>
      </c>
      <c r="C17">
        <f>356.884540713388/1000</f>
        <v>0.35688454071338799</v>
      </c>
      <c r="D17">
        <v>29.6</v>
      </c>
      <c r="E17">
        <v>13.32</v>
      </c>
      <c r="F17">
        <v>8.0126517930399004</v>
      </c>
      <c r="H17">
        <v>47.1</v>
      </c>
      <c r="I17">
        <v>9.75</v>
      </c>
      <c r="J17">
        <v>3.7307062024611963</v>
      </c>
      <c r="W17" t="s">
        <v>100</v>
      </c>
      <c r="X17">
        <v>622.49400000000003</v>
      </c>
      <c r="AA17">
        <v>0</v>
      </c>
    </row>
    <row r="18" spans="1:27" x14ac:dyDescent="0.55000000000000004">
      <c r="A18">
        <v>134537</v>
      </c>
      <c r="B18">
        <v>5</v>
      </c>
      <c r="C18">
        <f>C17*2</f>
        <v>0.71376908142677598</v>
      </c>
      <c r="D18">
        <v>59.3</v>
      </c>
      <c r="E18">
        <v>16.62</v>
      </c>
      <c r="F18">
        <v>5.0065221935315565</v>
      </c>
      <c r="H18">
        <v>94.2</v>
      </c>
      <c r="X18" t="s">
        <v>92</v>
      </c>
      <c r="Y18">
        <v>6.4257647459999996</v>
      </c>
      <c r="AA18">
        <v>356.8845407</v>
      </c>
    </row>
    <row r="19" spans="1:27" x14ac:dyDescent="0.55000000000000004">
      <c r="C19">
        <f>C17*4</f>
        <v>1.427538162853552</v>
      </c>
      <c r="D19">
        <v>118.6</v>
      </c>
      <c r="E19">
        <v>21.17</v>
      </c>
      <c r="F19">
        <v>3.1495665673736166</v>
      </c>
      <c r="H19">
        <v>188.4</v>
      </c>
      <c r="I19">
        <v>19.96</v>
      </c>
      <c r="J19">
        <v>1.8623962599437696</v>
      </c>
      <c r="Y19">
        <v>55.539621320000002</v>
      </c>
      <c r="Z19" t="s">
        <v>96</v>
      </c>
      <c r="AA19">
        <v>0</v>
      </c>
    </row>
    <row r="20" spans="1:27" x14ac:dyDescent="0.55000000000000004">
      <c r="A20" t="s">
        <v>8</v>
      </c>
      <c r="C20">
        <f>C17*10</f>
        <v>3.56884540713388</v>
      </c>
      <c r="D20">
        <v>296.39999999999998</v>
      </c>
      <c r="E20">
        <v>30.598357500000002</v>
      </c>
      <c r="F20">
        <v>1.869916289261687</v>
      </c>
      <c r="W20" t="s">
        <v>101</v>
      </c>
      <c r="X20">
        <v>254.15</v>
      </c>
      <c r="AA20">
        <v>0</v>
      </c>
    </row>
    <row r="21" spans="1:27" x14ac:dyDescent="0.55000000000000004">
      <c r="A21" t="s">
        <v>0</v>
      </c>
      <c r="B21" t="s">
        <v>1</v>
      </c>
      <c r="C21">
        <f>C17*20</f>
        <v>7.13769081426776</v>
      </c>
      <c r="D21">
        <v>592.79999999999995</v>
      </c>
      <c r="E21">
        <v>36.053505000000001</v>
      </c>
      <c r="F21">
        <v>1.1086121280646568</v>
      </c>
      <c r="X21" t="s">
        <v>92</v>
      </c>
      <c r="Y21">
        <v>15.73873697</v>
      </c>
      <c r="AA21">
        <v>356.8845407</v>
      </c>
    </row>
    <row r="22" spans="1:27" x14ac:dyDescent="0.55000000000000004">
      <c r="A22">
        <v>24682</v>
      </c>
      <c r="B22">
        <v>1</v>
      </c>
      <c r="Y22">
        <v>22.675551509999998</v>
      </c>
      <c r="Z22" t="s">
        <v>96</v>
      </c>
      <c r="AA22">
        <v>0</v>
      </c>
    </row>
    <row r="23" spans="1:27" x14ac:dyDescent="0.55000000000000004">
      <c r="A23">
        <v>61691</v>
      </c>
      <c r="B23">
        <v>2.5</v>
      </c>
      <c r="W23" t="s">
        <v>102</v>
      </c>
      <c r="AA23">
        <v>0</v>
      </c>
    </row>
    <row r="24" spans="1:27" x14ac:dyDescent="0.55000000000000004">
      <c r="A24">
        <v>119150</v>
      </c>
      <c r="B24">
        <v>5</v>
      </c>
      <c r="X24" t="s">
        <v>92</v>
      </c>
      <c r="Y24">
        <v>7.58</v>
      </c>
      <c r="AA24">
        <v>356.8845407</v>
      </c>
    </row>
    <row r="25" spans="1:27" x14ac:dyDescent="0.55000000000000004">
      <c r="Y25">
        <v>47.082393230000001</v>
      </c>
      <c r="Z25" t="s">
        <v>96</v>
      </c>
      <c r="AA25">
        <v>0</v>
      </c>
    </row>
    <row r="26" spans="1:27" x14ac:dyDescent="0.55000000000000004">
      <c r="B26" t="s">
        <v>68</v>
      </c>
      <c r="E26" t="s">
        <v>134</v>
      </c>
      <c r="W26" t="s">
        <v>103</v>
      </c>
      <c r="X26">
        <v>216.19</v>
      </c>
    </row>
    <row r="27" spans="1:27" x14ac:dyDescent="0.55000000000000004">
      <c r="A27" t="s">
        <v>61</v>
      </c>
      <c r="B27">
        <v>1.93</v>
      </c>
      <c r="C27">
        <v>18.649999999999999</v>
      </c>
      <c r="D27">
        <v>16.427803853754938</v>
      </c>
      <c r="E27">
        <v>2.44</v>
      </c>
      <c r="X27" t="s">
        <v>92</v>
      </c>
      <c r="Y27">
        <v>9.2511216990000005</v>
      </c>
    </row>
    <row r="28" spans="1:27" x14ac:dyDescent="0.55000000000000004">
      <c r="A28" t="s">
        <v>62</v>
      </c>
      <c r="B28">
        <v>3.03</v>
      </c>
      <c r="C28">
        <v>10.52</v>
      </c>
      <c r="D28">
        <v>8.6515001387182444</v>
      </c>
      <c r="E28">
        <v>2.76</v>
      </c>
      <c r="Y28">
        <v>38.577434429999997</v>
      </c>
      <c r="Z28" t="s">
        <v>96</v>
      </c>
    </row>
    <row r="29" spans="1:27" x14ac:dyDescent="0.55000000000000004">
      <c r="A29" t="s">
        <v>63</v>
      </c>
      <c r="B29">
        <v>2.98</v>
      </c>
      <c r="C29">
        <v>13.32</v>
      </c>
      <c r="D29">
        <v>8.0126517930399004</v>
      </c>
      <c r="E29">
        <v>2.73</v>
      </c>
      <c r="W29" t="s">
        <v>104</v>
      </c>
      <c r="X29">
        <v>116.07</v>
      </c>
    </row>
    <row r="30" spans="1:27" x14ac:dyDescent="0.55000000000000004">
      <c r="A30" t="s">
        <v>64</v>
      </c>
      <c r="B30">
        <v>2.95</v>
      </c>
      <c r="C30">
        <v>11.8</v>
      </c>
      <c r="D30">
        <v>5.3459331721786691</v>
      </c>
      <c r="X30" t="s">
        <v>92</v>
      </c>
      <c r="Y30">
        <v>17.2309813</v>
      </c>
    </row>
    <row r="31" spans="1:27" x14ac:dyDescent="0.55000000000000004">
      <c r="A31" t="s">
        <v>65</v>
      </c>
      <c r="B31">
        <v>4.2</v>
      </c>
      <c r="C31">
        <v>3.45</v>
      </c>
      <c r="D31">
        <v>1.2081910363899744</v>
      </c>
      <c r="E31">
        <v>3.08</v>
      </c>
      <c r="Y31">
        <v>20.711794319999999</v>
      </c>
      <c r="Z31" t="s">
        <v>96</v>
      </c>
    </row>
    <row r="32" spans="1:27" x14ac:dyDescent="0.55000000000000004">
      <c r="A32" t="s">
        <v>66</v>
      </c>
      <c r="B32">
        <v>1.92</v>
      </c>
      <c r="C32">
        <v>11.53</v>
      </c>
      <c r="D32">
        <v>9.1956023528812612</v>
      </c>
      <c r="E32">
        <v>2.5299999999999998</v>
      </c>
      <c r="W32" t="s">
        <v>105</v>
      </c>
      <c r="X32">
        <v>172.18</v>
      </c>
    </row>
    <row r="33" spans="1:26" x14ac:dyDescent="0.55000000000000004">
      <c r="A33" t="s">
        <v>67</v>
      </c>
      <c r="B33">
        <v>4.34</v>
      </c>
      <c r="C33">
        <v>6.8</v>
      </c>
      <c r="D33">
        <v>3.7035557658362612</v>
      </c>
      <c r="E33">
        <v>3.37</v>
      </c>
      <c r="X33" t="s">
        <v>92</v>
      </c>
      <c r="Y33">
        <v>11.61575096</v>
      </c>
    </row>
    <row r="34" spans="1:26" x14ac:dyDescent="0.55000000000000004">
      <c r="A34" t="s">
        <v>67</v>
      </c>
      <c r="B34">
        <v>4.18</v>
      </c>
      <c r="E34">
        <v>3.28</v>
      </c>
      <c r="Y34">
        <v>30.724190109999999</v>
      </c>
      <c r="Z34" t="s">
        <v>96</v>
      </c>
    </row>
    <row r="35" spans="1:26" x14ac:dyDescent="0.55000000000000004">
      <c r="A35" t="s">
        <v>113</v>
      </c>
      <c r="B35">
        <v>2.11</v>
      </c>
      <c r="C35">
        <v>15.65</v>
      </c>
      <c r="D35">
        <v>7.3450547696237338</v>
      </c>
      <c r="E35">
        <v>2.44</v>
      </c>
      <c r="W35" t="s">
        <v>106</v>
      </c>
      <c r="X35">
        <v>618.42600000000004</v>
      </c>
    </row>
    <row r="36" spans="1:26" x14ac:dyDescent="0.55000000000000004">
      <c r="A36" t="s">
        <v>90</v>
      </c>
      <c r="B36">
        <v>1.88</v>
      </c>
      <c r="C36">
        <v>12.49</v>
      </c>
      <c r="D36">
        <v>4.9655282022053191</v>
      </c>
      <c r="E36">
        <v>2.39</v>
      </c>
      <c r="X36" t="s">
        <v>92</v>
      </c>
      <c r="Y36">
        <v>9.7020500429999998</v>
      </c>
    </row>
    <row r="37" spans="1:26" x14ac:dyDescent="0.55000000000000004">
      <c r="A37" t="s">
        <v>91</v>
      </c>
      <c r="B37">
        <v>2.81</v>
      </c>
      <c r="C37">
        <v>10.76</v>
      </c>
      <c r="E37">
        <v>2.64</v>
      </c>
      <c r="Y37">
        <v>36.784446500000001</v>
      </c>
      <c r="Z37" t="s">
        <v>96</v>
      </c>
    </row>
    <row r="38" spans="1:26" x14ac:dyDescent="0.55000000000000004">
      <c r="A38" t="s">
        <v>112</v>
      </c>
      <c r="B38">
        <v>4.16</v>
      </c>
      <c r="C38">
        <v>3.3</v>
      </c>
      <c r="D38">
        <v>2.2803676708920637</v>
      </c>
      <c r="E38">
        <v>3.29</v>
      </c>
      <c r="W38" t="s">
        <v>107</v>
      </c>
      <c r="X38">
        <v>428.32400000000001</v>
      </c>
    </row>
    <row r="39" spans="1:26" x14ac:dyDescent="0.55000000000000004">
      <c r="A39" t="s">
        <v>155</v>
      </c>
      <c r="C39">
        <v>35.909999999999997</v>
      </c>
      <c r="E39">
        <v>2</v>
      </c>
      <c r="X39" t="s">
        <v>92</v>
      </c>
      <c r="Y39">
        <v>9.338724891</v>
      </c>
    </row>
    <row r="40" spans="1:26" x14ac:dyDescent="0.55000000000000004">
      <c r="A40" t="s">
        <v>156</v>
      </c>
      <c r="C40">
        <v>12.27</v>
      </c>
      <c r="E40">
        <v>3</v>
      </c>
      <c r="Y40">
        <v>38.215553499999999</v>
      </c>
      <c r="Z40" t="s">
        <v>96</v>
      </c>
    </row>
    <row r="41" spans="1:26" x14ac:dyDescent="0.55000000000000004">
      <c r="A41" t="s">
        <v>145</v>
      </c>
      <c r="C41">
        <v>4.18</v>
      </c>
      <c r="D41">
        <v>1.831319115716616</v>
      </c>
      <c r="E41">
        <v>3.14</v>
      </c>
      <c r="W41" t="s">
        <v>108</v>
      </c>
      <c r="X41">
        <v>211.13</v>
      </c>
    </row>
    <row r="42" spans="1:26" x14ac:dyDescent="0.55000000000000004">
      <c r="A42" t="s">
        <v>146</v>
      </c>
      <c r="C42">
        <v>11.5</v>
      </c>
      <c r="D42">
        <v>5.1939306064432262</v>
      </c>
      <c r="X42" t="s">
        <v>109</v>
      </c>
      <c r="Y42">
        <f>1/X41*1000*2</f>
        <v>9.4728366409321261</v>
      </c>
    </row>
    <row r="43" spans="1:26" x14ac:dyDescent="0.55000000000000004">
      <c r="A43" t="s">
        <v>154</v>
      </c>
      <c r="C43">
        <v>27.46</v>
      </c>
      <c r="E43">
        <v>2.5</v>
      </c>
      <c r="Y43">
        <f>V3*0.05/Y42*1000</f>
        <v>37.674516538995505</v>
      </c>
      <c r="Z43" t="s">
        <v>110</v>
      </c>
    </row>
    <row r="44" spans="1:26" x14ac:dyDescent="0.55000000000000004">
      <c r="W44" t="s">
        <v>111</v>
      </c>
      <c r="X44">
        <v>118.09</v>
      </c>
    </row>
    <row r="45" spans="1:26" x14ac:dyDescent="0.55000000000000004">
      <c r="X45" t="s">
        <v>109</v>
      </c>
      <c r="Y45">
        <f>1/X44*1000*2</f>
        <v>16.936235074942839</v>
      </c>
    </row>
    <row r="46" spans="1:26" x14ac:dyDescent="0.55000000000000004">
      <c r="Y46">
        <f>V3*0.05/Y45*1000</f>
        <v>21.072247705631504</v>
      </c>
      <c r="Z46" t="s">
        <v>110</v>
      </c>
    </row>
    <row r="47" spans="1:26" x14ac:dyDescent="0.55000000000000004">
      <c r="W47" t="s">
        <v>189</v>
      </c>
      <c r="X47">
        <v>254.15</v>
      </c>
    </row>
    <row r="48" spans="1:26" x14ac:dyDescent="0.55000000000000004">
      <c r="Y48">
        <v>5.17</v>
      </c>
    </row>
    <row r="49" spans="1:28" x14ac:dyDescent="0.55000000000000004">
      <c r="Y49">
        <f>V3*0.05/Y48*1000</f>
        <v>69.029891818181824</v>
      </c>
      <c r="Z49" t="s">
        <v>190</v>
      </c>
    </row>
    <row r="50" spans="1:28" x14ac:dyDescent="0.55000000000000004">
      <c r="W50" t="s">
        <v>200</v>
      </c>
      <c r="X50">
        <v>254.15</v>
      </c>
    </row>
    <row r="51" spans="1:28" x14ac:dyDescent="0.55000000000000004">
      <c r="Y51">
        <f>1/X50*1000*4</f>
        <v>15.738736966358449</v>
      </c>
    </row>
    <row r="52" spans="1:28" x14ac:dyDescent="0.55000000000000004">
      <c r="A52" t="s">
        <v>114</v>
      </c>
      <c r="B52" t="s">
        <v>117</v>
      </c>
      <c r="D52" t="s">
        <v>118</v>
      </c>
      <c r="Y52">
        <f>V3*0.05/Y51*1000</f>
        <v>22.675551504726254</v>
      </c>
      <c r="Z52" t="s">
        <v>110</v>
      </c>
    </row>
    <row r="53" spans="1:28" x14ac:dyDescent="0.55000000000000004">
      <c r="A53" t="s">
        <v>115</v>
      </c>
      <c r="B53" t="s">
        <v>116</v>
      </c>
      <c r="D53" t="s">
        <v>116</v>
      </c>
      <c r="W53" t="s">
        <v>205</v>
      </c>
      <c r="X53">
        <v>202.11</v>
      </c>
    </row>
    <row r="54" spans="1:28" x14ac:dyDescent="0.55000000000000004">
      <c r="A54">
        <v>32844</v>
      </c>
      <c r="B54">
        <v>1</v>
      </c>
      <c r="C54">
        <v>18120110</v>
      </c>
      <c r="D54">
        <v>1</v>
      </c>
      <c r="Y54">
        <f>1/X53*1000*2</f>
        <v>9.8956014051753982</v>
      </c>
    </row>
    <row r="55" spans="1:28" x14ac:dyDescent="0.55000000000000004">
      <c r="A55">
        <v>68101</v>
      </c>
      <c r="B55">
        <v>2</v>
      </c>
      <c r="C55">
        <v>34688126</v>
      </c>
      <c r="D55">
        <v>2</v>
      </c>
      <c r="V55" t="s">
        <v>159</v>
      </c>
      <c r="W55" t="s">
        <v>157</v>
      </c>
      <c r="X55" t="s">
        <v>158</v>
      </c>
      <c r="Y55">
        <f>V3*0.05/Y54*1000</f>
        <v>36.064967260438507</v>
      </c>
      <c r="Z55" t="s">
        <v>110</v>
      </c>
      <c r="AA55" t="s">
        <v>161</v>
      </c>
    </row>
    <row r="56" spans="1:28" x14ac:dyDescent="0.55000000000000004">
      <c r="A56">
        <v>172180</v>
      </c>
      <c r="B56">
        <v>5</v>
      </c>
      <c r="C56">
        <v>82161760</v>
      </c>
      <c r="D56">
        <v>5</v>
      </c>
      <c r="W56">
        <v>2.73</v>
      </c>
      <c r="X56">
        <v>13.32</v>
      </c>
      <c r="Y56">
        <v>3</v>
      </c>
      <c r="Z56">
        <v>12.27</v>
      </c>
      <c r="AA56">
        <v>2.44</v>
      </c>
      <c r="AB56">
        <v>18.649999999999999</v>
      </c>
    </row>
    <row r="57" spans="1:28" x14ac:dyDescent="0.55000000000000004">
      <c r="A57">
        <v>337189</v>
      </c>
      <c r="B57">
        <v>10</v>
      </c>
      <c r="C57">
        <v>145981328</v>
      </c>
      <c r="D57">
        <v>10</v>
      </c>
      <c r="W57">
        <v>2.56</v>
      </c>
      <c r="X57">
        <v>16.62</v>
      </c>
      <c r="Y57">
        <v>2.5</v>
      </c>
      <c r="Z57">
        <v>27.46</v>
      </c>
      <c r="AA57">
        <v>2.15</v>
      </c>
      <c r="AB57">
        <v>22.52</v>
      </c>
    </row>
    <row r="58" spans="1:28" x14ac:dyDescent="0.55000000000000004">
      <c r="W58">
        <v>2.38</v>
      </c>
      <c r="X58">
        <v>21.17</v>
      </c>
      <c r="Y58">
        <v>2</v>
      </c>
      <c r="Z58">
        <v>35.909999999999997</v>
      </c>
      <c r="AA58">
        <v>1.98</v>
      </c>
      <c r="AB58">
        <v>28.51</v>
      </c>
    </row>
    <row r="59" spans="1:28" x14ac:dyDescent="0.55000000000000004">
      <c r="A59" t="s">
        <v>125</v>
      </c>
      <c r="B59" t="s">
        <v>128</v>
      </c>
      <c r="D59" t="s">
        <v>133</v>
      </c>
      <c r="W59">
        <v>2.2000000000000002</v>
      </c>
      <c r="X59">
        <v>30.598357500000002</v>
      </c>
      <c r="AA59">
        <v>1.6</v>
      </c>
      <c r="AB59">
        <v>42</v>
      </c>
    </row>
    <row r="60" spans="1:28" x14ac:dyDescent="0.55000000000000004">
      <c r="A60" t="s">
        <v>126</v>
      </c>
      <c r="B60" t="s">
        <v>127</v>
      </c>
      <c r="W60">
        <v>2</v>
      </c>
      <c r="X60">
        <v>36.053505000000001</v>
      </c>
    </row>
    <row r="61" spans="1:28" x14ac:dyDescent="0.55000000000000004">
      <c r="A61">
        <v>83903</v>
      </c>
      <c r="B61">
        <v>1</v>
      </c>
      <c r="C61">
        <v>13419</v>
      </c>
      <c r="E61" s="28" t="s">
        <v>111</v>
      </c>
      <c r="F61" s="28">
        <f>E62*F62*0.04*118.09</f>
        <v>2.38720142163216E-2</v>
      </c>
    </row>
    <row r="62" spans="1:28" x14ac:dyDescent="0.55000000000000004">
      <c r="A62">
        <v>166140</v>
      </c>
      <c r="B62">
        <v>2</v>
      </c>
      <c r="C62">
        <v>26764</v>
      </c>
      <c r="E62" s="28">
        <v>1.1867E-8</v>
      </c>
      <c r="F62" s="28">
        <v>425868</v>
      </c>
    </row>
    <row r="63" spans="1:28" x14ac:dyDescent="0.55000000000000004">
      <c r="A63">
        <v>422047</v>
      </c>
      <c r="B63">
        <v>5</v>
      </c>
      <c r="C63">
        <v>68572</v>
      </c>
      <c r="E63" s="28">
        <v>7.3092000000000004E-8</v>
      </c>
      <c r="F63" s="28">
        <v>66146</v>
      </c>
    </row>
    <row r="64" spans="1:28" x14ac:dyDescent="0.55000000000000004">
      <c r="A64">
        <v>842829</v>
      </c>
      <c r="B64">
        <v>10</v>
      </c>
      <c r="C64">
        <v>136874</v>
      </c>
      <c r="E64" s="28"/>
      <c r="F64" s="28">
        <f>E63*F63*0.04*118.09</f>
        <v>2.2837394075395201E-2</v>
      </c>
    </row>
    <row r="66" spans="1:6" x14ac:dyDescent="0.55000000000000004">
      <c r="A66" t="s">
        <v>149</v>
      </c>
    </row>
    <row r="67" spans="1:6" x14ac:dyDescent="0.55000000000000004">
      <c r="A67" t="s">
        <v>150</v>
      </c>
      <c r="B67" t="s">
        <v>151</v>
      </c>
    </row>
    <row r="68" spans="1:6" x14ac:dyDescent="0.55000000000000004">
      <c r="B68">
        <v>1</v>
      </c>
      <c r="C68">
        <v>17023090</v>
      </c>
      <c r="E68" s="28" t="s">
        <v>90</v>
      </c>
      <c r="F68" s="28">
        <f>E69*F69*0.04*211.13</f>
        <v>1.5684019921764478E-2</v>
      </c>
    </row>
    <row r="69" spans="1:6" x14ac:dyDescent="0.55000000000000004">
      <c r="B69">
        <v>2</v>
      </c>
      <c r="C69">
        <v>34133468</v>
      </c>
      <c r="E69" s="28">
        <v>6.2399999999999999E-11</v>
      </c>
      <c r="F69" s="28">
        <v>29762051</v>
      </c>
    </row>
    <row r="70" spans="1:6" x14ac:dyDescent="0.55000000000000004">
      <c r="B70">
        <v>5</v>
      </c>
      <c r="C70">
        <v>84503417</v>
      </c>
      <c r="E70" s="28">
        <v>7.3092000000000004E-8</v>
      </c>
      <c r="F70" s="28">
        <v>66146</v>
      </c>
    </row>
    <row r="71" spans="1:6" x14ac:dyDescent="0.55000000000000004">
      <c r="B71">
        <v>10</v>
      </c>
      <c r="C71">
        <v>157354931</v>
      </c>
      <c r="E71" s="28"/>
      <c r="F71" s="28">
        <f>E70*F70*0.04*118.09</f>
        <v>2.2837394075395201E-2</v>
      </c>
    </row>
    <row r="72" spans="1:6" x14ac:dyDescent="0.55000000000000004">
      <c r="A72" t="s">
        <v>152</v>
      </c>
      <c r="C72" t="s">
        <v>194</v>
      </c>
    </row>
    <row r="73" spans="1:6" x14ac:dyDescent="0.55000000000000004">
      <c r="A73">
        <v>18424</v>
      </c>
      <c r="C73">
        <v>15101659</v>
      </c>
      <c r="E73" s="28" t="s">
        <v>61</v>
      </c>
      <c r="F73" s="28">
        <f>E74*F74*0.04*116.07</f>
        <v>3.5972531108849279E-2</v>
      </c>
    </row>
    <row r="74" spans="1:6" x14ac:dyDescent="0.55000000000000004">
      <c r="A74">
        <v>36390</v>
      </c>
      <c r="C74">
        <v>29584110</v>
      </c>
      <c r="D74" t="s">
        <v>118</v>
      </c>
      <c r="E74" s="28">
        <v>8.1399999999999998E-11</v>
      </c>
      <c r="F74" s="28">
        <v>95184584</v>
      </c>
    </row>
    <row r="75" spans="1:6" x14ac:dyDescent="0.55000000000000004">
      <c r="A75">
        <v>92204</v>
      </c>
      <c r="C75">
        <v>71555602</v>
      </c>
      <c r="D75" t="s">
        <v>117</v>
      </c>
      <c r="E75" s="28">
        <v>5.4599999999999999E-8</v>
      </c>
      <c r="F75" s="28">
        <v>133081</v>
      </c>
    </row>
    <row r="76" spans="1:6" x14ac:dyDescent="0.55000000000000004">
      <c r="E76" s="28"/>
      <c r="F76" s="28">
        <f>E75*F75*0.04*118.09</f>
        <v>3.4322729073360002E-2</v>
      </c>
    </row>
    <row r="79" spans="1:6" x14ac:dyDescent="0.55000000000000004">
      <c r="A79" t="s">
        <v>113</v>
      </c>
    </row>
    <row r="80" spans="1:6" x14ac:dyDescent="0.55000000000000004">
      <c r="A80" t="s">
        <v>188</v>
      </c>
      <c r="B80" t="s">
        <v>1</v>
      </c>
      <c r="C80" t="s">
        <v>187</v>
      </c>
    </row>
    <row r="81" spans="1:13" x14ac:dyDescent="0.55000000000000004">
      <c r="A81">
        <v>17575858</v>
      </c>
      <c r="B81">
        <v>1</v>
      </c>
      <c r="C81">
        <v>42042</v>
      </c>
      <c r="E81" s="28" t="s">
        <v>90</v>
      </c>
      <c r="F81" s="28">
        <f>E82*F82*0.04*211.13</f>
        <v>3.4606995203893001E-2</v>
      </c>
    </row>
    <row r="82" spans="1:13" x14ac:dyDescent="0.55000000000000004">
      <c r="A82">
        <v>34895572</v>
      </c>
      <c r="B82">
        <v>2</v>
      </c>
      <c r="C82">
        <v>88354</v>
      </c>
      <c r="E82" s="28">
        <v>5.9500000000000001E-11</v>
      </c>
      <c r="F82" s="28">
        <v>68871095</v>
      </c>
    </row>
    <row r="83" spans="1:13" x14ac:dyDescent="0.55000000000000004">
      <c r="A83">
        <v>83052369</v>
      </c>
      <c r="B83">
        <v>5</v>
      </c>
      <c r="C83">
        <v>213211</v>
      </c>
      <c r="E83" s="28">
        <v>2.3400000000000001E-8</v>
      </c>
      <c r="F83" s="28">
        <v>186023</v>
      </c>
    </row>
    <row r="84" spans="1:13" x14ac:dyDescent="0.55000000000000004">
      <c r="E84" s="28"/>
      <c r="F84" s="28">
        <f>E83*F83*0.04*211.13</f>
        <v>3.6761433686639998E-2</v>
      </c>
    </row>
    <row r="86" spans="1:13" x14ac:dyDescent="0.55000000000000004">
      <c r="A86" t="s">
        <v>193</v>
      </c>
      <c r="H86" t="s">
        <v>193</v>
      </c>
    </row>
    <row r="87" spans="1:13" x14ac:dyDescent="0.55000000000000004">
      <c r="A87" t="s">
        <v>188</v>
      </c>
      <c r="B87" t="s">
        <v>1</v>
      </c>
      <c r="C87" t="s">
        <v>117</v>
      </c>
      <c r="H87" t="s">
        <v>188</v>
      </c>
      <c r="I87" t="s">
        <v>1</v>
      </c>
      <c r="J87" t="s">
        <v>117</v>
      </c>
    </row>
    <row r="88" spans="1:13" x14ac:dyDescent="0.55000000000000004">
      <c r="A88">
        <v>16607000</v>
      </c>
      <c r="B88">
        <v>1</v>
      </c>
      <c r="C88">
        <v>17638</v>
      </c>
      <c r="E88" s="28" t="s">
        <v>193</v>
      </c>
      <c r="F88" s="28">
        <f>E89*F89*0.04*116.07</f>
        <v>8.3894881577760004E-5</v>
      </c>
      <c r="H88">
        <v>16607000</v>
      </c>
      <c r="I88">
        <v>1</v>
      </c>
      <c r="J88">
        <v>17638</v>
      </c>
      <c r="L88" s="28" t="s">
        <v>193</v>
      </c>
      <c r="M88" s="28">
        <f>L89*M89*0.04*116.07</f>
        <v>3.2887230233821917E-2</v>
      </c>
    </row>
    <row r="89" spans="1:13" x14ac:dyDescent="0.55000000000000004">
      <c r="A89">
        <v>33020328</v>
      </c>
      <c r="B89">
        <v>2</v>
      </c>
      <c r="C89">
        <v>35672</v>
      </c>
      <c r="E89" s="28">
        <v>6.2700000000000001E-11</v>
      </c>
      <c r="F89" s="28">
        <v>288196</v>
      </c>
      <c r="H89">
        <v>33020328</v>
      </c>
      <c r="I89">
        <v>2</v>
      </c>
      <c r="J89">
        <v>35672</v>
      </c>
      <c r="L89" s="28">
        <v>6.2700000000000001E-11</v>
      </c>
      <c r="M89" s="28">
        <v>112974332</v>
      </c>
    </row>
    <row r="90" spans="1:13" x14ac:dyDescent="0.55000000000000004">
      <c r="A90">
        <v>79179758</v>
      </c>
      <c r="B90">
        <v>5</v>
      </c>
      <c r="C90">
        <v>88988</v>
      </c>
      <c r="E90" s="28">
        <v>5.6190000000000002E-8</v>
      </c>
      <c r="F90" s="28">
        <v>5746</v>
      </c>
      <c r="H90">
        <v>79179758</v>
      </c>
      <c r="I90">
        <v>5</v>
      </c>
      <c r="J90">
        <v>88988</v>
      </c>
      <c r="L90" s="28">
        <v>5.6190000000000002E-8</v>
      </c>
      <c r="M90" s="28">
        <v>137778</v>
      </c>
    </row>
    <row r="91" spans="1:13" x14ac:dyDescent="0.55000000000000004">
      <c r="E91" s="28"/>
      <c r="F91" s="28">
        <f>E90*F90*0.04*116.07</f>
        <v>1.4990103432720001E-3</v>
      </c>
      <c r="L91" s="28"/>
      <c r="M91" s="28">
        <f>L90*M90*0.04*116.07</f>
        <v>3.5943377493096E-2</v>
      </c>
    </row>
    <row r="94" spans="1:13" x14ac:dyDescent="0.55000000000000004">
      <c r="A94" t="s">
        <v>196</v>
      </c>
    </row>
    <row r="95" spans="1:13" x14ac:dyDescent="0.55000000000000004">
      <c r="A95" t="s">
        <v>188</v>
      </c>
      <c r="B95" t="s">
        <v>1</v>
      </c>
      <c r="C95" t="s">
        <v>117</v>
      </c>
    </row>
    <row r="96" spans="1:13" x14ac:dyDescent="0.55000000000000004">
      <c r="A96">
        <v>144952</v>
      </c>
      <c r="B96">
        <v>1</v>
      </c>
      <c r="C96">
        <v>17638</v>
      </c>
      <c r="E96" s="28" t="s">
        <v>196</v>
      </c>
      <c r="F96" s="28">
        <f>E97*F97*0.04*134.09</f>
        <v>6.8599616718336004E-3</v>
      </c>
    </row>
    <row r="97" spans="1:6" x14ac:dyDescent="0.55000000000000004">
      <c r="A97">
        <v>286840</v>
      </c>
      <c r="B97">
        <v>2</v>
      </c>
      <c r="C97">
        <v>35672</v>
      </c>
      <c r="E97" s="28">
        <v>6.8673999999999997E-9</v>
      </c>
      <c r="F97" s="28">
        <v>186240</v>
      </c>
    </row>
    <row r="98" spans="1:6" x14ac:dyDescent="0.55000000000000004">
      <c r="A98">
        <v>727634</v>
      </c>
      <c r="B98">
        <v>5</v>
      </c>
      <c r="C98">
        <v>88988</v>
      </c>
      <c r="E98" s="28">
        <v>5.6190000000000002E-8</v>
      </c>
      <c r="F98" s="28">
        <v>22267</v>
      </c>
    </row>
    <row r="99" spans="1:6" x14ac:dyDescent="0.55000000000000004">
      <c r="A99">
        <v>1457309</v>
      </c>
      <c r="B99">
        <v>10</v>
      </c>
      <c r="E99" s="28"/>
      <c r="F99" s="28">
        <f>E98*F98*0.04*116.07</f>
        <v>5.8089911788440007E-3</v>
      </c>
    </row>
    <row r="100" spans="1:6" x14ac:dyDescent="0.55000000000000004">
      <c r="A100">
        <v>4079445</v>
      </c>
      <c r="B100">
        <v>28.34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B126-9CDA-4A4A-B3BA-BA5F65440C4D}">
  <dimension ref="A1:DO77"/>
  <sheetViews>
    <sheetView zoomScale="81" zoomScaleNormal="69" workbookViewId="0">
      <pane xSplit="6" topLeftCell="G1" activePane="topRight" state="frozen"/>
      <selection pane="topRight" activeCell="N15" sqref="N15"/>
    </sheetView>
  </sheetViews>
  <sheetFormatPr defaultRowHeight="18" x14ac:dyDescent="0.55000000000000004"/>
  <cols>
    <col min="1" max="4" width="8.6640625" hidden="1" customWidth="1"/>
    <col min="5" max="5" width="9.08203125" bestFit="1" customWidth="1"/>
    <col min="6" max="6" width="11.5" customWidth="1"/>
    <col min="7" max="7" width="12.1640625" customWidth="1"/>
    <col min="8" max="8" width="11.6640625" customWidth="1"/>
    <col min="9" max="9" width="10.5" bestFit="1" customWidth="1"/>
    <col min="10" max="10" width="12" customWidth="1"/>
    <col min="11" max="11" width="11.58203125" customWidth="1"/>
    <col min="12" max="12" width="11.25" customWidth="1"/>
    <col min="13" max="13" width="11.5" customWidth="1"/>
    <col min="14" max="14" width="12" customWidth="1"/>
    <col min="15" max="15" width="11.6640625" customWidth="1"/>
    <col min="16" max="16" width="10.75" customWidth="1"/>
    <col min="17" max="17" width="11.9140625" customWidth="1"/>
    <col min="18" max="18" width="11.25" customWidth="1"/>
    <col min="19" max="19" width="10.83203125" customWidth="1"/>
    <col min="20" max="20" width="10.5" customWidth="1"/>
    <col min="21" max="21" width="12.4140625" customWidth="1"/>
    <col min="22" max="24" width="10.75" bestFit="1" customWidth="1"/>
    <col min="25" max="34" width="10.5" bestFit="1" customWidth="1"/>
    <col min="35" max="35" width="9.4140625" bestFit="1" customWidth="1"/>
    <col min="36" max="36" width="10.5" bestFit="1" customWidth="1"/>
    <col min="37" max="37" width="9.4140625" bestFit="1" customWidth="1"/>
    <col min="39" max="41" width="10.5" bestFit="1" customWidth="1"/>
    <col min="42" max="42" width="9.4140625" bestFit="1" customWidth="1"/>
    <col min="43" max="46" width="10.5" bestFit="1" customWidth="1"/>
    <col min="47" max="52" width="11" bestFit="1" customWidth="1"/>
  </cols>
  <sheetData>
    <row r="1" spans="1:119" x14ac:dyDescent="0.55000000000000004">
      <c r="D1" t="s">
        <v>1</v>
      </c>
      <c r="G1" s="2"/>
      <c r="H1" s="2" t="s">
        <v>9</v>
      </c>
      <c r="I1" s="2"/>
      <c r="J1" s="2" t="s">
        <v>10</v>
      </c>
      <c r="K1" s="2"/>
      <c r="L1" s="2" t="s">
        <v>19</v>
      </c>
      <c r="M1" s="2"/>
      <c r="N1" s="2" t="s">
        <v>11</v>
      </c>
      <c r="O1" s="2"/>
      <c r="P1" t="s">
        <v>32</v>
      </c>
      <c r="R1" t="s">
        <v>40</v>
      </c>
      <c r="T1" t="s">
        <v>42</v>
      </c>
      <c r="U1" t="s">
        <v>43</v>
      </c>
      <c r="V1" t="s">
        <v>45</v>
      </c>
      <c r="W1" t="s">
        <v>49</v>
      </c>
      <c r="X1" t="s">
        <v>47</v>
      </c>
      <c r="Y1" t="s">
        <v>52</v>
      </c>
      <c r="Z1" t="s">
        <v>53</v>
      </c>
      <c r="AA1" t="s">
        <v>54</v>
      </c>
      <c r="AB1" t="s">
        <v>55</v>
      </c>
      <c r="AC1" t="s">
        <v>81</v>
      </c>
      <c r="AD1" t="s">
        <v>71</v>
      </c>
      <c r="AE1" t="s">
        <v>70</v>
      </c>
      <c r="AF1" t="s">
        <v>72</v>
      </c>
      <c r="AG1" t="s">
        <v>73</v>
      </c>
      <c r="AH1" s="30" t="s">
        <v>75</v>
      </c>
      <c r="AI1" s="30" t="s">
        <v>76</v>
      </c>
      <c r="AJ1" s="30" t="s">
        <v>79</v>
      </c>
      <c r="AK1" t="s">
        <v>77</v>
      </c>
      <c r="AL1" s="30" t="s">
        <v>78</v>
      </c>
      <c r="AM1" t="s">
        <v>80</v>
      </c>
      <c r="AN1" s="30" t="s">
        <v>89</v>
      </c>
      <c r="AO1" t="s">
        <v>119</v>
      </c>
      <c r="AP1" t="s">
        <v>120</v>
      </c>
      <c r="AQ1" t="s">
        <v>132</v>
      </c>
      <c r="AR1" t="s">
        <v>129</v>
      </c>
      <c r="AS1" t="s">
        <v>130</v>
      </c>
      <c r="AT1" s="30" t="s">
        <v>131</v>
      </c>
      <c r="AU1" t="s">
        <v>148</v>
      </c>
      <c r="AV1" t="s">
        <v>153</v>
      </c>
      <c r="AW1" t="s">
        <v>162</v>
      </c>
      <c r="AX1" t="s">
        <v>163</v>
      </c>
      <c r="AY1" t="s">
        <v>191</v>
      </c>
      <c r="AZ1" t="s">
        <v>192</v>
      </c>
    </row>
    <row r="2" spans="1:119" x14ac:dyDescent="0.55000000000000004">
      <c r="A2" t="s">
        <v>3</v>
      </c>
      <c r="B2" t="s">
        <v>2</v>
      </c>
      <c r="C2" s="1">
        <v>3.3750000000000001E-8</v>
      </c>
      <c r="G2" s="2"/>
      <c r="H2" s="2" t="s">
        <v>16</v>
      </c>
      <c r="I2" s="22" t="s">
        <v>17</v>
      </c>
      <c r="J2" s="2" t="s">
        <v>16</v>
      </c>
      <c r="K2" s="22" t="s">
        <v>17</v>
      </c>
      <c r="L2" s="2" t="s">
        <v>16</v>
      </c>
      <c r="M2" s="22" t="s">
        <v>17</v>
      </c>
      <c r="N2" s="2" t="s">
        <v>16</v>
      </c>
      <c r="O2" s="22" t="s">
        <v>17</v>
      </c>
      <c r="P2" s="22" t="s">
        <v>17</v>
      </c>
      <c r="Q2" s="2" t="s">
        <v>16</v>
      </c>
      <c r="R2" s="22" t="s">
        <v>17</v>
      </c>
      <c r="S2" s="2" t="s">
        <v>16</v>
      </c>
      <c r="T2" s="22" t="s">
        <v>17</v>
      </c>
      <c r="U2" s="22" t="s">
        <v>17</v>
      </c>
      <c r="V2" s="22" t="s">
        <v>17</v>
      </c>
      <c r="W2" s="2" t="s">
        <v>48</v>
      </c>
      <c r="X2" s="22" t="s">
        <v>46</v>
      </c>
      <c r="Y2" s="22" t="s">
        <v>46</v>
      </c>
      <c r="Z2" s="22" t="s">
        <v>46</v>
      </c>
      <c r="AA2" s="22" t="s">
        <v>46</v>
      </c>
      <c r="AB2" s="22" t="s">
        <v>46</v>
      </c>
      <c r="AC2" s="22" t="s">
        <v>46</v>
      </c>
      <c r="AD2" s="22" t="s">
        <v>46</v>
      </c>
      <c r="AE2" s="22" t="s">
        <v>46</v>
      </c>
      <c r="AF2" s="22" t="s">
        <v>46</v>
      </c>
      <c r="AG2" s="22" t="s">
        <v>46</v>
      </c>
      <c r="AH2" s="30" t="s">
        <v>46</v>
      </c>
      <c r="AI2" s="31" t="s">
        <v>46</v>
      </c>
      <c r="AJ2" s="31" t="s">
        <v>46</v>
      </c>
      <c r="AK2" s="22" t="s">
        <v>46</v>
      </c>
      <c r="AL2" s="31" t="s">
        <v>46</v>
      </c>
      <c r="AM2" s="23" t="s">
        <v>46</v>
      </c>
      <c r="AN2" s="30" t="s">
        <v>46</v>
      </c>
      <c r="AO2" s="23" t="s">
        <v>46</v>
      </c>
      <c r="AP2" s="23" t="s">
        <v>46</v>
      </c>
      <c r="AQ2" s="23" t="s">
        <v>46</v>
      </c>
      <c r="AR2" s="23" t="s">
        <v>46</v>
      </c>
      <c r="AS2" s="23" t="s">
        <v>46</v>
      </c>
      <c r="AT2" s="23" t="s">
        <v>46</v>
      </c>
      <c r="AU2" s="23" t="s">
        <v>46</v>
      </c>
      <c r="AV2" s="23" t="s">
        <v>46</v>
      </c>
      <c r="AW2" s="23" t="s">
        <v>46</v>
      </c>
      <c r="AX2" s="23" t="s">
        <v>46</v>
      </c>
      <c r="AY2" s="23" t="s">
        <v>46</v>
      </c>
      <c r="AZ2" s="23" t="s">
        <v>46</v>
      </c>
    </row>
    <row r="3" spans="1:119" x14ac:dyDescent="0.55000000000000004">
      <c r="B3" t="s">
        <v>6</v>
      </c>
      <c r="C3" s="1">
        <v>1.8769999999999999E-8</v>
      </c>
      <c r="D3">
        <v>324.3</v>
      </c>
      <c r="G3" s="4" t="s">
        <v>18</v>
      </c>
      <c r="H3" s="2">
        <f>100-(9.1561-9.0956)/0.324*100</f>
        <v>81.327160493826824</v>
      </c>
      <c r="I3" s="22">
        <f>100-(9.3372-9.0998)/0.324*100</f>
        <v>26.728395061728648</v>
      </c>
      <c r="J3" s="2">
        <f>100-(9.109-9.0928)/0.324*100</f>
        <v>95.000000000000142</v>
      </c>
      <c r="K3" s="22">
        <f>100-(9.3242-9.0986)/0.324*100</f>
        <v>30.370370370370367</v>
      </c>
      <c r="L3" s="2">
        <f>100-(9.2477-9.1004)/0.324*100</f>
        <v>54.53703703703718</v>
      </c>
      <c r="M3" s="22">
        <f>100-(9.3564-9.0905)/0.324*100</f>
        <v>17.932098765432031</v>
      </c>
      <c r="N3" s="2">
        <f>100-(9.2808-9.102)/0.324*100</f>
        <v>44.814814814815144</v>
      </c>
      <c r="O3" s="22">
        <f>100-(9.3719-9.0922)/0.324*100</f>
        <v>13.672839506172835</v>
      </c>
      <c r="P3" s="22">
        <f>100-(9.3013-9.098)/0.324*100</f>
        <v>37.253086419753487</v>
      </c>
      <c r="Q3" s="2">
        <f>100-(9.1125-9.0972)/0.324*100</f>
        <v>95.277777777777814</v>
      </c>
      <c r="R3" s="22">
        <f>100-(9.3238-9.098)/0.324*100</f>
        <v>30.308641975308774</v>
      </c>
      <c r="S3" s="2">
        <f>100-(9.1123-9.0953)/0.324*100</f>
        <v>94.753086419753259</v>
      </c>
      <c r="T3" s="22">
        <f>100-(9.3333-9.0973)/0.324*100</f>
        <v>27.160493827160849</v>
      </c>
      <c r="U3" s="22">
        <f>100-(9.3315-9.0971)/0.324*100</f>
        <v>27.654320987654074</v>
      </c>
      <c r="V3" s="22">
        <f>100-(9.3514-9.0968)/0.324*100</f>
        <v>21.419753086419774</v>
      </c>
      <c r="W3" s="27">
        <f>100-(9.2034-9.0936)/0.324*100</f>
        <v>66.111111111111143</v>
      </c>
      <c r="X3" s="22">
        <f>100-(9.3398-9.0937)/0.324*100</f>
        <v>24.043209876543145</v>
      </c>
      <c r="Y3" s="22">
        <f>100-(9.3414-9.0966)/0.324*100</f>
        <v>24.444444444444542</v>
      </c>
      <c r="Z3" s="22">
        <f>100-(9.3431-9.1377)/0.324*100</f>
        <v>36.604938271605207</v>
      </c>
      <c r="AA3" s="22">
        <f>100-(9.3306-9.0957)/0.324*100</f>
        <v>27.500000000000099</v>
      </c>
      <c r="AB3" s="22">
        <f>100-(9.3072-9.092)/0.324*100</f>
        <v>33.580246913580439</v>
      </c>
      <c r="AC3" s="22">
        <f>100-(9.4078-9.1562)/0.324*100</f>
        <v>22.345679012345727</v>
      </c>
      <c r="AD3" s="22">
        <f>100-(9.3243-9.0919)/0.324*100</f>
        <v>28.271604938272105</v>
      </c>
      <c r="AE3" s="22">
        <f>100-(9.3006-9.0904)/0.324*100</f>
        <v>35.123456790123882</v>
      </c>
      <c r="AF3" s="22">
        <f>100-(9.2809-9.0962)/0.324*100</f>
        <v>42.99382716049346</v>
      </c>
      <c r="AG3" s="22">
        <f>100-(9.2588-9.1274)/0.324*100</f>
        <v>59.444444444444116</v>
      </c>
      <c r="AH3" s="31"/>
      <c r="AI3" s="31">
        <f>100-(9.3805-9.0903)/0.324*100</f>
        <v>10.432098765431959</v>
      </c>
      <c r="AJ3" s="31">
        <f>100-(9.3467-9.1276)/0.324*100</f>
        <v>32.376543209876246</v>
      </c>
      <c r="AK3" s="22">
        <f>100-(9.3627-9.0961)/0.324*100</f>
        <v>17.716049382715923</v>
      </c>
      <c r="AL3" s="31">
        <f>100-(9.3494-9.1368)/0.324*100</f>
        <v>34.38271604938268</v>
      </c>
      <c r="AM3" s="22">
        <f>100-(9.3482-9.0949)/0.324*100</f>
        <v>21.820987654321172</v>
      </c>
      <c r="AN3" s="31">
        <f>100-(9.3016-9.0955)/0.324*100</f>
        <v>36.388888888888559</v>
      </c>
      <c r="AO3" s="22">
        <f>100-(9.3414-9.1233)/0.324*100</f>
        <v>32.685185185185276</v>
      </c>
      <c r="AP3" s="22">
        <f>100-(9.3888-9.1272)/0.324*100</f>
        <v>19.25925925925938</v>
      </c>
      <c r="AQ3" s="31">
        <f>100-(9.3016-9.0955)/0.324*100</f>
        <v>36.388888888888559</v>
      </c>
      <c r="AR3" s="22">
        <f>100-(9.1599-9.1128)/0.324*100</f>
        <v>85.462962962962848</v>
      </c>
      <c r="AS3" s="22">
        <f>100-(9.3068-9.09)/0.324*100</f>
        <v>33.086419753086119</v>
      </c>
      <c r="AT3" s="22">
        <f>100-(9.3146-9.0919)/0.324*100</f>
        <v>31.26543209876553</v>
      </c>
      <c r="AU3" s="22">
        <f>100-(9.2618-9.1271)/0.324*100</f>
        <v>58.425925925926322</v>
      </c>
      <c r="AV3" s="22">
        <f>100-(9.3281-9.1626)/0.324*100</f>
        <v>48.919753086419824</v>
      </c>
      <c r="AW3" s="22">
        <f>100-(9.333-9.0898)/0.324*100</f>
        <v>24.938271604938322</v>
      </c>
      <c r="AX3" s="22">
        <f>100-(9.1694-9.0866)/0.324*100</f>
        <v>74.444444444444798</v>
      </c>
      <c r="AY3" s="22">
        <f>100-(9.3368-9.0901)/0.324*100</f>
        <v>23.858024691357855</v>
      </c>
      <c r="AZ3" s="22">
        <f>100-(9.2951-9.1633)/0.324*100</f>
        <v>59.320987654320945</v>
      </c>
      <c r="BA3" s="2"/>
      <c r="BB3" s="2"/>
      <c r="BC3" s="2"/>
      <c r="BD3" s="2"/>
      <c r="BE3" s="2"/>
      <c r="BF3" s="2"/>
      <c r="BG3" s="2"/>
      <c r="BH3" s="2">
        <v>4.88</v>
      </c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</row>
    <row r="4" spans="1:119" x14ac:dyDescent="0.55000000000000004">
      <c r="B4" t="s">
        <v>7</v>
      </c>
      <c r="C4" s="1">
        <v>3.6920000000000002E-8</v>
      </c>
      <c r="D4">
        <v>126.11</v>
      </c>
      <c r="E4">
        <v>14.6</v>
      </c>
      <c r="F4" s="3" t="s">
        <v>2</v>
      </c>
      <c r="G4" s="2" t="s">
        <v>4</v>
      </c>
      <c r="H4" s="2">
        <v>582691</v>
      </c>
      <c r="I4" s="22">
        <v>169619</v>
      </c>
      <c r="J4" s="2">
        <v>815387</v>
      </c>
      <c r="K4" s="22">
        <v>196801</v>
      </c>
      <c r="L4" s="2">
        <v>263556</v>
      </c>
      <c r="M4" s="22">
        <v>51101</v>
      </c>
      <c r="N4" s="2">
        <v>63605</v>
      </c>
      <c r="O4" s="22">
        <v>10325</v>
      </c>
      <c r="P4" s="22">
        <v>266866</v>
      </c>
      <c r="Q4" s="2">
        <v>851426</v>
      </c>
      <c r="R4" s="22">
        <v>170823</v>
      </c>
      <c r="S4" s="2">
        <v>768631</v>
      </c>
      <c r="T4" s="22">
        <v>165420</v>
      </c>
      <c r="U4" s="22">
        <v>183374</v>
      </c>
      <c r="V4" s="22">
        <v>129417</v>
      </c>
      <c r="W4" s="27">
        <v>710187</v>
      </c>
      <c r="X4" s="22">
        <v>144390</v>
      </c>
      <c r="Y4" s="22">
        <v>174796</v>
      </c>
      <c r="Z4" s="22">
        <v>276324</v>
      </c>
      <c r="AA4" s="22">
        <v>155849</v>
      </c>
      <c r="AB4" s="22">
        <v>246295</v>
      </c>
      <c r="AC4" s="22">
        <v>100779</v>
      </c>
      <c r="AD4" s="22">
        <v>197907</v>
      </c>
      <c r="AE4" s="22">
        <v>313583</v>
      </c>
      <c r="AF4" s="22">
        <v>453309</v>
      </c>
      <c r="AG4" s="22">
        <v>534126</v>
      </c>
      <c r="AH4" s="31">
        <v>64888</v>
      </c>
      <c r="AI4" s="31">
        <v>10426</v>
      </c>
      <c r="AJ4" s="31">
        <v>295742</v>
      </c>
      <c r="AK4" s="22">
        <v>61990</v>
      </c>
      <c r="AL4" s="31"/>
      <c r="AM4" s="22">
        <v>333623</v>
      </c>
      <c r="AN4" s="31">
        <v>268966</v>
      </c>
      <c r="AO4" s="22">
        <v>185086</v>
      </c>
      <c r="AP4" s="22">
        <v>48891</v>
      </c>
      <c r="AQ4" s="22">
        <v>231831</v>
      </c>
      <c r="AR4" s="22">
        <v>531997</v>
      </c>
      <c r="AS4" s="22">
        <v>184117</v>
      </c>
      <c r="AT4" s="31">
        <v>162779</v>
      </c>
      <c r="AU4" s="22">
        <v>422362</v>
      </c>
      <c r="AV4" s="22">
        <v>411835</v>
      </c>
      <c r="AW4" s="22">
        <v>160805</v>
      </c>
      <c r="AX4" s="22">
        <v>581620</v>
      </c>
      <c r="AY4" s="2">
        <v>137387</v>
      </c>
      <c r="AZ4" s="2">
        <v>454108</v>
      </c>
      <c r="BA4" s="2"/>
      <c r="BB4" s="2"/>
      <c r="BC4" s="2"/>
      <c r="BD4" s="2"/>
      <c r="BE4" s="2"/>
      <c r="BF4" s="2"/>
      <c r="BG4" s="2" t="s">
        <v>203</v>
      </c>
      <c r="BH4" s="2" t="s">
        <v>204</v>
      </c>
      <c r="BI4" s="2" t="s">
        <v>202</v>
      </c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</row>
    <row r="5" spans="1:119" x14ac:dyDescent="0.55000000000000004">
      <c r="B5" t="s">
        <v>8</v>
      </c>
      <c r="C5" s="1">
        <v>4.1619999999999998E-8</v>
      </c>
      <c r="D5">
        <v>162.13999999999999</v>
      </c>
      <c r="G5" s="2" t="s">
        <v>5</v>
      </c>
      <c r="H5" s="2">
        <f t="shared" ref="H5:N5" si="0">$C$2*H4*0.04/0.002*100</f>
        <v>39.331642499999994</v>
      </c>
      <c r="I5" s="22">
        <f t="shared" si="0"/>
        <v>11.449282499999999</v>
      </c>
      <c r="J5" s="2">
        <f t="shared" si="0"/>
        <v>55.038622500000002</v>
      </c>
      <c r="K5" s="26">
        <f t="shared" si="0"/>
        <v>13.284067499999999</v>
      </c>
      <c r="L5" s="2">
        <f t="shared" si="0"/>
        <v>17.790030000000002</v>
      </c>
      <c r="M5" s="22">
        <f t="shared" si="0"/>
        <v>3.4493175000000003</v>
      </c>
      <c r="N5" s="2">
        <f t="shared" si="0"/>
        <v>4.2933375000000007</v>
      </c>
      <c r="O5" s="22">
        <f t="shared" ref="O5:AW5" si="1">$C$2*O4*0.04/0.002*100</f>
        <v>0.6969375000000001</v>
      </c>
      <c r="P5" s="22">
        <f t="shared" si="1"/>
        <v>18.013455</v>
      </c>
      <c r="Q5" s="2">
        <f t="shared" si="1"/>
        <v>57.471254999999999</v>
      </c>
      <c r="R5" s="22">
        <f t="shared" si="1"/>
        <v>11.530552500000001</v>
      </c>
      <c r="S5" s="2">
        <f t="shared" si="1"/>
        <v>51.882592500000015</v>
      </c>
      <c r="T5" s="22">
        <f>$C$2*T4*0.04/0.002*100</f>
        <v>11.165849999999999</v>
      </c>
      <c r="U5" s="22">
        <f t="shared" si="1"/>
        <v>12.377745000000001</v>
      </c>
      <c r="V5" s="22">
        <f t="shared" si="1"/>
        <v>8.7356475000000007</v>
      </c>
      <c r="W5" s="27">
        <f t="shared" si="1"/>
        <v>47.937622499999996</v>
      </c>
      <c r="X5" s="22">
        <f t="shared" si="1"/>
        <v>9.7463250000000006</v>
      </c>
      <c r="Y5" s="22">
        <f t="shared" si="1"/>
        <v>11.798730000000001</v>
      </c>
      <c r="Z5" s="22">
        <f t="shared" si="1"/>
        <v>18.651870000000002</v>
      </c>
      <c r="AA5" s="22">
        <f t="shared" si="1"/>
        <v>10.519807500000001</v>
      </c>
      <c r="AB5" s="22">
        <f t="shared" si="1"/>
        <v>16.624912500000004</v>
      </c>
      <c r="AC5" s="22">
        <f t="shared" si="1"/>
        <v>6.8025825000000015</v>
      </c>
      <c r="AD5" s="22">
        <f t="shared" si="1"/>
        <v>13.358722500000001</v>
      </c>
      <c r="AE5" s="22">
        <f t="shared" si="1"/>
        <v>21.166852500000001</v>
      </c>
      <c r="AF5" s="22">
        <f t="shared" si="1"/>
        <v>30.598357500000002</v>
      </c>
      <c r="AG5" s="22">
        <f t="shared" si="1"/>
        <v>36.053505000000001</v>
      </c>
      <c r="AH5" s="31">
        <f t="shared" si="1"/>
        <v>4.3799400000000004</v>
      </c>
      <c r="AI5" s="31">
        <f t="shared" si="1"/>
        <v>0.70375500000000002</v>
      </c>
      <c r="AJ5" s="31">
        <f t="shared" si="1"/>
        <v>19.962585000000001</v>
      </c>
      <c r="AK5" s="22">
        <f t="shared" si="1"/>
        <v>4.1843250000000003</v>
      </c>
      <c r="AL5" s="31">
        <f t="shared" si="1"/>
        <v>0</v>
      </c>
      <c r="AM5" s="22">
        <f t="shared" si="1"/>
        <v>22.5195525</v>
      </c>
      <c r="AN5" s="31">
        <f>$C$2*AN4*0.04/0.002*100</f>
        <v>18.155205000000002</v>
      </c>
      <c r="AO5" s="22">
        <f t="shared" si="1"/>
        <v>12.493304999999999</v>
      </c>
      <c r="AP5" s="22">
        <f t="shared" si="1"/>
        <v>3.3001425000000002</v>
      </c>
      <c r="AQ5" s="22">
        <f t="shared" si="1"/>
        <v>15.648592499999999</v>
      </c>
      <c r="AR5" s="22">
        <f t="shared" si="1"/>
        <v>35.909797500000003</v>
      </c>
      <c r="AS5" s="22">
        <f t="shared" si="1"/>
        <v>12.4278975</v>
      </c>
      <c r="AT5" s="31">
        <f t="shared" si="1"/>
        <v>10.9875825</v>
      </c>
      <c r="AU5" s="22">
        <f t="shared" si="1"/>
        <v>28.509435</v>
      </c>
      <c r="AV5" s="22">
        <f t="shared" si="1"/>
        <v>27.798862499999998</v>
      </c>
      <c r="AW5" s="22">
        <f t="shared" si="1"/>
        <v>10.8543375</v>
      </c>
      <c r="AX5" s="22">
        <f>$C$2*AX4*0.04/0.002*100</f>
        <v>39.259349999999998</v>
      </c>
      <c r="AY5" s="22">
        <f>$C$2*AY4*0.04/0.002*100</f>
        <v>9.2736225000000001</v>
      </c>
      <c r="AZ5" s="22">
        <f>$C$2*AZ4*0.04/0.002*100</f>
        <v>30.652290000000004</v>
      </c>
      <c r="BA5" s="2"/>
      <c r="BB5" s="2"/>
      <c r="BC5" s="2"/>
      <c r="BD5" s="2"/>
      <c r="BE5" s="2"/>
      <c r="BF5" s="2"/>
      <c r="BG5" s="2">
        <v>39.331642499999994</v>
      </c>
      <c r="BH5" s="2">
        <v>42.55</v>
      </c>
      <c r="BI5" s="2">
        <v>41.090220000000002</v>
      </c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</row>
    <row r="6" spans="1:119" x14ac:dyDescent="0.55000000000000004">
      <c r="B6" t="s">
        <v>12</v>
      </c>
      <c r="C6" s="1">
        <f>C3*2</f>
        <v>3.7539999999999997E-8</v>
      </c>
      <c r="E6">
        <v>12.56</v>
      </c>
      <c r="F6" s="2" t="s">
        <v>6</v>
      </c>
      <c r="G6" s="2" t="s">
        <v>4</v>
      </c>
      <c r="H6" s="2">
        <v>54386</v>
      </c>
      <c r="I6" s="22">
        <v>10686</v>
      </c>
      <c r="J6" s="2">
        <v>17725</v>
      </c>
      <c r="K6" s="22">
        <v>7240</v>
      </c>
      <c r="L6" s="2">
        <v>106571</v>
      </c>
      <c r="M6" s="22">
        <v>19535</v>
      </c>
      <c r="N6" s="2">
        <v>53131</v>
      </c>
      <c r="O6" s="22">
        <v>9172</v>
      </c>
      <c r="P6" s="22">
        <v>5848</v>
      </c>
      <c r="Q6" s="2">
        <v>20575</v>
      </c>
      <c r="R6" s="22">
        <v>131426</v>
      </c>
      <c r="S6" s="2">
        <v>122914</v>
      </c>
      <c r="T6" s="22">
        <v>8859</v>
      </c>
      <c r="U6" s="22">
        <v>8117</v>
      </c>
      <c r="V6" s="22">
        <v>10531</v>
      </c>
      <c r="W6" s="27">
        <v>50242</v>
      </c>
      <c r="X6" s="22">
        <v>11311</v>
      </c>
      <c r="Y6" s="22">
        <v>10010</v>
      </c>
      <c r="Z6" s="32">
        <v>67871</v>
      </c>
      <c r="AA6" s="22">
        <v>10525</v>
      </c>
      <c r="AB6" s="22">
        <v>6726</v>
      </c>
      <c r="AC6" s="22">
        <v>16313</v>
      </c>
      <c r="AD6" s="22">
        <v>9003</v>
      </c>
      <c r="AE6" s="22">
        <v>5674</v>
      </c>
      <c r="AF6" s="22">
        <v>4201</v>
      </c>
      <c r="AG6" s="22">
        <v>3320</v>
      </c>
      <c r="AH6" s="31">
        <v>13102</v>
      </c>
      <c r="AI6" s="31"/>
      <c r="AJ6" s="31">
        <v>6418</v>
      </c>
      <c r="AK6" s="22">
        <v>13039</v>
      </c>
      <c r="AL6" s="31"/>
      <c r="AM6" s="31"/>
      <c r="AN6" s="31">
        <v>5618</v>
      </c>
      <c r="AO6" s="22">
        <v>8955</v>
      </c>
      <c r="AP6" s="22">
        <v>17774</v>
      </c>
      <c r="AQ6" s="22">
        <v>6757</v>
      </c>
      <c r="AR6" s="22">
        <v>2773</v>
      </c>
      <c r="AS6" s="22">
        <v>11497</v>
      </c>
      <c r="AT6" s="31">
        <v>9526</v>
      </c>
      <c r="AU6" s="31"/>
      <c r="AV6" s="22">
        <v>4982</v>
      </c>
      <c r="AW6" s="22">
        <v>10462</v>
      </c>
      <c r="AX6" s="31"/>
      <c r="AY6" s="31"/>
      <c r="AZ6" s="2"/>
      <c r="BA6" s="2"/>
      <c r="BB6" s="2"/>
      <c r="BC6" s="2"/>
      <c r="BD6" s="2"/>
      <c r="BE6" s="2"/>
      <c r="BF6" s="2">
        <v>2.95</v>
      </c>
      <c r="BG6" s="2">
        <v>3.6727258999999997</v>
      </c>
      <c r="BH6" s="2">
        <v>2.17</v>
      </c>
      <c r="BI6" s="2">
        <v>2.39981958</v>
      </c>
      <c r="BJ6" s="2">
        <v>4.84</v>
      </c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</row>
    <row r="7" spans="1:119" x14ac:dyDescent="0.55000000000000004">
      <c r="B7" t="s">
        <v>13</v>
      </c>
      <c r="C7" s="1">
        <f>C3*1.5</f>
        <v>2.8154999999999996E-8</v>
      </c>
      <c r="G7" s="2" t="s">
        <v>5</v>
      </c>
      <c r="H7" s="2">
        <f t="shared" ref="H7:O7" si="2">$C$3*H6*0.04/0.002*100</f>
        <v>2.0416504399999997</v>
      </c>
      <c r="I7" s="22">
        <f t="shared" si="2"/>
        <v>0.40115244</v>
      </c>
      <c r="J7" s="2">
        <f t="shared" si="2"/>
        <v>0.66539649999999995</v>
      </c>
      <c r="K7" s="22">
        <f t="shared" si="2"/>
        <v>0.27178959999999996</v>
      </c>
      <c r="L7" s="2">
        <f t="shared" si="2"/>
        <v>4.0006753400000008</v>
      </c>
      <c r="M7" s="22">
        <f t="shared" si="2"/>
        <v>0.73334389999999994</v>
      </c>
      <c r="N7" s="2">
        <f t="shared" si="2"/>
        <v>1.9945377399999999</v>
      </c>
      <c r="O7" s="22">
        <f t="shared" si="2"/>
        <v>0.34431687999999999</v>
      </c>
      <c r="P7" s="22">
        <f t="shared" ref="P7:AW7" si="3">$C$3*P6*0.04/0.002*100</f>
        <v>0.21953391999999997</v>
      </c>
      <c r="Q7" s="2">
        <f t="shared" si="3"/>
        <v>0.77238549999999995</v>
      </c>
      <c r="R7" s="22">
        <f t="shared" si="3"/>
        <v>4.9337320399999998</v>
      </c>
      <c r="S7" s="2">
        <f t="shared" si="3"/>
        <v>4.6141915599999992</v>
      </c>
      <c r="T7" s="22">
        <f t="shared" si="3"/>
        <v>0.33256685999999996</v>
      </c>
      <c r="U7" s="22">
        <f t="shared" si="3"/>
        <v>0.30471217999999994</v>
      </c>
      <c r="V7" s="22">
        <f t="shared" si="3"/>
        <v>0.39533373999999999</v>
      </c>
      <c r="W7" s="27">
        <f t="shared" si="3"/>
        <v>1.8860846799999997</v>
      </c>
      <c r="X7" s="22">
        <f t="shared" si="3"/>
        <v>0.42461493999999994</v>
      </c>
      <c r="Y7" s="22">
        <f t="shared" si="3"/>
        <v>0.37577539999999998</v>
      </c>
      <c r="Z7" s="22">
        <f t="shared" si="3"/>
        <v>2.5478773399999999</v>
      </c>
      <c r="AA7" s="22">
        <f t="shared" si="3"/>
        <v>0.39510849999999997</v>
      </c>
      <c r="AB7" s="22">
        <f t="shared" si="3"/>
        <v>0.25249403999999998</v>
      </c>
      <c r="AC7" s="22">
        <f t="shared" si="3"/>
        <v>0.61239001999999987</v>
      </c>
      <c r="AD7" s="22">
        <f t="shared" si="3"/>
        <v>0.33797261999999995</v>
      </c>
      <c r="AE7" s="22">
        <f t="shared" si="3"/>
        <v>0.21300195999999996</v>
      </c>
      <c r="AF7" s="22">
        <f t="shared" si="3"/>
        <v>0.15770553999999998</v>
      </c>
      <c r="AG7" s="22">
        <f t="shared" si="3"/>
        <v>0.12463279999999999</v>
      </c>
      <c r="AH7" s="31">
        <f t="shared" si="3"/>
        <v>0.49184907999999988</v>
      </c>
      <c r="AI7" s="31">
        <f t="shared" si="3"/>
        <v>0</v>
      </c>
      <c r="AJ7" s="31">
        <f t="shared" si="3"/>
        <v>0.24093171999999993</v>
      </c>
      <c r="AK7" s="22">
        <f t="shared" si="3"/>
        <v>0.48948406000000005</v>
      </c>
      <c r="AL7" s="31">
        <f t="shared" si="3"/>
        <v>0</v>
      </c>
      <c r="AM7" s="22">
        <f t="shared" si="3"/>
        <v>0</v>
      </c>
      <c r="AN7" s="31">
        <f t="shared" si="3"/>
        <v>0.21089972000000001</v>
      </c>
      <c r="AO7" s="22">
        <f t="shared" si="3"/>
        <v>0.33617069999999999</v>
      </c>
      <c r="AP7" s="22">
        <f t="shared" si="3"/>
        <v>0.66723595999999985</v>
      </c>
      <c r="AQ7" s="22">
        <f t="shared" si="3"/>
        <v>0.25365778</v>
      </c>
      <c r="AR7" s="22">
        <f t="shared" si="3"/>
        <v>0.10409841999999998</v>
      </c>
      <c r="AS7" s="22">
        <f t="shared" si="3"/>
        <v>0.43159737999999992</v>
      </c>
      <c r="AT7" s="31">
        <f t="shared" si="3"/>
        <v>0.35760603999999996</v>
      </c>
      <c r="AU7" s="22">
        <f t="shared" si="3"/>
        <v>0</v>
      </c>
      <c r="AV7" s="22">
        <f t="shared" si="3"/>
        <v>0.18702427999999999</v>
      </c>
      <c r="AW7" s="22">
        <f t="shared" si="3"/>
        <v>0.39274347999999998</v>
      </c>
      <c r="AX7" s="22">
        <f>$C$3*AX6*0.04/0.002*100</f>
        <v>0</v>
      </c>
      <c r="AY7" s="22">
        <f>$C$3*AY6*0.04/0.002*100</f>
        <v>0</v>
      </c>
      <c r="AZ7" s="22">
        <f>$C$3*AZ6*0.04/0.002*100</f>
        <v>0</v>
      </c>
      <c r="BA7" s="2"/>
      <c r="BB7" s="2"/>
      <c r="BC7" s="2"/>
      <c r="BD7" s="2"/>
      <c r="BE7" s="2"/>
      <c r="BF7" s="2"/>
      <c r="BG7" s="2">
        <v>2.8212299999999999</v>
      </c>
      <c r="BH7" s="2">
        <v>2.95</v>
      </c>
      <c r="BI7" s="2">
        <v>2.8071225000000002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</row>
    <row r="8" spans="1:119" x14ac:dyDescent="0.55000000000000004">
      <c r="B8" t="s">
        <v>14</v>
      </c>
      <c r="C8" s="1">
        <f>C2</f>
        <v>3.3750000000000001E-8</v>
      </c>
      <c r="E8">
        <v>46.7</v>
      </c>
      <c r="F8" s="3" t="s">
        <v>7</v>
      </c>
      <c r="G8" s="2" t="s">
        <v>4</v>
      </c>
      <c r="H8" s="2">
        <v>79553</v>
      </c>
      <c r="I8" s="22">
        <v>26635</v>
      </c>
      <c r="J8" s="2">
        <v>100036</v>
      </c>
      <c r="K8" s="22">
        <v>27153</v>
      </c>
      <c r="L8" s="2">
        <v>48027</v>
      </c>
      <c r="M8" s="22">
        <v>11185</v>
      </c>
      <c r="N8" s="2">
        <v>27655</v>
      </c>
      <c r="O8" s="22">
        <v>5657</v>
      </c>
      <c r="P8" s="22">
        <v>36915</v>
      </c>
      <c r="Q8" s="2">
        <v>102673</v>
      </c>
      <c r="R8" s="22">
        <v>37122</v>
      </c>
      <c r="S8" s="2">
        <v>121927</v>
      </c>
      <c r="T8" s="22">
        <v>28933</v>
      </c>
      <c r="U8" s="22">
        <v>26818</v>
      </c>
      <c r="V8" s="22">
        <v>19323</v>
      </c>
      <c r="W8" s="27">
        <v>81714</v>
      </c>
      <c r="X8" s="22">
        <v>24557</v>
      </c>
      <c r="Y8" s="22">
        <v>22801</v>
      </c>
      <c r="Z8" s="22">
        <v>30169</v>
      </c>
      <c r="AA8" s="22">
        <v>18776</v>
      </c>
      <c r="AB8" s="22">
        <v>31224</v>
      </c>
      <c r="AC8" s="22">
        <v>22186</v>
      </c>
      <c r="AD8" s="22">
        <v>23241</v>
      </c>
      <c r="AE8" s="22">
        <v>41712</v>
      </c>
      <c r="AF8" s="22">
        <v>62463</v>
      </c>
      <c r="AG8" s="22">
        <v>78579</v>
      </c>
      <c r="AH8" s="31">
        <v>20720</v>
      </c>
      <c r="AI8" s="31"/>
      <c r="AJ8" s="31">
        <v>33614</v>
      </c>
      <c r="AK8" s="22">
        <v>24518</v>
      </c>
      <c r="AL8" s="31"/>
      <c r="AM8" s="22">
        <v>47057</v>
      </c>
      <c r="AN8" s="31">
        <v>30389</v>
      </c>
      <c r="AO8" s="22">
        <v>28647</v>
      </c>
      <c r="AP8" s="22">
        <v>13492</v>
      </c>
      <c r="AQ8" s="22">
        <v>35862</v>
      </c>
      <c r="AR8" s="22">
        <v>116940</v>
      </c>
      <c r="AS8" s="22">
        <v>32383</v>
      </c>
      <c r="AT8" s="31">
        <v>26473</v>
      </c>
      <c r="AU8" s="22">
        <v>67502</v>
      </c>
      <c r="AV8" s="22">
        <v>57600</v>
      </c>
      <c r="AW8" s="22">
        <v>19883</v>
      </c>
      <c r="AX8" s="22">
        <v>126375</v>
      </c>
      <c r="AY8" s="2">
        <v>21190</v>
      </c>
      <c r="AZ8" s="2">
        <v>63494</v>
      </c>
      <c r="BA8" s="2"/>
      <c r="BB8" s="2"/>
      <c r="BC8" s="2"/>
      <c r="BD8" s="2"/>
      <c r="BE8" s="2"/>
      <c r="BF8" s="2"/>
      <c r="BG8" s="2">
        <v>5.8741935200000004</v>
      </c>
      <c r="BH8" s="2">
        <v>5.66</v>
      </c>
      <c r="BI8" s="2">
        <v>5.678960560000001</v>
      </c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</row>
    <row r="9" spans="1:119" x14ac:dyDescent="0.55000000000000004">
      <c r="B9" t="s">
        <v>15</v>
      </c>
      <c r="C9" s="1">
        <f>C2</f>
        <v>3.3750000000000001E-8</v>
      </c>
      <c r="G9" s="2" t="s">
        <v>5</v>
      </c>
      <c r="H9" s="2">
        <f>$C$4*H8*0.04/0.002*100</f>
        <v>5.8741935200000004</v>
      </c>
      <c r="I9" s="22">
        <f t="shared" ref="I9:AH9" si="4">$C$4*I8*0.04/0.002*100</f>
        <v>1.9667284000000003</v>
      </c>
      <c r="J9" s="2">
        <f t="shared" si="4"/>
        <v>7.3866582400000009</v>
      </c>
      <c r="K9" s="22">
        <f t="shared" si="4"/>
        <v>2.0049775200000006</v>
      </c>
      <c r="L9" s="2">
        <f t="shared" si="4"/>
        <v>3.5463136800000004</v>
      </c>
      <c r="M9" s="22">
        <f t="shared" si="4"/>
        <v>0.82590040000000009</v>
      </c>
      <c r="N9" s="2">
        <f t="shared" si="4"/>
        <v>2.0420452</v>
      </c>
      <c r="O9" s="22">
        <f t="shared" si="4"/>
        <v>0.41771288000000006</v>
      </c>
      <c r="P9" s="22">
        <f t="shared" si="4"/>
        <v>2.7258036000000003</v>
      </c>
      <c r="Q9" s="2">
        <f t="shared" si="4"/>
        <v>7.5813743200000001</v>
      </c>
      <c r="R9" s="22">
        <f t="shared" si="4"/>
        <v>2.7410884800000002</v>
      </c>
      <c r="S9" s="2">
        <f t="shared" si="4"/>
        <v>9.0030896800000004</v>
      </c>
      <c r="T9" s="22">
        <f t="shared" si="4"/>
        <v>2.13641272</v>
      </c>
      <c r="U9" s="22">
        <f t="shared" si="4"/>
        <v>1.9802411200000001</v>
      </c>
      <c r="V9" s="22">
        <f t="shared" si="4"/>
        <v>1.4268103200000002</v>
      </c>
      <c r="W9" s="27">
        <f t="shared" si="4"/>
        <v>6.0337617600000009</v>
      </c>
      <c r="X9" s="22">
        <f t="shared" si="4"/>
        <v>1.81328888</v>
      </c>
      <c r="Y9" s="22">
        <f t="shared" si="4"/>
        <v>1.6836258400000002</v>
      </c>
      <c r="Z9" s="22">
        <f t="shared" si="4"/>
        <v>2.22767896</v>
      </c>
      <c r="AA9" s="22">
        <f t="shared" si="4"/>
        <v>1.3864198400000003</v>
      </c>
      <c r="AB9" s="22">
        <f t="shared" si="4"/>
        <v>2.3055801599999999</v>
      </c>
      <c r="AC9" s="22">
        <f t="shared" si="4"/>
        <v>1.6382142400000002</v>
      </c>
      <c r="AD9" s="22">
        <f t="shared" si="4"/>
        <v>1.71611544</v>
      </c>
      <c r="AE9" s="22">
        <f t="shared" si="4"/>
        <v>3.0800140800000002</v>
      </c>
      <c r="AF9" s="22">
        <f t="shared" si="4"/>
        <v>4.6122679199999999</v>
      </c>
      <c r="AG9" s="22">
        <f t="shared" si="4"/>
        <v>5.80227336</v>
      </c>
      <c r="AH9" s="31">
        <f t="shared" si="4"/>
        <v>1.5299647999999999</v>
      </c>
      <c r="AI9" s="31">
        <f t="shared" ref="AI9:AW9" si="5">$C$4*AI8*0.04/0.002*100</f>
        <v>0</v>
      </c>
      <c r="AJ9" s="31">
        <f t="shared" si="5"/>
        <v>2.48205776</v>
      </c>
      <c r="AK9" s="22">
        <f t="shared" si="5"/>
        <v>1.8104091200000001</v>
      </c>
      <c r="AL9" s="31">
        <f t="shared" si="5"/>
        <v>0</v>
      </c>
      <c r="AM9" s="22">
        <f t="shared" si="5"/>
        <v>3.47468888</v>
      </c>
      <c r="AN9" s="31">
        <f t="shared" si="5"/>
        <v>2.2439237600000004</v>
      </c>
      <c r="AO9" s="22">
        <f t="shared" si="5"/>
        <v>2.1152944800000002</v>
      </c>
      <c r="AP9" s="22">
        <f t="shared" si="5"/>
        <v>0.99624928000000001</v>
      </c>
      <c r="AQ9" s="22">
        <f t="shared" si="5"/>
        <v>2.64805008</v>
      </c>
      <c r="AR9" s="22">
        <f t="shared" si="5"/>
        <v>8.6348496000000008</v>
      </c>
      <c r="AS9" s="22">
        <f t="shared" si="5"/>
        <v>2.3911607199999998</v>
      </c>
      <c r="AT9" s="31">
        <f t="shared" si="5"/>
        <v>1.9547663200000003</v>
      </c>
      <c r="AU9" s="22">
        <f t="shared" si="5"/>
        <v>4.9843476799999991</v>
      </c>
      <c r="AV9" s="22">
        <f t="shared" si="5"/>
        <v>4.2531840000000001</v>
      </c>
      <c r="AW9" s="22">
        <f t="shared" si="5"/>
        <v>1.4681607200000002</v>
      </c>
      <c r="AX9" s="22">
        <f>$C$4*AX8*0.04/0.002*100</f>
        <v>9.3315300000000025</v>
      </c>
      <c r="AY9" s="22">
        <f>$C$4*AY8*0.04/0.002*100</f>
        <v>1.5646695999999998</v>
      </c>
      <c r="AZ9" s="22">
        <f>$C$4*AZ8*0.04/0.002*100</f>
        <v>4.6883969600000004</v>
      </c>
      <c r="BA9" s="2"/>
      <c r="BB9" s="2"/>
      <c r="BC9" s="2"/>
      <c r="BD9" s="2"/>
      <c r="BE9" s="2"/>
      <c r="BF9" s="2"/>
      <c r="BG9" s="2">
        <v>3.3072916799999996</v>
      </c>
      <c r="BH9" s="2">
        <v>3.45</v>
      </c>
      <c r="BI9" s="2">
        <v>3.3668082799999999</v>
      </c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</row>
    <row r="10" spans="1:119" x14ac:dyDescent="0.55000000000000004">
      <c r="B10" t="s">
        <v>22</v>
      </c>
      <c r="C10" s="1">
        <f>3.39*C4/2.54</f>
        <v>4.9275118110236224E-8</v>
      </c>
      <c r="E10">
        <v>18.579999999999998</v>
      </c>
      <c r="F10" s="3" t="s">
        <v>8</v>
      </c>
      <c r="G10" s="2" t="s">
        <v>4</v>
      </c>
      <c r="H10" s="2">
        <v>39732</v>
      </c>
      <c r="I10" s="22">
        <v>11818</v>
      </c>
      <c r="J10" s="2">
        <v>44994</v>
      </c>
      <c r="K10" s="22">
        <v>12301</v>
      </c>
      <c r="L10" s="2">
        <v>16245</v>
      </c>
      <c r="M10" s="22">
        <v>5526</v>
      </c>
      <c r="N10" s="2">
        <v>13451</v>
      </c>
      <c r="O10" s="22">
        <v>2677</v>
      </c>
      <c r="P10" s="22">
        <v>16860</v>
      </c>
      <c r="Q10" s="2">
        <v>51293</v>
      </c>
      <c r="R10" s="22">
        <v>14380</v>
      </c>
      <c r="S10" s="2">
        <v>53314</v>
      </c>
      <c r="T10" s="22">
        <v>11771</v>
      </c>
      <c r="U10" s="22">
        <v>12532</v>
      </c>
      <c r="V10" s="22">
        <v>19323</v>
      </c>
      <c r="W10" s="27">
        <v>46415</v>
      </c>
      <c r="X10" s="22">
        <v>10687</v>
      </c>
      <c r="Y10" s="22">
        <v>12041</v>
      </c>
      <c r="Z10" s="22">
        <v>16979</v>
      </c>
      <c r="AA10" s="22">
        <v>12664</v>
      </c>
      <c r="AB10" s="22">
        <v>16826</v>
      </c>
      <c r="AC10" s="22">
        <v>9744</v>
      </c>
      <c r="AD10" s="22">
        <v>13898</v>
      </c>
      <c r="AE10" s="22">
        <v>18223</v>
      </c>
      <c r="AF10" s="22">
        <v>23080</v>
      </c>
      <c r="AG10" s="22">
        <v>26422</v>
      </c>
      <c r="AH10" s="31">
        <v>6977</v>
      </c>
      <c r="AI10" s="31"/>
      <c r="AJ10" s="31">
        <v>16818</v>
      </c>
      <c r="AK10" s="22">
        <v>6289</v>
      </c>
      <c r="AL10" s="31"/>
      <c r="AM10" s="22">
        <v>19981</v>
      </c>
      <c r="AN10" s="31">
        <v>15911</v>
      </c>
      <c r="AO10" s="22">
        <v>98135</v>
      </c>
      <c r="AP10" s="31"/>
      <c r="AQ10" s="22">
        <v>17353</v>
      </c>
      <c r="AR10" s="22">
        <v>38166</v>
      </c>
      <c r="AS10" s="22">
        <v>16391</v>
      </c>
      <c r="AT10" s="31">
        <v>94829</v>
      </c>
      <c r="AU10" s="22">
        <v>24228</v>
      </c>
      <c r="AV10" s="22">
        <v>9045</v>
      </c>
      <c r="AW10" s="22">
        <v>13161</v>
      </c>
      <c r="AX10" s="22">
        <v>36058</v>
      </c>
      <c r="AY10" s="2">
        <v>11237</v>
      </c>
      <c r="AZ10" s="2">
        <v>28183</v>
      </c>
      <c r="BA10" s="2"/>
      <c r="BB10" s="2"/>
      <c r="BC10" s="2"/>
      <c r="BD10" s="2"/>
      <c r="BE10" s="2"/>
      <c r="BF10" s="2"/>
      <c r="BG10" s="2">
        <v>1.1506725581102364</v>
      </c>
      <c r="BH10" s="2">
        <v>1.1200000000000001</v>
      </c>
      <c r="BI10" s="2">
        <v>0.92686497165354342</v>
      </c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</row>
    <row r="11" spans="1:119" x14ac:dyDescent="0.55000000000000004">
      <c r="G11" s="2" t="s">
        <v>5</v>
      </c>
      <c r="H11" s="2">
        <f t="shared" ref="H11:AH11" si="6">$C$5*H10*0.04/0.002*100</f>
        <v>3.3072916799999996</v>
      </c>
      <c r="I11" s="22">
        <f t="shared" si="6"/>
        <v>0.98373031999999994</v>
      </c>
      <c r="J11" s="2">
        <f t="shared" si="6"/>
        <v>3.74530056</v>
      </c>
      <c r="K11" s="22">
        <f t="shared" si="6"/>
        <v>1.0239352400000001</v>
      </c>
      <c r="L11" s="2">
        <f t="shared" si="6"/>
        <v>1.3522337999999998</v>
      </c>
      <c r="M11" s="22">
        <f t="shared" si="6"/>
        <v>0.45998423999999999</v>
      </c>
      <c r="N11" s="2">
        <f t="shared" si="6"/>
        <v>1.1196612400000001</v>
      </c>
      <c r="O11" s="22">
        <f t="shared" si="6"/>
        <v>0.22283348</v>
      </c>
      <c r="P11" s="22">
        <f t="shared" si="6"/>
        <v>1.4034263999999999</v>
      </c>
      <c r="Q11" s="2">
        <f t="shared" si="6"/>
        <v>4.2696293200000008</v>
      </c>
      <c r="R11" s="22">
        <f t="shared" si="6"/>
        <v>1.1969911999999998</v>
      </c>
      <c r="S11" s="2">
        <f t="shared" si="6"/>
        <v>4.4378573600000006</v>
      </c>
      <c r="T11" s="22">
        <f t="shared" si="6"/>
        <v>0.97981804000000006</v>
      </c>
      <c r="U11" s="22">
        <f t="shared" si="6"/>
        <v>1.0431636799999999</v>
      </c>
      <c r="V11" s="22">
        <f t="shared" si="6"/>
        <v>1.6084465199999998</v>
      </c>
      <c r="W11" s="27">
        <f t="shared" si="6"/>
        <v>3.8635846000000003</v>
      </c>
      <c r="X11" s="22">
        <f t="shared" si="6"/>
        <v>0.88958587999999994</v>
      </c>
      <c r="Y11" s="22">
        <f t="shared" si="6"/>
        <v>1.00229284</v>
      </c>
      <c r="Z11" s="22">
        <f t="shared" si="6"/>
        <v>1.4133319599999998</v>
      </c>
      <c r="AA11" s="22">
        <f t="shared" si="6"/>
        <v>1.0541513600000001</v>
      </c>
      <c r="AB11" s="22">
        <f t="shared" si="6"/>
        <v>1.40059624</v>
      </c>
      <c r="AC11" s="22">
        <f t="shared" si="6"/>
        <v>0.8110905599999999</v>
      </c>
      <c r="AD11" s="22">
        <f t="shared" si="6"/>
        <v>1.1568695199999999</v>
      </c>
      <c r="AE11" s="22">
        <f t="shared" si="6"/>
        <v>1.51688252</v>
      </c>
      <c r="AF11" s="22">
        <f t="shared" si="6"/>
        <v>1.9211791999999999</v>
      </c>
      <c r="AG11" s="22">
        <f t="shared" si="6"/>
        <v>2.1993672799999997</v>
      </c>
      <c r="AH11" s="31">
        <f t="shared" si="6"/>
        <v>0.58076548000000006</v>
      </c>
      <c r="AI11" s="31">
        <f t="shared" ref="AI11:AW11" si="7">$C$5*AI10*0.04/0.002*100</f>
        <v>0</v>
      </c>
      <c r="AJ11" s="31">
        <f t="shared" si="7"/>
        <v>1.39993032</v>
      </c>
      <c r="AK11" s="22">
        <f t="shared" si="7"/>
        <v>0.52349635999999999</v>
      </c>
      <c r="AL11" s="31">
        <f t="shared" si="7"/>
        <v>0</v>
      </c>
      <c r="AM11" s="22">
        <f t="shared" si="7"/>
        <v>1.6632184400000001</v>
      </c>
      <c r="AN11" s="31">
        <f t="shared" si="7"/>
        <v>1.32443164</v>
      </c>
      <c r="AO11" s="31">
        <f t="shared" si="7"/>
        <v>8.1687573999999987</v>
      </c>
      <c r="AP11" s="31">
        <f t="shared" si="7"/>
        <v>0</v>
      </c>
      <c r="AQ11" s="22">
        <f t="shared" si="7"/>
        <v>1.4444637199999999</v>
      </c>
      <c r="AR11" s="22">
        <f t="shared" si="7"/>
        <v>3.1769378399999999</v>
      </c>
      <c r="AS11" s="22">
        <f t="shared" si="7"/>
        <v>1.3643868399999999</v>
      </c>
      <c r="AT11" s="31">
        <f t="shared" si="7"/>
        <v>7.8935659600000001</v>
      </c>
      <c r="AU11" s="22">
        <f t="shared" si="7"/>
        <v>2.0167387200000002</v>
      </c>
      <c r="AV11" s="22">
        <f t="shared" si="7"/>
        <v>0.75290579999999996</v>
      </c>
      <c r="AW11" s="22">
        <f t="shared" si="7"/>
        <v>1.0955216400000001</v>
      </c>
      <c r="AX11" s="22">
        <f>$C$5*AX10*0.04/0.002*100</f>
        <v>3.0014679200000001</v>
      </c>
      <c r="AY11" s="22">
        <f>$C$5*AY10*0.04/0.002*100</f>
        <v>0.93536787999999993</v>
      </c>
      <c r="AZ11" s="22">
        <f>$C$5*AZ10*0.04/0.002*100</f>
        <v>2.3459529199999998</v>
      </c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</row>
    <row r="12" spans="1:119" x14ac:dyDescent="0.55000000000000004">
      <c r="D12" t="s">
        <v>15</v>
      </c>
      <c r="E12">
        <v>15.4</v>
      </c>
      <c r="F12" s="3" t="s">
        <v>14</v>
      </c>
      <c r="G12" s="2" t="s">
        <v>4</v>
      </c>
      <c r="H12" s="2">
        <v>41796</v>
      </c>
      <c r="I12" s="22">
        <v>25229</v>
      </c>
      <c r="J12" s="2">
        <v>36934</v>
      </c>
      <c r="K12" s="22">
        <v>22294</v>
      </c>
      <c r="L12" s="2">
        <v>33675</v>
      </c>
      <c r="M12" s="22">
        <v>18889</v>
      </c>
      <c r="N12" s="2">
        <v>23664</v>
      </c>
      <c r="O12" s="22">
        <v>8595</v>
      </c>
      <c r="P12" s="22">
        <v>25846</v>
      </c>
      <c r="Q12" s="2">
        <v>43758</v>
      </c>
      <c r="R12" s="22">
        <v>27340</v>
      </c>
      <c r="S12" s="2">
        <v>63953</v>
      </c>
      <c r="T12" s="22">
        <v>25862</v>
      </c>
      <c r="U12" s="22">
        <v>26038</v>
      </c>
      <c r="V12" s="22">
        <v>24645</v>
      </c>
      <c r="W12" s="27">
        <v>50650</v>
      </c>
      <c r="X12" s="22">
        <v>25133</v>
      </c>
      <c r="Y12" s="22">
        <v>26627</v>
      </c>
      <c r="Z12" s="22">
        <v>42123</v>
      </c>
      <c r="AA12" s="22">
        <v>27508</v>
      </c>
      <c r="AB12" s="22">
        <v>27637</v>
      </c>
      <c r="AC12" s="22">
        <v>23159</v>
      </c>
      <c r="AD12" s="22">
        <v>27305</v>
      </c>
      <c r="AE12" s="22">
        <v>26711</v>
      </c>
      <c r="AF12" s="22">
        <v>26756</v>
      </c>
      <c r="AG12" s="22">
        <v>25594</v>
      </c>
      <c r="AH12" s="31">
        <v>20283</v>
      </c>
      <c r="AI12" s="31"/>
      <c r="AJ12" s="31">
        <v>16818</v>
      </c>
      <c r="AK12" s="22">
        <v>19487</v>
      </c>
      <c r="AL12" s="31"/>
      <c r="AM12" s="31">
        <v>64487</v>
      </c>
      <c r="AN12" s="31">
        <v>24812</v>
      </c>
      <c r="AO12" s="22">
        <v>23514</v>
      </c>
      <c r="AP12" s="22">
        <v>19785</v>
      </c>
      <c r="AQ12" s="22">
        <v>24480</v>
      </c>
      <c r="AR12" s="22">
        <v>21266</v>
      </c>
      <c r="AS12" s="22">
        <v>26107</v>
      </c>
      <c r="AT12" s="31">
        <v>24634</v>
      </c>
      <c r="AU12" s="31">
        <v>131517</v>
      </c>
      <c r="AV12" s="22">
        <v>28621</v>
      </c>
      <c r="AW12" s="22">
        <v>25523</v>
      </c>
      <c r="AX12" s="31">
        <v>650411</v>
      </c>
      <c r="AY12" s="31"/>
      <c r="AZ12" s="2">
        <v>28170</v>
      </c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</row>
    <row r="13" spans="1:119" x14ac:dyDescent="0.55000000000000004">
      <c r="G13" s="2" t="s">
        <v>5</v>
      </c>
      <c r="H13" s="2">
        <f t="shared" ref="H13:M13" si="8">$C$8*H12*0.04/0.002*100</f>
        <v>2.8212299999999999</v>
      </c>
      <c r="I13" s="22">
        <f t="shared" si="8"/>
        <v>1.7029575000000001</v>
      </c>
      <c r="J13" s="2">
        <f t="shared" si="8"/>
        <v>2.493045</v>
      </c>
      <c r="K13" s="22">
        <f t="shared" si="8"/>
        <v>1.5048450000000002</v>
      </c>
      <c r="L13" s="2">
        <f t="shared" si="8"/>
        <v>2.2730625</v>
      </c>
      <c r="M13" s="22">
        <f t="shared" si="8"/>
        <v>1.2750075000000001</v>
      </c>
      <c r="N13" s="2">
        <f t="shared" ref="N13:AH13" si="9">$C$8*N12*0.04/0.002*100</f>
        <v>1.5973199999999996</v>
      </c>
      <c r="O13" s="22">
        <f t="shared" si="9"/>
        <v>0.58016250000000003</v>
      </c>
      <c r="P13" s="22">
        <f t="shared" si="9"/>
        <v>1.7446049999999997</v>
      </c>
      <c r="Q13" s="2">
        <f t="shared" si="9"/>
        <v>2.9536650000000004</v>
      </c>
      <c r="R13" s="22">
        <f t="shared" si="9"/>
        <v>1.8454500000000003</v>
      </c>
      <c r="S13" s="2">
        <f t="shared" si="9"/>
        <v>4.3168274999999996</v>
      </c>
      <c r="T13" s="22">
        <f t="shared" si="9"/>
        <v>1.7456850000000004</v>
      </c>
      <c r="U13" s="22">
        <f t="shared" si="9"/>
        <v>1.7575650000000003</v>
      </c>
      <c r="V13" s="22">
        <f t="shared" si="9"/>
        <v>1.6635375000000001</v>
      </c>
      <c r="W13" s="27">
        <f t="shared" si="9"/>
        <v>3.4188750000000003</v>
      </c>
      <c r="X13" s="22">
        <f t="shared" si="9"/>
        <v>1.6964774999999999</v>
      </c>
      <c r="Y13" s="22">
        <f t="shared" si="9"/>
        <v>1.7973225000000002</v>
      </c>
      <c r="Z13" s="22">
        <f t="shared" si="9"/>
        <v>2.8433024999999996</v>
      </c>
      <c r="AA13" s="22">
        <f t="shared" si="9"/>
        <v>1.8567900000000002</v>
      </c>
      <c r="AB13" s="22">
        <f t="shared" si="9"/>
        <v>1.8654975</v>
      </c>
      <c r="AC13" s="22">
        <f t="shared" si="9"/>
        <v>1.5632325000000002</v>
      </c>
      <c r="AD13" s="22">
        <f t="shared" si="9"/>
        <v>1.8430875000000002</v>
      </c>
      <c r="AE13" s="22">
        <f t="shared" si="9"/>
        <v>1.8029924999999998</v>
      </c>
      <c r="AF13" s="22">
        <f t="shared" si="9"/>
        <v>1.8060300000000002</v>
      </c>
      <c r="AG13" s="22">
        <f t="shared" si="9"/>
        <v>1.7275949999999998</v>
      </c>
      <c r="AH13" s="31">
        <f t="shared" si="9"/>
        <v>1.3691024999999999</v>
      </c>
      <c r="AI13" s="31">
        <f t="shared" ref="AI13:AW13" si="10">$C$8*AI12*0.04/0.002*100</f>
        <v>0</v>
      </c>
      <c r="AJ13" s="31">
        <f t="shared" si="10"/>
        <v>1.1352149999999999</v>
      </c>
      <c r="AK13" s="22">
        <f t="shared" si="10"/>
        <v>1.3153724999999998</v>
      </c>
      <c r="AL13" s="31">
        <f t="shared" si="10"/>
        <v>0</v>
      </c>
      <c r="AM13" s="31">
        <f t="shared" si="10"/>
        <v>4.3528725000000001</v>
      </c>
      <c r="AN13" s="31">
        <f t="shared" si="10"/>
        <v>1.6748099999999999</v>
      </c>
      <c r="AO13" s="22">
        <f t="shared" si="10"/>
        <v>1.5871949999999999</v>
      </c>
      <c r="AP13" s="22">
        <f t="shared" si="10"/>
        <v>1.3354874999999999</v>
      </c>
      <c r="AQ13" s="22">
        <f t="shared" si="10"/>
        <v>1.6524000000000001</v>
      </c>
      <c r="AR13" s="22">
        <f t="shared" si="10"/>
        <v>1.4354549999999999</v>
      </c>
      <c r="AS13" s="22">
        <f t="shared" si="10"/>
        <v>1.7622225000000002</v>
      </c>
      <c r="AT13" s="31">
        <f t="shared" si="10"/>
        <v>1.6627949999999998</v>
      </c>
      <c r="AU13" s="31">
        <f t="shared" si="10"/>
        <v>8.8773975000000007</v>
      </c>
      <c r="AV13" s="22">
        <f t="shared" si="10"/>
        <v>1.9319175000000002</v>
      </c>
      <c r="AW13" s="22">
        <f t="shared" si="10"/>
        <v>1.7228025</v>
      </c>
      <c r="AX13" s="31">
        <f>$C$8*AX12*0.04/0.002*100</f>
        <v>43.902742500000002</v>
      </c>
      <c r="AY13" s="31">
        <f>$C$8*AY12*0.04/0.002*100</f>
        <v>0</v>
      </c>
      <c r="AZ13" s="31">
        <f>$C$8*AZ12*0.04/0.002*100</f>
        <v>1.9014750000000005</v>
      </c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</row>
    <row r="14" spans="1:119" x14ac:dyDescent="0.55000000000000004">
      <c r="D14" t="s">
        <v>6</v>
      </c>
      <c r="E14" t="s">
        <v>13</v>
      </c>
      <c r="F14" s="3" t="s">
        <v>12</v>
      </c>
      <c r="G14" s="2" t="s">
        <v>4</v>
      </c>
      <c r="H14" s="2">
        <v>129040</v>
      </c>
      <c r="I14" s="22">
        <v>18319</v>
      </c>
      <c r="J14" s="2">
        <v>26589</v>
      </c>
      <c r="K14" s="22">
        <v>10461</v>
      </c>
      <c r="L14" s="2">
        <v>258419</v>
      </c>
      <c r="M14" s="22">
        <v>41229</v>
      </c>
      <c r="N14" s="2">
        <v>218504</v>
      </c>
      <c r="O14" s="22">
        <v>27318</v>
      </c>
      <c r="P14" s="22">
        <v>9789</v>
      </c>
      <c r="Q14" s="2">
        <v>33998</v>
      </c>
      <c r="R14" s="22">
        <v>139157</v>
      </c>
      <c r="S14" s="2">
        <v>140219</v>
      </c>
      <c r="T14" s="22">
        <v>16438</v>
      </c>
      <c r="U14" s="22">
        <v>14919</v>
      </c>
      <c r="V14" s="22">
        <v>19692</v>
      </c>
      <c r="W14" s="27">
        <v>96940</v>
      </c>
      <c r="X14" s="22">
        <v>21237</v>
      </c>
      <c r="Y14" s="22">
        <v>17446</v>
      </c>
      <c r="Z14" s="22">
        <v>71674</v>
      </c>
      <c r="AA14" s="22">
        <v>18776</v>
      </c>
      <c r="AB14" s="22">
        <v>11105</v>
      </c>
      <c r="AC14" s="22">
        <v>30299</v>
      </c>
      <c r="AD14" s="22">
        <v>15587</v>
      </c>
      <c r="AE14" s="22">
        <v>9544</v>
      </c>
      <c r="AF14" s="22">
        <v>7493</v>
      </c>
      <c r="AG14" s="22">
        <v>6013</v>
      </c>
      <c r="AH14" s="31">
        <v>24618</v>
      </c>
      <c r="AI14" s="31"/>
      <c r="AJ14" s="31">
        <v>14825</v>
      </c>
      <c r="AK14" s="22">
        <v>25600</v>
      </c>
      <c r="AL14" s="31"/>
      <c r="AM14" s="31"/>
      <c r="AN14" s="31">
        <v>8684</v>
      </c>
      <c r="AO14" s="22">
        <v>16181</v>
      </c>
      <c r="AP14" s="22">
        <v>39102</v>
      </c>
      <c r="AQ14" s="22">
        <v>11912</v>
      </c>
      <c r="AR14" s="22">
        <v>4704</v>
      </c>
      <c r="AS14" s="22">
        <v>21730</v>
      </c>
      <c r="AT14" s="31">
        <v>18181</v>
      </c>
      <c r="AU14" s="31"/>
      <c r="AV14" s="22">
        <v>6683</v>
      </c>
      <c r="AW14" s="22">
        <v>17807</v>
      </c>
      <c r="AX14" s="31"/>
      <c r="AY14" s="31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</row>
    <row r="15" spans="1:119" x14ac:dyDescent="0.55000000000000004">
      <c r="E15" s="5" t="s">
        <v>23</v>
      </c>
      <c r="G15" s="2" t="s">
        <v>5</v>
      </c>
      <c r="H15" s="2">
        <f>$C$3*H14*0.04/0.002*100</f>
        <v>4.8441615999999996</v>
      </c>
      <c r="I15" s="22">
        <f t="shared" ref="I15:AH15" si="11">$C$3*I14*0.04/0.002*100</f>
        <v>0.68769525999999992</v>
      </c>
      <c r="J15" s="2">
        <f t="shared" si="11"/>
        <v>0.99815105999999987</v>
      </c>
      <c r="K15" s="22">
        <f t="shared" si="11"/>
        <v>0.39270593999999992</v>
      </c>
      <c r="L15" s="2">
        <f>$C$3*L14*0.04/0.002*100</f>
        <v>9.7010492599999978</v>
      </c>
      <c r="M15" s="22">
        <f t="shared" si="11"/>
        <v>1.5477366599999998</v>
      </c>
      <c r="N15" s="2">
        <f t="shared" si="11"/>
        <v>8.2026401600000014</v>
      </c>
      <c r="O15" s="22">
        <f t="shared" si="11"/>
        <v>1.0255177199999999</v>
      </c>
      <c r="P15" s="22">
        <f t="shared" si="11"/>
        <v>0.36747905999999997</v>
      </c>
      <c r="Q15" s="2">
        <f t="shared" si="11"/>
        <v>1.2762849199999999</v>
      </c>
      <c r="R15" s="22">
        <f t="shared" si="11"/>
        <v>5.2239537799999995</v>
      </c>
      <c r="S15" s="2">
        <f t="shared" si="11"/>
        <v>5.2638212600000003</v>
      </c>
      <c r="T15" s="22">
        <f t="shared" si="11"/>
        <v>0.61708252000000008</v>
      </c>
      <c r="U15" s="22">
        <f t="shared" si="11"/>
        <v>0.56005925999999995</v>
      </c>
      <c r="V15" s="22">
        <f t="shared" si="11"/>
        <v>0.7392376799999999</v>
      </c>
      <c r="W15" s="27">
        <f t="shared" si="11"/>
        <v>3.6391276000000001</v>
      </c>
      <c r="X15" s="22">
        <f t="shared" si="11"/>
        <v>0.79723697999999998</v>
      </c>
      <c r="Y15" s="22">
        <f t="shared" si="11"/>
        <v>0.6549228399999999</v>
      </c>
      <c r="Z15" s="22">
        <f t="shared" si="11"/>
        <v>2.6906419599999998</v>
      </c>
      <c r="AA15" s="22">
        <f t="shared" si="11"/>
        <v>0.70485103999999998</v>
      </c>
      <c r="AB15" s="22">
        <f t="shared" si="11"/>
        <v>0.41688169999999991</v>
      </c>
      <c r="AC15" s="22">
        <f t="shared" si="11"/>
        <v>1.1374244599999999</v>
      </c>
      <c r="AD15" s="22">
        <f t="shared" si="11"/>
        <v>0.58513597999999989</v>
      </c>
      <c r="AE15" s="22">
        <f t="shared" si="11"/>
        <v>0.35828175999999995</v>
      </c>
      <c r="AF15" s="22">
        <f t="shared" si="11"/>
        <v>0.28128721999999995</v>
      </c>
      <c r="AG15" s="22">
        <f t="shared" si="11"/>
        <v>0.22572802</v>
      </c>
      <c r="AH15" s="31">
        <f t="shared" si="11"/>
        <v>0.92415972000000002</v>
      </c>
      <c r="AI15" s="31">
        <f t="shared" ref="AI15:AW15" si="12">$C$3*AI14*0.04/0.002*100</f>
        <v>0</v>
      </c>
      <c r="AJ15" s="31">
        <f t="shared" si="12"/>
        <v>0.55653049999999993</v>
      </c>
      <c r="AK15" s="22">
        <f t="shared" si="12"/>
        <v>0.96102399999999988</v>
      </c>
      <c r="AL15" s="31">
        <f t="shared" si="12"/>
        <v>0</v>
      </c>
      <c r="AM15" s="22">
        <f t="shared" si="12"/>
        <v>0</v>
      </c>
      <c r="AN15" s="31">
        <f t="shared" si="12"/>
        <v>0.32599736000000001</v>
      </c>
      <c r="AO15" s="22">
        <f t="shared" si="12"/>
        <v>0.60743473999999997</v>
      </c>
      <c r="AP15" s="22">
        <f t="shared" si="12"/>
        <v>1.46788908</v>
      </c>
      <c r="AQ15" s="22">
        <f t="shared" si="12"/>
        <v>0.44717647999999988</v>
      </c>
      <c r="AR15" s="22">
        <f t="shared" si="12"/>
        <v>0.17658815999999999</v>
      </c>
      <c r="AS15" s="22">
        <f t="shared" si="12"/>
        <v>0.81574419999999992</v>
      </c>
      <c r="AT15" s="31">
        <f t="shared" si="12"/>
        <v>0.6825147399999999</v>
      </c>
      <c r="AU15" s="22">
        <f t="shared" si="12"/>
        <v>0</v>
      </c>
      <c r="AV15" s="22">
        <f t="shared" si="12"/>
        <v>0.25087981999999998</v>
      </c>
      <c r="AW15" s="22">
        <f t="shared" si="12"/>
        <v>0.66847477999999994</v>
      </c>
      <c r="AX15" s="22">
        <f>$C$3*AX14*0.04/0.002*100</f>
        <v>0</v>
      </c>
      <c r="AY15" s="22">
        <f>$C$3*AY14*0.04/0.002*100</f>
        <v>0</v>
      </c>
      <c r="AZ15" s="22">
        <f>$C$3*AZ14*0.04/0.002*100</f>
        <v>0</v>
      </c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</row>
    <row r="16" spans="1:119" x14ac:dyDescent="0.55000000000000004">
      <c r="E16">
        <v>71.7</v>
      </c>
      <c r="F16" s="3" t="s">
        <v>22</v>
      </c>
      <c r="G16" s="2" t="s">
        <v>4</v>
      </c>
      <c r="H16" s="2">
        <v>11676</v>
      </c>
      <c r="I16" s="22">
        <v>7699</v>
      </c>
      <c r="J16" s="2">
        <v>15232</v>
      </c>
      <c r="K16" s="22">
        <v>7598</v>
      </c>
      <c r="L16" s="2">
        <v>8162</v>
      </c>
      <c r="M16" s="22">
        <v>3766</v>
      </c>
      <c r="N16" s="2">
        <v>5903</v>
      </c>
      <c r="O16" s="22">
        <v>2643</v>
      </c>
      <c r="P16" s="22">
        <v>12049</v>
      </c>
      <c r="Q16" s="2">
        <v>15571</v>
      </c>
      <c r="R16" s="22">
        <v>10860</v>
      </c>
      <c r="S16" s="2">
        <v>19453</v>
      </c>
      <c r="T16" s="22">
        <v>8765</v>
      </c>
      <c r="U16" s="22">
        <v>7730</v>
      </c>
      <c r="V16" s="22">
        <v>5574</v>
      </c>
      <c r="W16" s="27">
        <v>11620</v>
      </c>
      <c r="X16" s="22">
        <v>7443</v>
      </c>
      <c r="Y16" s="22">
        <v>6663</v>
      </c>
      <c r="Z16" s="22">
        <v>9179</v>
      </c>
      <c r="AA16" s="22">
        <v>8467</v>
      </c>
      <c r="AB16" s="22">
        <v>9496</v>
      </c>
      <c r="AC16" s="22">
        <v>7367</v>
      </c>
      <c r="AD16" s="22">
        <v>7275</v>
      </c>
      <c r="AE16" s="22">
        <v>11437</v>
      </c>
      <c r="AF16" s="22">
        <v>15723</v>
      </c>
      <c r="AG16" s="22">
        <v>17053</v>
      </c>
      <c r="AH16" s="31">
        <v>6425</v>
      </c>
      <c r="AI16" s="31"/>
      <c r="AJ16" s="31">
        <v>9388</v>
      </c>
      <c r="AK16" s="22">
        <v>6537</v>
      </c>
      <c r="AL16" s="31"/>
      <c r="AM16" s="22">
        <v>12002</v>
      </c>
      <c r="AN16" s="31">
        <v>7384</v>
      </c>
      <c r="AO16" s="22">
        <v>7698</v>
      </c>
      <c r="AP16" s="22">
        <v>5058</v>
      </c>
      <c r="AQ16" s="22">
        <v>11860</v>
      </c>
      <c r="AR16" s="22">
        <v>28914</v>
      </c>
      <c r="AS16" s="22">
        <v>8416</v>
      </c>
      <c r="AT16" s="31">
        <v>7755</v>
      </c>
      <c r="AU16" s="22">
        <v>23262</v>
      </c>
      <c r="AV16" s="22">
        <v>14411</v>
      </c>
      <c r="AW16" s="22">
        <v>6674</v>
      </c>
      <c r="AX16" s="22">
        <v>30682</v>
      </c>
      <c r="AY16" s="2">
        <v>5369</v>
      </c>
      <c r="AZ16" s="2">
        <v>19214</v>
      </c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</row>
    <row r="17" spans="5:119" x14ac:dyDescent="0.55000000000000004">
      <c r="G17" s="2" t="s">
        <v>5</v>
      </c>
      <c r="H17" s="2">
        <f>$C$10*H16*0.04/0.002*100</f>
        <v>1.1506725581102364</v>
      </c>
      <c r="I17" s="22">
        <f t="shared" ref="I17:AH17" si="13">$C$10*I16*0.04/0.002*100</f>
        <v>0.75873826866141736</v>
      </c>
      <c r="J17" s="2">
        <f t="shared" si="13"/>
        <v>1.5011171981102363</v>
      </c>
      <c r="K17" s="22">
        <f t="shared" si="13"/>
        <v>0.74878469480314969</v>
      </c>
      <c r="L17" s="2">
        <f t="shared" si="13"/>
        <v>0.80436702803149618</v>
      </c>
      <c r="M17" s="22">
        <f t="shared" si="13"/>
        <v>0.37114018960629924</v>
      </c>
      <c r="N17" s="2">
        <f t="shared" si="13"/>
        <v>0.58174204440944888</v>
      </c>
      <c r="O17" s="22">
        <f t="shared" si="13"/>
        <v>0.26046827433070863</v>
      </c>
      <c r="P17" s="22">
        <f t="shared" si="13"/>
        <v>1.1874317962204723</v>
      </c>
      <c r="Q17" s="2">
        <f t="shared" si="13"/>
        <v>1.5345257281889766</v>
      </c>
      <c r="R17" s="22">
        <f t="shared" si="13"/>
        <v>1.0702555653543309</v>
      </c>
      <c r="S17" s="2">
        <f t="shared" si="13"/>
        <v>1.9170977451968507</v>
      </c>
      <c r="T17" s="22">
        <f t="shared" si="13"/>
        <v>0.86379282047244088</v>
      </c>
      <c r="U17" s="22">
        <f t="shared" si="13"/>
        <v>0.76179332598425198</v>
      </c>
      <c r="V17" s="22">
        <f t="shared" si="13"/>
        <v>0.54931901669291339</v>
      </c>
      <c r="W17" s="27">
        <f t="shared" si="13"/>
        <v>1.1451537448818898</v>
      </c>
      <c r="X17" s="22">
        <f t="shared" si="13"/>
        <v>0.73350940818897647</v>
      </c>
      <c r="Y17" s="22">
        <f t="shared" si="13"/>
        <v>0.65664022393700794</v>
      </c>
      <c r="Z17" s="22">
        <f t="shared" si="13"/>
        <v>0.90459261826771664</v>
      </c>
      <c r="AA17" s="22">
        <f t="shared" si="13"/>
        <v>0.83442485007874012</v>
      </c>
      <c r="AB17" s="22">
        <f t="shared" si="13"/>
        <v>0.93583304314960625</v>
      </c>
      <c r="AC17" s="22">
        <f t="shared" si="13"/>
        <v>0.72601959023622042</v>
      </c>
      <c r="AD17" s="22">
        <f t="shared" si="13"/>
        <v>0.71695296850393708</v>
      </c>
      <c r="AE17" s="22">
        <f t="shared" si="13"/>
        <v>1.1271190516535432</v>
      </c>
      <c r="AF17" s="22">
        <f t="shared" si="13"/>
        <v>1.5495053640944882</v>
      </c>
      <c r="AG17" s="22">
        <f t="shared" si="13"/>
        <v>1.6805771782677166</v>
      </c>
      <c r="AH17" s="31">
        <f t="shared" si="13"/>
        <v>0.63318526771653549</v>
      </c>
      <c r="AI17" s="31">
        <f t="shared" ref="AI17:AW17" si="14">$C$10*AI16*0.04/0.002*100</f>
        <v>0</v>
      </c>
      <c r="AJ17" s="31">
        <f t="shared" si="14"/>
        <v>0.9251896176377955</v>
      </c>
      <c r="AK17" s="22">
        <f t="shared" si="14"/>
        <v>0.64422289417322842</v>
      </c>
      <c r="AL17" s="31">
        <f t="shared" si="14"/>
        <v>0</v>
      </c>
      <c r="AM17" s="22">
        <f t="shared" si="14"/>
        <v>1.1827999351181104</v>
      </c>
      <c r="AN17" s="31">
        <f t="shared" si="14"/>
        <v>0.72769494425196868</v>
      </c>
      <c r="AO17" s="22">
        <f t="shared" si="14"/>
        <v>0.75863971842519695</v>
      </c>
      <c r="AP17" s="22">
        <f t="shared" si="14"/>
        <v>0.49846709480314971</v>
      </c>
      <c r="AQ17" s="22">
        <f t="shared" si="14"/>
        <v>1.1688058015748033</v>
      </c>
      <c r="AR17" s="22">
        <f t="shared" si="14"/>
        <v>2.8494815300787404</v>
      </c>
      <c r="AS17" s="22">
        <f t="shared" si="14"/>
        <v>0.82939878803149625</v>
      </c>
      <c r="AT17" s="31">
        <f t="shared" si="14"/>
        <v>0.76425708188976371</v>
      </c>
      <c r="AU17" s="22">
        <f t="shared" si="14"/>
        <v>2.2924755949606306</v>
      </c>
      <c r="AV17" s="22">
        <f t="shared" si="14"/>
        <v>1.4202074541732284</v>
      </c>
      <c r="AW17" s="22">
        <f t="shared" si="14"/>
        <v>0.65772427653543319</v>
      </c>
      <c r="AX17" s="22">
        <f>$C$10*AX16*0.04/0.002*100</f>
        <v>3.0237183477165357</v>
      </c>
      <c r="AY17" s="22">
        <f>$C$10*AY16*0.04/0.002*100</f>
        <v>0.5291162182677166</v>
      </c>
      <c r="AZ17" s="22">
        <f>$C$10*AZ16*0.04/0.002*100</f>
        <v>1.8935442387401575</v>
      </c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</row>
    <row r="18" spans="5:119" x14ac:dyDescent="0.55000000000000004">
      <c r="E18" s="28" t="s">
        <v>114</v>
      </c>
      <c r="F18" s="28">
        <f>$E$19*F19*0.04*166.14</f>
        <v>2.9516752983743996E-2</v>
      </c>
      <c r="G18" s="2"/>
      <c r="H18" s="2"/>
      <c r="I18" s="2"/>
      <c r="J18" s="2"/>
      <c r="K18" s="2"/>
      <c r="L18" s="2"/>
      <c r="M18" s="2"/>
      <c r="N18" s="2"/>
      <c r="O18" s="2"/>
      <c r="AH18" s="30"/>
      <c r="AI18" s="30"/>
      <c r="AJ18" s="30"/>
      <c r="AL18" s="30"/>
      <c r="AN18" s="30"/>
      <c r="AT18" s="30"/>
    </row>
    <row r="19" spans="5:119" x14ac:dyDescent="0.55000000000000004">
      <c r="E19" s="28">
        <v>2.953E-8</v>
      </c>
      <c r="F19" s="28">
        <v>150408</v>
      </c>
      <c r="G19" s="2"/>
      <c r="H19" s="2"/>
      <c r="I19" s="2"/>
      <c r="J19" s="2"/>
      <c r="K19" s="2"/>
      <c r="L19" s="2"/>
      <c r="M19" s="2"/>
      <c r="N19" s="2"/>
      <c r="O19" s="2"/>
      <c r="AL19" s="30"/>
      <c r="AN19" s="30"/>
    </row>
    <row r="20" spans="5:119" x14ac:dyDescent="0.55000000000000004">
      <c r="E20" s="28">
        <v>6.6168999999999994E-11</v>
      </c>
      <c r="F20" s="28">
        <v>69982346</v>
      </c>
      <c r="G20" s="2" t="s">
        <v>20</v>
      </c>
      <c r="H20" s="2">
        <f>H5+H9+H11+H13+H15+H17</f>
        <v>57.329191858110228</v>
      </c>
      <c r="I20" s="2">
        <f t="shared" ref="I20:AW20" si="15">I5+I9+I11+I13+I15+I17+I19</f>
        <v>17.549132248661415</v>
      </c>
      <c r="J20" s="2">
        <f t="shared" si="15"/>
        <v>71.162894558110239</v>
      </c>
      <c r="K20" s="2">
        <f t="shared" si="15"/>
        <v>18.959315894803147</v>
      </c>
      <c r="L20" s="2">
        <f t="shared" si="15"/>
        <v>35.467056268031492</v>
      </c>
      <c r="M20" s="2">
        <f t="shared" si="15"/>
        <v>7.9290864896062994</v>
      </c>
      <c r="N20" s="2">
        <f t="shared" si="15"/>
        <v>17.836746144409449</v>
      </c>
      <c r="O20" s="2">
        <f t="shared" si="15"/>
        <v>3.2036323543307086</v>
      </c>
      <c r="P20" s="2">
        <f t="shared" si="15"/>
        <v>25.442200856220474</v>
      </c>
      <c r="Q20" s="2">
        <f t="shared" si="15"/>
        <v>75.086734288188978</v>
      </c>
      <c r="R20" s="2">
        <f t="shared" si="15"/>
        <v>23.608291525354328</v>
      </c>
      <c r="S20" s="2">
        <f t="shared" si="15"/>
        <v>76.821286045196871</v>
      </c>
      <c r="T20" s="2">
        <f t="shared" si="15"/>
        <v>17.508641100472438</v>
      </c>
      <c r="U20" s="2">
        <f t="shared" si="15"/>
        <v>18.480567385984251</v>
      </c>
      <c r="V20" s="2">
        <f t="shared" si="15"/>
        <v>14.722998536692913</v>
      </c>
      <c r="W20" s="2">
        <f t="shared" si="15"/>
        <v>66.038125204881894</v>
      </c>
      <c r="X20" s="2">
        <f t="shared" si="15"/>
        <v>15.676423648188976</v>
      </c>
      <c r="Y20" s="2">
        <f t="shared" si="15"/>
        <v>17.593534243937007</v>
      </c>
      <c r="Z20" s="2">
        <f t="shared" si="15"/>
        <v>28.73141799826772</v>
      </c>
      <c r="AA20" s="2">
        <f t="shared" si="15"/>
        <v>16.356444590078741</v>
      </c>
      <c r="AB20" s="2">
        <f t="shared" si="15"/>
        <v>23.549301143149613</v>
      </c>
      <c r="AC20" s="2">
        <f t="shared" si="15"/>
        <v>12.678563850236221</v>
      </c>
      <c r="AD20" s="2">
        <f t="shared" si="15"/>
        <v>19.376883908503935</v>
      </c>
      <c r="AE20" s="2">
        <f t="shared" si="15"/>
        <v>29.052142411653545</v>
      </c>
      <c r="AF20" s="2">
        <f t="shared" si="15"/>
        <v>40.768627204094486</v>
      </c>
      <c r="AG20" s="2">
        <f t="shared" si="15"/>
        <v>47.689045838267717</v>
      </c>
      <c r="AH20" s="2">
        <f t="shared" si="15"/>
        <v>9.4171177677165367</v>
      </c>
      <c r="AI20" s="2">
        <f t="shared" si="15"/>
        <v>0.70375500000000002</v>
      </c>
      <c r="AJ20" s="2">
        <f t="shared" si="15"/>
        <v>26.461508197637794</v>
      </c>
      <c r="AK20" s="2">
        <f t="shared" si="15"/>
        <v>9.4388498741732292</v>
      </c>
      <c r="AL20" s="2">
        <f t="shared" si="15"/>
        <v>0</v>
      </c>
      <c r="AM20" s="2">
        <f t="shared" si="15"/>
        <v>33.193132255118115</v>
      </c>
      <c r="AN20" s="31">
        <f t="shared" si="15"/>
        <v>24.452062704251972</v>
      </c>
      <c r="AO20" s="2">
        <f t="shared" si="15"/>
        <v>25.730626338425196</v>
      </c>
      <c r="AP20" s="2">
        <f t="shared" si="15"/>
        <v>7.5982354548031505</v>
      </c>
      <c r="AQ20" s="2">
        <f t="shared" si="15"/>
        <v>23.0094885815748</v>
      </c>
      <c r="AR20" s="2">
        <f t="shared" si="15"/>
        <v>52.183109630078746</v>
      </c>
      <c r="AS20" s="2">
        <f t="shared" si="15"/>
        <v>19.590810548031499</v>
      </c>
      <c r="AT20" s="2">
        <f t="shared" si="15"/>
        <v>23.945481601889764</v>
      </c>
      <c r="AU20" s="2">
        <f t="shared" si="15"/>
        <v>46.680394494960623</v>
      </c>
      <c r="AV20" s="2">
        <f t="shared" si="15"/>
        <v>36.407957074173225</v>
      </c>
      <c r="AW20" s="2">
        <f t="shared" si="15"/>
        <v>16.467021416535434</v>
      </c>
      <c r="AX20" s="2">
        <f>AX5+AX9+AX11+AX13+AX15+AX17+AX19</f>
        <v>98.518808767716536</v>
      </c>
      <c r="AY20" s="2">
        <f>AY5+AY9+AY11+AY13+AY15+AY17+AY19</f>
        <v>12.302776198267717</v>
      </c>
      <c r="AZ20" s="2">
        <f>AZ5+AZ9+AZ11+AZ13+AZ15+AZ17+AZ19</f>
        <v>41.481659118740161</v>
      </c>
    </row>
    <row r="21" spans="5:119" x14ac:dyDescent="0.55000000000000004">
      <c r="E21" s="28"/>
      <c r="F21" s="28">
        <f>$E$20*F20*0.04*166.14</f>
        <v>3.077352640680121E-2</v>
      </c>
      <c r="G21" s="2" t="s">
        <v>21</v>
      </c>
      <c r="H21" s="2">
        <f>H3-H20</f>
        <v>23.997968635716596</v>
      </c>
      <c r="I21" s="2">
        <f t="shared" ref="I21:AW21" si="16">I3-I20</f>
        <v>9.1792628130672327</v>
      </c>
      <c r="J21" s="2">
        <f t="shared" si="16"/>
        <v>23.837105441889904</v>
      </c>
      <c r="K21" s="2">
        <f t="shared" si="16"/>
        <v>11.411054475567219</v>
      </c>
      <c r="L21" s="2">
        <f t="shared" si="16"/>
        <v>19.069980769005689</v>
      </c>
      <c r="M21" s="2">
        <f t="shared" si="16"/>
        <v>10.003012275825732</v>
      </c>
      <c r="N21" s="2">
        <f t="shared" si="16"/>
        <v>26.978068670405694</v>
      </c>
      <c r="O21" s="2">
        <f t="shared" si="16"/>
        <v>10.469207151842127</v>
      </c>
      <c r="P21" s="2">
        <f t="shared" si="16"/>
        <v>11.810885563533013</v>
      </c>
      <c r="Q21" s="2">
        <f t="shared" si="16"/>
        <v>20.191043489588836</v>
      </c>
      <c r="R21" s="2">
        <f t="shared" si="16"/>
        <v>6.7003504499544455</v>
      </c>
      <c r="S21" s="2">
        <f t="shared" si="16"/>
        <v>17.931800374556389</v>
      </c>
      <c r="T21" s="2">
        <f t="shared" si="16"/>
        <v>9.6518527266884107</v>
      </c>
      <c r="U21" s="2">
        <f t="shared" si="16"/>
        <v>9.1737536016698229</v>
      </c>
      <c r="V21" s="2">
        <f t="shared" si="16"/>
        <v>6.6967545497268617</v>
      </c>
      <c r="W21" s="2">
        <f t="shared" si="16"/>
        <v>7.2985906229249053E-2</v>
      </c>
      <c r="X21" s="2">
        <f t="shared" si="16"/>
        <v>8.3667862283541687</v>
      </c>
      <c r="Y21" s="2">
        <f t="shared" si="16"/>
        <v>6.8509102005075349</v>
      </c>
      <c r="Z21" s="2">
        <f t="shared" si="16"/>
        <v>7.8735202733374869</v>
      </c>
      <c r="AA21" s="2">
        <f t="shared" si="16"/>
        <v>11.143555409921358</v>
      </c>
      <c r="AB21" s="2">
        <f t="shared" si="16"/>
        <v>10.030945770430826</v>
      </c>
      <c r="AC21" s="2">
        <f t="shared" si="16"/>
        <v>9.6671151621095053</v>
      </c>
      <c r="AD21" s="2">
        <f t="shared" si="16"/>
        <v>8.8947210297681707</v>
      </c>
      <c r="AE21" s="2">
        <f t="shared" si="16"/>
        <v>6.0713143784703369</v>
      </c>
      <c r="AF21" s="2">
        <f t="shared" si="16"/>
        <v>2.2251999563989742</v>
      </c>
      <c r="AG21" s="2">
        <f t="shared" si="16"/>
        <v>11.755398606176399</v>
      </c>
      <c r="AH21" s="2">
        <f t="shared" si="16"/>
        <v>-9.4171177677165367</v>
      </c>
      <c r="AI21" s="2">
        <f t="shared" si="16"/>
        <v>9.7283437654319602</v>
      </c>
      <c r="AJ21" s="2">
        <f t="shared" si="16"/>
        <v>5.9150350122384516</v>
      </c>
      <c r="AK21" s="2">
        <f t="shared" si="16"/>
        <v>8.2771995085426937</v>
      </c>
      <c r="AL21" s="2">
        <f t="shared" si="16"/>
        <v>34.38271604938268</v>
      </c>
      <c r="AM21" s="2">
        <f t="shared" si="16"/>
        <v>-11.372144600796943</v>
      </c>
      <c r="AN21" s="2">
        <f>AN3-AN20</f>
        <v>11.936826184636587</v>
      </c>
      <c r="AO21" s="2">
        <f t="shared" si="16"/>
        <v>6.9545588467600794</v>
      </c>
      <c r="AP21" s="2">
        <f t="shared" si="16"/>
        <v>11.66102380445623</v>
      </c>
      <c r="AQ21" s="2">
        <f>AQ3-AQ20</f>
        <v>13.379400307313759</v>
      </c>
      <c r="AR21" s="2">
        <f t="shared" si="16"/>
        <v>33.279853332884102</v>
      </c>
      <c r="AS21" s="2">
        <f t="shared" si="16"/>
        <v>13.49560920505462</v>
      </c>
      <c r="AT21" s="2">
        <f t="shared" si="16"/>
        <v>7.3199504968757658</v>
      </c>
      <c r="AU21" s="2">
        <f t="shared" si="16"/>
        <v>11.745531430965698</v>
      </c>
      <c r="AV21" s="2">
        <f t="shared" si="16"/>
        <v>12.511796012246599</v>
      </c>
      <c r="AW21" s="2">
        <f t="shared" si="16"/>
        <v>8.4712501884028875</v>
      </c>
      <c r="AX21" s="2">
        <f>AX3-AX20</f>
        <v>-24.074364323271737</v>
      </c>
      <c r="AY21" s="2">
        <f>AY3-AY20</f>
        <v>11.555248493090138</v>
      </c>
      <c r="AZ21" s="2">
        <f>AZ3-AZ20</f>
        <v>17.839328535580783</v>
      </c>
    </row>
    <row r="22" spans="5:119" x14ac:dyDescent="0.55000000000000004">
      <c r="E22" s="28"/>
      <c r="F22" s="28"/>
      <c r="G22" s="2" t="s">
        <v>9</v>
      </c>
      <c r="H22" s="2"/>
      <c r="I22" s="2" t="s">
        <v>10</v>
      </c>
      <c r="J22" s="2"/>
      <c r="K22" s="2" t="s">
        <v>19</v>
      </c>
      <c r="L22" s="2"/>
      <c r="M22" s="2" t="s">
        <v>11</v>
      </c>
      <c r="N22" s="2"/>
      <c r="O22" t="s">
        <v>32</v>
      </c>
      <c r="Q22" t="s">
        <v>40</v>
      </c>
      <c r="S22" t="s">
        <v>41</v>
      </c>
      <c r="T22" t="s">
        <v>44</v>
      </c>
      <c r="U22" t="s">
        <v>49</v>
      </c>
      <c r="V22" t="s">
        <v>49</v>
      </c>
      <c r="W22" t="s">
        <v>47</v>
      </c>
      <c r="X22" t="s">
        <v>56</v>
      </c>
      <c r="Z22" t="s">
        <v>58</v>
      </c>
      <c r="AA22" t="s">
        <v>57</v>
      </c>
      <c r="AB22" t="s">
        <v>69</v>
      </c>
      <c r="AC22" t="s">
        <v>71</v>
      </c>
      <c r="AD22" t="s">
        <v>70</v>
      </c>
      <c r="AE22" t="s">
        <v>72</v>
      </c>
      <c r="AF22" t="s">
        <v>73</v>
      </c>
      <c r="AG22" t="s">
        <v>75</v>
      </c>
      <c r="AH22" t="s">
        <v>76</v>
      </c>
      <c r="AI22" t="s">
        <v>79</v>
      </c>
      <c r="AJ22" t="s">
        <v>77</v>
      </c>
      <c r="AK22" t="s">
        <v>78</v>
      </c>
      <c r="AL22" t="s">
        <v>80</v>
      </c>
      <c r="AM22" t="s">
        <v>113</v>
      </c>
      <c r="AN22" t="s">
        <v>90</v>
      </c>
      <c r="AO22" t="s">
        <v>111</v>
      </c>
      <c r="AP22" t="s">
        <v>132</v>
      </c>
      <c r="AQ22" t="s">
        <v>129</v>
      </c>
      <c r="AR22" t="s">
        <v>130</v>
      </c>
      <c r="AS22" s="30" t="s">
        <v>90</v>
      </c>
      <c r="AT22" t="s">
        <v>148</v>
      </c>
      <c r="AU22" t="s">
        <v>153</v>
      </c>
      <c r="AV22" t="s">
        <v>162</v>
      </c>
      <c r="AW22" t="s">
        <v>163</v>
      </c>
      <c r="AX22" t="s">
        <v>191</v>
      </c>
      <c r="AY22" t="s">
        <v>192</v>
      </c>
    </row>
    <row r="23" spans="5:119" x14ac:dyDescent="0.55000000000000004">
      <c r="E23" s="28"/>
      <c r="F23" s="28"/>
      <c r="G23" s="2" t="s">
        <v>16</v>
      </c>
      <c r="H23" s="2" t="s">
        <v>17</v>
      </c>
      <c r="I23" s="2" t="s">
        <v>16</v>
      </c>
      <c r="J23" s="2" t="s">
        <v>17</v>
      </c>
      <c r="K23" s="2" t="s">
        <v>16</v>
      </c>
      <c r="L23" s="2" t="s">
        <v>17</v>
      </c>
      <c r="M23" s="2" t="s">
        <v>16</v>
      </c>
      <c r="N23" s="2" t="s">
        <v>17</v>
      </c>
      <c r="O23" s="2" t="s">
        <v>16</v>
      </c>
      <c r="P23" s="2" t="s">
        <v>17</v>
      </c>
      <c r="Q23" s="2" t="s">
        <v>16</v>
      </c>
      <c r="R23" s="2" t="s">
        <v>17</v>
      </c>
      <c r="S23" s="2" t="s">
        <v>17</v>
      </c>
      <c r="T23" s="2" t="s">
        <v>17</v>
      </c>
      <c r="U23" s="2" t="s">
        <v>46</v>
      </c>
      <c r="V23" s="2" t="s">
        <v>46</v>
      </c>
      <c r="W23" s="2" t="s">
        <v>46</v>
      </c>
      <c r="X23" s="2" t="s">
        <v>46</v>
      </c>
      <c r="Z23" s="2" t="s">
        <v>46</v>
      </c>
      <c r="AA23" s="2" t="s">
        <v>46</v>
      </c>
    </row>
    <row r="24" spans="5:119" x14ac:dyDescent="0.55000000000000004">
      <c r="F24" t="s">
        <v>18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v>94.753086419753259</v>
      </c>
      <c r="R24" s="2"/>
      <c r="S24" s="2"/>
      <c r="T24" s="2">
        <v>27.654320987654074</v>
      </c>
      <c r="U24" s="2"/>
      <c r="V24" s="2"/>
      <c r="W24" s="2"/>
      <c r="X24" s="2"/>
      <c r="Y24" s="2">
        <f>Z3</f>
        <v>36.604938271605207</v>
      </c>
      <c r="Z24" s="2">
        <v>27.500000000000099</v>
      </c>
      <c r="AA24" s="2">
        <v>33.580246913580439</v>
      </c>
      <c r="AB24" s="2">
        <v>22.345679012345727</v>
      </c>
      <c r="AC24" s="2">
        <v>28.271604938272105</v>
      </c>
      <c r="AD24" s="2">
        <f t="shared" ref="AD24:AK24" si="17">AE3</f>
        <v>35.123456790123882</v>
      </c>
      <c r="AE24" s="2">
        <f t="shared" si="17"/>
        <v>42.99382716049346</v>
      </c>
      <c r="AF24" s="2">
        <v>59.444444444444116</v>
      </c>
      <c r="AG24" s="2">
        <f t="shared" si="17"/>
        <v>0</v>
      </c>
      <c r="AH24" s="2">
        <f t="shared" si="17"/>
        <v>10.432098765431959</v>
      </c>
      <c r="AI24" s="2">
        <f t="shared" si="17"/>
        <v>32.376543209876246</v>
      </c>
      <c r="AJ24" s="2">
        <v>17.716049382715923</v>
      </c>
      <c r="AK24" s="2">
        <f t="shared" si="17"/>
        <v>34.38271604938268</v>
      </c>
      <c r="AL24" s="2">
        <f>AM3</f>
        <v>21.820987654321172</v>
      </c>
      <c r="AM24" s="2">
        <v>36.388888888888559</v>
      </c>
      <c r="AN24" s="2">
        <v>32.685185185185276</v>
      </c>
      <c r="AO24" s="2">
        <v>19.25925925925938</v>
      </c>
      <c r="AP24" s="2">
        <v>36.388888888888559</v>
      </c>
      <c r="AQ24" s="2">
        <v>85.462962962962848</v>
      </c>
      <c r="AR24" s="2">
        <v>33.086419753086119</v>
      </c>
      <c r="AS24" s="2">
        <v>31.26543209876553</v>
      </c>
      <c r="AT24" s="2">
        <f t="shared" ref="AT24:AY24" si="18">AU3</f>
        <v>58.425925925926322</v>
      </c>
      <c r="AU24" s="2">
        <f t="shared" si="18"/>
        <v>48.919753086419824</v>
      </c>
      <c r="AV24" s="2">
        <f t="shared" si="18"/>
        <v>24.938271604938322</v>
      </c>
      <c r="AW24" s="2">
        <f t="shared" si="18"/>
        <v>74.444444444444798</v>
      </c>
      <c r="AX24" s="2">
        <f t="shared" si="18"/>
        <v>23.858024691357855</v>
      </c>
      <c r="AY24" s="2">
        <f t="shared" si="18"/>
        <v>59.320987654320945</v>
      </c>
      <c r="AZ24" s="2"/>
      <c r="BA24" s="2"/>
      <c r="BB24" s="2"/>
      <c r="BC24" s="2"/>
      <c r="BD24" s="2"/>
      <c r="BE24" s="2"/>
    </row>
    <row r="25" spans="5:119" x14ac:dyDescent="0.55000000000000004">
      <c r="F25" t="s">
        <v>2</v>
      </c>
      <c r="G25" s="2">
        <v>39.331642499999994</v>
      </c>
      <c r="H25" s="2">
        <v>11.449282499999999</v>
      </c>
      <c r="I25" s="2">
        <v>55.038622500000002</v>
      </c>
      <c r="J25" s="2">
        <v>13.284067499999999</v>
      </c>
      <c r="K25" s="2">
        <v>17.790030000000002</v>
      </c>
      <c r="L25" s="2">
        <v>3.4493175000000003</v>
      </c>
      <c r="M25" s="2">
        <v>4.2933375000000007</v>
      </c>
      <c r="N25" s="2">
        <v>0.6969375000000001</v>
      </c>
      <c r="O25" s="2">
        <v>57.471254999999999</v>
      </c>
      <c r="P25" s="2">
        <v>18.013455</v>
      </c>
      <c r="Q25" s="2">
        <v>51.882592500000015</v>
      </c>
      <c r="R25" s="2">
        <v>11.530552500000001</v>
      </c>
      <c r="S25" s="2">
        <v>11.165849999999999</v>
      </c>
      <c r="T25" s="2">
        <v>12.377745000000001</v>
      </c>
      <c r="U25" s="2">
        <v>8.7356475000000007</v>
      </c>
      <c r="V25" s="2">
        <v>47.937622499999996</v>
      </c>
      <c r="W25" s="2">
        <v>9.7463250000000006</v>
      </c>
      <c r="X25" s="2">
        <v>11.798730000000001</v>
      </c>
      <c r="Y25" s="2">
        <v>18.651870000000002</v>
      </c>
      <c r="Z25" s="2">
        <v>10.519807500000001</v>
      </c>
      <c r="AA25" s="2">
        <v>16.624912500000004</v>
      </c>
      <c r="AB25" s="2">
        <v>6.8025825000000015</v>
      </c>
      <c r="AC25" s="2">
        <v>13.358722500000001</v>
      </c>
      <c r="AD25" s="2">
        <v>21.166852500000001</v>
      </c>
      <c r="AE25" s="2">
        <v>30.598357500000002</v>
      </c>
      <c r="AF25" s="2">
        <v>36.053505000000001</v>
      </c>
      <c r="AG25" s="2">
        <v>4.3799400000000004</v>
      </c>
      <c r="AH25" s="2">
        <f>AI5</f>
        <v>0.70375500000000002</v>
      </c>
      <c r="AI25" s="2">
        <f>AJ5</f>
        <v>19.962585000000001</v>
      </c>
      <c r="AJ25" s="2">
        <v>4.1843250000000003</v>
      </c>
      <c r="AK25" s="2">
        <f>AL5</f>
        <v>0</v>
      </c>
      <c r="AL25" s="2">
        <f>AM5</f>
        <v>22.5195525</v>
      </c>
      <c r="AM25" s="2">
        <v>18.155205000000002</v>
      </c>
      <c r="AN25" s="2">
        <v>12.493304999999999</v>
      </c>
      <c r="AO25" s="2">
        <v>3.3001425000000002</v>
      </c>
      <c r="AP25" s="2">
        <v>15.648592499999999</v>
      </c>
      <c r="AQ25" s="2">
        <v>35.909797500000003</v>
      </c>
      <c r="AR25" s="2">
        <v>12.4278975</v>
      </c>
      <c r="AS25" s="2">
        <v>10.9875825</v>
      </c>
      <c r="AT25" s="2">
        <f>AU5</f>
        <v>28.509435</v>
      </c>
      <c r="AU25" s="2">
        <v>27.798862499999998</v>
      </c>
      <c r="AV25" s="2">
        <v>10.8543375</v>
      </c>
      <c r="AW25" s="2">
        <f>AX5</f>
        <v>39.259349999999998</v>
      </c>
      <c r="AX25" s="2">
        <v>9.2736225000000001</v>
      </c>
      <c r="AY25" s="2">
        <f>AZ5</f>
        <v>30.652290000000004</v>
      </c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spans="5:119" x14ac:dyDescent="0.55000000000000004">
      <c r="F26" t="s">
        <v>12</v>
      </c>
      <c r="G26" s="2">
        <v>3.6727258999999997</v>
      </c>
      <c r="H26" s="2">
        <v>0.68769525999999992</v>
      </c>
      <c r="I26" s="2">
        <v>0.99815105999999987</v>
      </c>
      <c r="J26" s="2">
        <v>0.39270593999999992</v>
      </c>
      <c r="K26" s="2">
        <v>9.7010492599999978</v>
      </c>
      <c r="L26" s="2">
        <v>1.5477366599999998</v>
      </c>
      <c r="M26" s="2">
        <v>8.2026401600000014</v>
      </c>
      <c r="N26" s="2">
        <v>1.0255177199999999</v>
      </c>
      <c r="O26" s="2">
        <v>1.2762849199999999</v>
      </c>
      <c r="P26" s="2">
        <v>0.36747905999999997</v>
      </c>
      <c r="Q26" s="2">
        <v>5.2638212600000003</v>
      </c>
      <c r="R26" s="2">
        <v>5.2239537799999995</v>
      </c>
      <c r="S26" s="2">
        <v>0.61708252000000008</v>
      </c>
      <c r="T26" s="2">
        <v>0.56005925999999995</v>
      </c>
      <c r="U26" s="2">
        <v>0.7392376799999999</v>
      </c>
      <c r="V26" s="2">
        <v>3.6391276000000001</v>
      </c>
      <c r="W26" s="2">
        <v>0.79723697999999998</v>
      </c>
      <c r="X26" s="2">
        <v>0.6549228399999999</v>
      </c>
      <c r="Y26" s="2">
        <v>2.6906419599999998</v>
      </c>
      <c r="Z26" s="2">
        <v>0.70485103999999998</v>
      </c>
      <c r="AA26" s="2">
        <v>0.41688169999999991</v>
      </c>
      <c r="AB26" s="2">
        <v>1.1374244599999999</v>
      </c>
      <c r="AC26" s="2">
        <v>0.58513597999999989</v>
      </c>
      <c r="AD26" s="2">
        <v>0.35828175999999995</v>
      </c>
      <c r="AE26" s="2">
        <v>0.28128721999999995</v>
      </c>
      <c r="AF26" s="2">
        <v>0.22572802</v>
      </c>
      <c r="AG26" s="2">
        <v>0.92415972000000002</v>
      </c>
      <c r="AH26" s="2">
        <f>AI15</f>
        <v>0</v>
      </c>
      <c r="AI26" s="2">
        <f>AJ15</f>
        <v>0.55653049999999993</v>
      </c>
      <c r="AJ26" s="2">
        <v>0.96102399999999988</v>
      </c>
      <c r="AK26" s="2">
        <f>AL15</f>
        <v>0</v>
      </c>
      <c r="AL26" s="2">
        <f>AM15</f>
        <v>0</v>
      </c>
      <c r="AM26" s="2">
        <v>0.32599736000000001</v>
      </c>
      <c r="AN26" s="2">
        <v>0.60743473999999997</v>
      </c>
      <c r="AO26" s="2">
        <v>1.46788908</v>
      </c>
      <c r="AP26" s="2">
        <v>0.44717647999999988</v>
      </c>
      <c r="AQ26" s="2">
        <v>0.17658815999999999</v>
      </c>
      <c r="AR26" s="2">
        <v>0.81574419999999992</v>
      </c>
      <c r="AS26" s="2">
        <v>0.6825147399999999</v>
      </c>
      <c r="AT26" s="2">
        <f>AU15</f>
        <v>0</v>
      </c>
      <c r="AU26" s="2">
        <v>0.25087981999999998</v>
      </c>
      <c r="AV26" s="2">
        <v>0.66847477999999994</v>
      </c>
      <c r="AW26" s="2">
        <f>AX15</f>
        <v>0</v>
      </c>
      <c r="AX26" s="2">
        <v>0</v>
      </c>
      <c r="AY26" s="2">
        <f>AZ15</f>
        <v>0</v>
      </c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spans="5:119" x14ac:dyDescent="0.55000000000000004">
      <c r="F27" t="s">
        <v>24</v>
      </c>
      <c r="G27" s="2">
        <v>2.8212299999999999</v>
      </c>
      <c r="H27" s="2">
        <v>1.7029575000000001</v>
      </c>
      <c r="I27" s="2">
        <v>2.493045</v>
      </c>
      <c r="J27" s="2">
        <v>1.5048450000000002</v>
      </c>
      <c r="K27" s="2">
        <v>2.2730625</v>
      </c>
      <c r="L27" s="2">
        <v>1.2750075000000001</v>
      </c>
      <c r="M27" s="2">
        <v>1.5973199999999996</v>
      </c>
      <c r="N27" s="2">
        <v>0.58016250000000003</v>
      </c>
      <c r="O27" s="2">
        <v>2.9536650000000004</v>
      </c>
      <c r="P27" s="2">
        <v>1.7446049999999997</v>
      </c>
      <c r="Q27" s="2">
        <v>4.3168274999999996</v>
      </c>
      <c r="R27" s="2">
        <v>1.8454500000000003</v>
      </c>
      <c r="S27" s="2">
        <v>1.7456850000000004</v>
      </c>
      <c r="T27" s="2">
        <v>0.76179332598425198</v>
      </c>
      <c r="U27" s="2">
        <v>1.6635375000000001</v>
      </c>
      <c r="V27" s="2">
        <v>3.4188750000000003</v>
      </c>
      <c r="W27" s="2">
        <v>1.6964774999999999</v>
      </c>
      <c r="X27" s="2">
        <v>1.7973225000000002</v>
      </c>
      <c r="Y27" s="2">
        <v>2.8433024999999996</v>
      </c>
      <c r="Z27" s="2">
        <v>1.8567900000000002</v>
      </c>
      <c r="AA27" s="2">
        <v>1.8654975</v>
      </c>
      <c r="AB27" s="2">
        <v>1.5632325000000002</v>
      </c>
      <c r="AC27" s="2">
        <v>1.8430875000000002</v>
      </c>
      <c r="AD27" s="2">
        <v>1.8029924999999998</v>
      </c>
      <c r="AE27" s="2">
        <v>1.8060300000000002</v>
      </c>
      <c r="AF27" s="2">
        <v>1.7275949999999998</v>
      </c>
      <c r="AG27" s="2">
        <v>1.3691024999999999</v>
      </c>
      <c r="AH27" s="2">
        <f>AI13</f>
        <v>0</v>
      </c>
      <c r="AI27" s="2">
        <f>AJ13</f>
        <v>1.1352149999999999</v>
      </c>
      <c r="AJ27" s="2">
        <v>1.3153724999999998</v>
      </c>
      <c r="AK27" s="2">
        <f>AL13</f>
        <v>0</v>
      </c>
      <c r="AL27" s="2">
        <f>AM13</f>
        <v>4.3528725000000001</v>
      </c>
      <c r="AM27" s="2">
        <v>1.6748099999999999</v>
      </c>
      <c r="AN27" s="2">
        <v>1.5871949999999999</v>
      </c>
      <c r="AO27" s="2">
        <v>1.3354874999999999</v>
      </c>
      <c r="AP27" s="2">
        <v>1.6524000000000001</v>
      </c>
      <c r="AQ27" s="2">
        <v>1.4354549999999999</v>
      </c>
      <c r="AR27" s="2">
        <v>1.7622225000000002</v>
      </c>
      <c r="AS27" s="2">
        <v>1.6627949999999998</v>
      </c>
      <c r="AT27" s="2">
        <f>AU13</f>
        <v>8.8773975000000007</v>
      </c>
      <c r="AU27" s="2">
        <v>1.9319175000000002</v>
      </c>
      <c r="AV27" s="2">
        <v>1.7228025</v>
      </c>
      <c r="AW27" s="2">
        <f>AX13</f>
        <v>43.902742500000002</v>
      </c>
      <c r="AX27" s="2">
        <v>0</v>
      </c>
      <c r="AY27" s="2">
        <f>AZ13</f>
        <v>1.9014750000000005</v>
      </c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spans="5:119" x14ac:dyDescent="0.55000000000000004">
      <c r="F28" t="s">
        <v>7</v>
      </c>
      <c r="G28" s="2">
        <v>5.8741935200000004</v>
      </c>
      <c r="H28" s="2">
        <v>1.9667284000000003</v>
      </c>
      <c r="I28" s="2">
        <v>7.3866582400000009</v>
      </c>
      <c r="J28" s="2">
        <v>2.0049775200000006</v>
      </c>
      <c r="K28" s="2">
        <v>3.5463136800000004</v>
      </c>
      <c r="L28" s="2">
        <v>0.82590040000000009</v>
      </c>
      <c r="M28" s="2">
        <v>2.0420452</v>
      </c>
      <c r="N28" s="2">
        <v>0.41771288000000006</v>
      </c>
      <c r="O28" s="2">
        <v>7.5813743200000001</v>
      </c>
      <c r="P28" s="2">
        <v>2.7258036000000003</v>
      </c>
      <c r="Q28" s="2">
        <v>9.0030896800000004</v>
      </c>
      <c r="R28" s="2">
        <v>2.7410884800000002</v>
      </c>
      <c r="S28" s="2">
        <v>2.13641272</v>
      </c>
      <c r="T28" s="2">
        <v>1.9802411200000001</v>
      </c>
      <c r="U28" s="2">
        <v>1.4268103200000002</v>
      </c>
      <c r="V28" s="2">
        <v>6.0337617600000009</v>
      </c>
      <c r="W28" s="2">
        <v>1.81328888</v>
      </c>
      <c r="X28" s="2">
        <v>1.6836258400000002</v>
      </c>
      <c r="Y28" s="2">
        <v>2.22767896</v>
      </c>
      <c r="Z28" s="2">
        <v>1.3864198400000003</v>
      </c>
      <c r="AA28" s="2">
        <v>2.3055801599999999</v>
      </c>
      <c r="AB28" s="2">
        <v>1.6382142400000002</v>
      </c>
      <c r="AC28" s="2">
        <v>1.71611544</v>
      </c>
      <c r="AD28" s="2">
        <v>3.0800140800000002</v>
      </c>
      <c r="AE28" s="2">
        <v>4.6122679199999999</v>
      </c>
      <c r="AF28" s="2">
        <v>5.80227336</v>
      </c>
      <c r="AG28" s="2">
        <v>1.5299647999999999</v>
      </c>
      <c r="AH28" s="2">
        <f>AI9</f>
        <v>0</v>
      </c>
      <c r="AI28" s="2">
        <f>AJ9</f>
        <v>2.48205776</v>
      </c>
      <c r="AJ28" s="2">
        <v>1.8104091200000001</v>
      </c>
      <c r="AK28" s="2">
        <f>AL9</f>
        <v>0</v>
      </c>
      <c r="AL28" s="2">
        <f>AM9</f>
        <v>3.47468888</v>
      </c>
      <c r="AM28" s="2">
        <v>2.2439237600000004</v>
      </c>
      <c r="AN28" s="2">
        <v>2.1152944800000002</v>
      </c>
      <c r="AO28" s="2">
        <v>0.99624928000000001</v>
      </c>
      <c r="AP28" s="2">
        <v>2.64805008</v>
      </c>
      <c r="AQ28" s="2">
        <v>8.6348496000000008</v>
      </c>
      <c r="AR28" s="2">
        <v>2.3911607199999998</v>
      </c>
      <c r="AS28" s="2">
        <v>1.9547663200000003</v>
      </c>
      <c r="AT28" s="2">
        <f>AU9</f>
        <v>4.9843476799999991</v>
      </c>
      <c r="AU28" s="2">
        <v>4.2531840000000001</v>
      </c>
      <c r="AV28" s="2">
        <v>1.4681607200000002</v>
      </c>
      <c r="AW28" s="2">
        <f>AX9</f>
        <v>9.3315300000000025</v>
      </c>
      <c r="AX28" s="2">
        <v>1.5646695999999998</v>
      </c>
      <c r="AY28" s="2">
        <f>AZ9</f>
        <v>4.6883969600000004</v>
      </c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</row>
    <row r="29" spans="5:119" x14ac:dyDescent="0.55000000000000004">
      <c r="F29" t="s">
        <v>8</v>
      </c>
      <c r="G29" s="2">
        <v>3.3072916799999996</v>
      </c>
      <c r="H29" s="2">
        <v>0.98373031999999994</v>
      </c>
      <c r="I29" s="2">
        <v>3.74530056</v>
      </c>
      <c r="J29" s="2">
        <v>1.0239352400000001</v>
      </c>
      <c r="K29" s="2">
        <v>1.3522337999999998</v>
      </c>
      <c r="L29" s="2">
        <v>0.45998423999999999</v>
      </c>
      <c r="M29" s="2">
        <v>1.1196612400000001</v>
      </c>
      <c r="N29" s="2">
        <v>0.22283348</v>
      </c>
      <c r="O29" s="2">
        <v>4.2696293200000008</v>
      </c>
      <c r="P29" s="2">
        <v>1.4034263999999999</v>
      </c>
      <c r="Q29" s="2">
        <v>4.4378573600000006</v>
      </c>
      <c r="R29" s="2">
        <v>1.1969911999999998</v>
      </c>
      <c r="S29" s="2">
        <v>0.97981804000000006</v>
      </c>
      <c r="T29" s="2">
        <v>1.0431636799999999</v>
      </c>
      <c r="U29" s="2">
        <v>1.6084465199999998</v>
      </c>
      <c r="V29" s="2">
        <v>3.8635846000000003</v>
      </c>
      <c r="W29" s="2">
        <v>0.88958587999999994</v>
      </c>
      <c r="X29" s="2">
        <v>1.00229284</v>
      </c>
      <c r="Y29" s="2">
        <v>1.4133319599999998</v>
      </c>
      <c r="Z29" s="2">
        <v>1.0541513600000001</v>
      </c>
      <c r="AA29" s="2">
        <v>1.40059624</v>
      </c>
      <c r="AB29" s="2">
        <v>0.8110905599999999</v>
      </c>
      <c r="AC29" s="2">
        <v>1.1568695199999999</v>
      </c>
      <c r="AD29" s="2">
        <v>1.51688252</v>
      </c>
      <c r="AE29" s="2">
        <v>1.9211791999999999</v>
      </c>
      <c r="AF29" s="2">
        <v>2.1993672799999997</v>
      </c>
      <c r="AG29" s="2">
        <v>0.58076548000000006</v>
      </c>
      <c r="AH29" s="2">
        <f>AI11</f>
        <v>0</v>
      </c>
      <c r="AI29" s="2">
        <f>AJ11</f>
        <v>1.39993032</v>
      </c>
      <c r="AJ29" s="2">
        <v>0.52349635999999999</v>
      </c>
      <c r="AK29" s="2">
        <f>AL11</f>
        <v>0</v>
      </c>
      <c r="AL29" s="2">
        <f>AM11</f>
        <v>1.6632184400000001</v>
      </c>
      <c r="AM29" s="2">
        <v>1.32443164</v>
      </c>
      <c r="AN29" s="2">
        <v>8.1687573999999987</v>
      </c>
      <c r="AO29" s="2">
        <v>0</v>
      </c>
      <c r="AP29" s="2">
        <v>1.4444637199999999</v>
      </c>
      <c r="AQ29" s="2">
        <v>3.1769378399999999</v>
      </c>
      <c r="AR29" s="2">
        <v>1.3643868399999999</v>
      </c>
      <c r="AS29" s="2">
        <v>7.8935659600000001</v>
      </c>
      <c r="AT29" s="2">
        <f>AU11</f>
        <v>2.0167387200000002</v>
      </c>
      <c r="AU29" s="2">
        <v>0.75290579999999996</v>
      </c>
      <c r="AV29" s="2">
        <v>1.0955216400000001</v>
      </c>
      <c r="AW29" s="2">
        <f>AX11</f>
        <v>3.0014679200000001</v>
      </c>
      <c r="AX29" s="2">
        <v>0.93536787999999993</v>
      </c>
      <c r="AY29" s="2">
        <f>AZ11</f>
        <v>2.3459529199999998</v>
      </c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 spans="5:119" x14ac:dyDescent="0.55000000000000004">
      <c r="F30" t="s">
        <v>22</v>
      </c>
      <c r="G30" s="2">
        <v>1.1506725581102364</v>
      </c>
      <c r="H30" s="2">
        <v>0.75873826866141736</v>
      </c>
      <c r="I30" s="2">
        <v>1.5011171981102363</v>
      </c>
      <c r="J30" s="2">
        <v>0.74878469480314969</v>
      </c>
      <c r="K30" s="2">
        <v>0.80436702803149618</v>
      </c>
      <c r="L30" s="2">
        <v>0.37114018960629924</v>
      </c>
      <c r="M30" s="2">
        <v>0.58174204440944888</v>
      </c>
      <c r="N30" s="2">
        <v>0.26046827433070863</v>
      </c>
      <c r="O30" s="2">
        <v>1.5345257281889766</v>
      </c>
      <c r="P30" s="2">
        <v>1.1874317962204723</v>
      </c>
      <c r="Q30" s="2">
        <v>1.9170977451968507</v>
      </c>
      <c r="R30" s="2">
        <v>1.0702555653543309</v>
      </c>
      <c r="S30" s="2">
        <v>0.86379282047244088</v>
      </c>
      <c r="T30" s="2">
        <v>0.76179332598425198</v>
      </c>
      <c r="U30" s="2">
        <v>0.54931901669291339</v>
      </c>
      <c r="V30" s="2">
        <v>1.1451537448818898</v>
      </c>
      <c r="W30" s="2">
        <v>0.73350940818897647</v>
      </c>
      <c r="X30" s="2">
        <v>0.65664022393700794</v>
      </c>
      <c r="Y30" s="2">
        <v>0.90459261826771664</v>
      </c>
      <c r="Z30" s="2">
        <v>0.83442485007874012</v>
      </c>
      <c r="AA30" s="2">
        <v>0.93583304314960625</v>
      </c>
      <c r="AB30" s="2">
        <v>0.72601959023622042</v>
      </c>
      <c r="AC30" s="2">
        <v>0.71695296850393708</v>
      </c>
      <c r="AD30" s="2">
        <v>1.1271190516535432</v>
      </c>
      <c r="AE30" s="2">
        <v>1.5495053640944882</v>
      </c>
      <c r="AF30" s="2">
        <v>1.6805771782677166</v>
      </c>
      <c r="AG30" s="2">
        <v>0.63318526771653549</v>
      </c>
      <c r="AH30" s="2">
        <f>AI17</f>
        <v>0</v>
      </c>
      <c r="AI30" s="2">
        <f>AJ17</f>
        <v>0.9251896176377955</v>
      </c>
      <c r="AJ30" s="2">
        <v>0.64422289417322842</v>
      </c>
      <c r="AK30" s="2">
        <f>AL17</f>
        <v>0</v>
      </c>
      <c r="AL30" s="2">
        <f>AM17</f>
        <v>1.1827999351181104</v>
      </c>
      <c r="AM30" s="2">
        <v>0.72769494425196868</v>
      </c>
      <c r="AN30" s="2">
        <v>0.75863971842519695</v>
      </c>
      <c r="AO30" s="2">
        <v>0.49846709480314971</v>
      </c>
      <c r="AP30" s="2">
        <v>1.1688058015748033</v>
      </c>
      <c r="AQ30" s="2">
        <v>2.8494815300787404</v>
      </c>
      <c r="AR30" s="2">
        <v>0.82939878803149625</v>
      </c>
      <c r="AS30" s="2">
        <v>0.76425708188976371</v>
      </c>
      <c r="AT30" s="2">
        <f>AU17</f>
        <v>2.2924755949606306</v>
      </c>
      <c r="AU30" s="2">
        <v>1.4202074541732284</v>
      </c>
      <c r="AV30" s="2">
        <v>0.65772427653543319</v>
      </c>
      <c r="AW30" s="2">
        <f>AX17</f>
        <v>3.0237183477165357</v>
      </c>
      <c r="AX30" s="2">
        <v>0.5291162182677166</v>
      </c>
      <c r="AY30" s="2">
        <f>AZ17</f>
        <v>1.8935442387401575</v>
      </c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</row>
    <row r="31" spans="5:119" x14ac:dyDescent="0.55000000000000004">
      <c r="F31" t="s">
        <v>21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v>17.931800374556389</v>
      </c>
      <c r="R31" s="2"/>
      <c r="S31" s="2"/>
      <c r="T31" s="2">
        <v>9.1737536016698229</v>
      </c>
      <c r="U31" s="2"/>
      <c r="V31" s="2"/>
      <c r="W31" s="2"/>
      <c r="X31" s="2"/>
      <c r="Y31" s="2">
        <f>Z21</f>
        <v>7.8735202733374869</v>
      </c>
      <c r="Z31" s="2">
        <v>11.143555409921358</v>
      </c>
      <c r="AA31" s="2">
        <v>10.030945770430826</v>
      </c>
      <c r="AB31" s="2">
        <v>9.6671151621095053</v>
      </c>
      <c r="AC31" s="2">
        <v>8.8947210297681707</v>
      </c>
      <c r="AD31" s="2">
        <v>6.0713143784703369</v>
      </c>
      <c r="AE31" s="2">
        <f t="shared" ref="AE31:AK31" si="19">AF21</f>
        <v>2.2251999563989742</v>
      </c>
      <c r="AF31" s="2">
        <v>11.755398606176399</v>
      </c>
      <c r="AG31" s="2">
        <f t="shared" si="19"/>
        <v>-9.4171177677165367</v>
      </c>
      <c r="AH31" s="2">
        <f t="shared" si="19"/>
        <v>9.7283437654319602</v>
      </c>
      <c r="AI31" s="2">
        <f t="shared" si="19"/>
        <v>5.9150350122384516</v>
      </c>
      <c r="AJ31" s="2">
        <v>8.2771995085426937</v>
      </c>
      <c r="AK31" s="2">
        <f t="shared" si="19"/>
        <v>34.38271604938268</v>
      </c>
      <c r="AL31" s="2">
        <f>AM21</f>
        <v>-11.372144600796943</v>
      </c>
      <c r="AM31" s="2">
        <v>11.936826184636587</v>
      </c>
      <c r="AN31" s="2">
        <v>6.9545588467600794</v>
      </c>
      <c r="AO31" s="2">
        <v>11.66102380445623</v>
      </c>
      <c r="AP31" s="2">
        <v>13.379400307313759</v>
      </c>
      <c r="AQ31" s="2">
        <v>33.279853332884102</v>
      </c>
      <c r="AR31" s="2">
        <v>13.49560920505462</v>
      </c>
      <c r="AS31" s="2">
        <v>7.3199504968757658</v>
      </c>
      <c r="AT31" s="2">
        <f t="shared" ref="AT31:AY31" si="20">AU21</f>
        <v>11.745531430965698</v>
      </c>
      <c r="AU31" s="2">
        <f t="shared" si="20"/>
        <v>12.511796012246599</v>
      </c>
      <c r="AV31" s="2">
        <f t="shared" si="20"/>
        <v>8.4712501884028875</v>
      </c>
      <c r="AW31" s="2">
        <f t="shared" si="20"/>
        <v>-24.074364323271737</v>
      </c>
      <c r="AX31" s="2">
        <f t="shared" si="20"/>
        <v>11.555248493090138</v>
      </c>
      <c r="AY31" s="2">
        <f t="shared" si="20"/>
        <v>17.839328535580783</v>
      </c>
      <c r="AZ31" s="2"/>
      <c r="BA31" s="2"/>
      <c r="BB31" s="2"/>
      <c r="BC31" s="2"/>
      <c r="BD31" s="2"/>
      <c r="BE31" s="2"/>
    </row>
    <row r="32" spans="5:119" x14ac:dyDescent="0.55000000000000004">
      <c r="G32" t="s">
        <v>18</v>
      </c>
      <c r="H32" t="s">
        <v>2</v>
      </c>
      <c r="I32" t="s">
        <v>12</v>
      </c>
      <c r="J32" t="s">
        <v>24</v>
      </c>
      <c r="K32" t="s">
        <v>7</v>
      </c>
      <c r="L32" t="s">
        <v>8</v>
      </c>
      <c r="M32" t="s">
        <v>22</v>
      </c>
      <c r="N32" t="s">
        <v>21</v>
      </c>
      <c r="O32" s="24" t="s">
        <v>34</v>
      </c>
      <c r="Q32" s="24" t="s">
        <v>38</v>
      </c>
      <c r="R32" t="s">
        <v>39</v>
      </c>
      <c r="S32" t="s">
        <v>35</v>
      </c>
      <c r="T32" t="s">
        <v>36</v>
      </c>
      <c r="V32" t="s">
        <v>147</v>
      </c>
    </row>
    <row r="33" spans="2:35" x14ac:dyDescent="0.55000000000000004">
      <c r="B33" t="s">
        <v>11</v>
      </c>
      <c r="C33">
        <f>2*H39/100*1000</f>
        <v>85.866750000000025</v>
      </c>
      <c r="D33" t="s">
        <v>37</v>
      </c>
      <c r="E33" s="2" t="s">
        <v>9</v>
      </c>
      <c r="F33" s="2" t="s">
        <v>16</v>
      </c>
      <c r="G33" s="2">
        <f>100-(9.1561-9.0956)/0.324*100</f>
        <v>81.327160493826824</v>
      </c>
      <c r="H33" s="2">
        <v>39.331642499999994</v>
      </c>
      <c r="I33" s="2">
        <v>3.6727258999999997</v>
      </c>
      <c r="J33" s="2">
        <v>2.8212299999999999</v>
      </c>
      <c r="K33" s="2">
        <v>5.8741935200000004</v>
      </c>
      <c r="L33" s="2">
        <v>3.3072916799999996</v>
      </c>
      <c r="M33" s="2">
        <v>1.1506725581102364</v>
      </c>
      <c r="N33" s="2">
        <v>25.1694043357166</v>
      </c>
      <c r="O33" s="2">
        <v>50</v>
      </c>
      <c r="P33" s="2">
        <f>2*H33/100*1000-$C$33</f>
        <v>700.76609999999982</v>
      </c>
      <c r="Q33" s="2">
        <v>1027</v>
      </c>
      <c r="R33">
        <f>P33/O33/Q33*1000</f>
        <v>13.64685686465433</v>
      </c>
      <c r="V33">
        <f>(0.002*H33-$H$40*0.002)/100/0.000357</f>
        <v>2.1644092436974782</v>
      </c>
    </row>
    <row r="34" spans="2:35" x14ac:dyDescent="0.55000000000000004">
      <c r="C34">
        <f>2*H40/100*1000</f>
        <v>13.938750000000001</v>
      </c>
      <c r="D34" t="s">
        <v>37</v>
      </c>
      <c r="E34" s="2"/>
      <c r="F34" s="2" t="s">
        <v>17</v>
      </c>
      <c r="G34" s="22">
        <f>100-(9.3372-9.0998)/0.324*100</f>
        <v>26.728395061728648</v>
      </c>
      <c r="H34" s="22">
        <v>11.449282499999999</v>
      </c>
      <c r="I34" s="22">
        <v>0.68769525999999992</v>
      </c>
      <c r="J34" s="22">
        <v>1.7029575000000001</v>
      </c>
      <c r="K34" s="22">
        <v>1.9667284000000003</v>
      </c>
      <c r="L34" s="22">
        <v>0.98373031999999994</v>
      </c>
      <c r="M34" s="22">
        <v>0.75873826866141736</v>
      </c>
      <c r="N34" s="22">
        <v>9.1792628130672327</v>
      </c>
      <c r="O34" s="22">
        <v>50</v>
      </c>
      <c r="P34" s="22">
        <f>2*H34/100*1000-$C$34</f>
        <v>215.04689999999999</v>
      </c>
      <c r="Q34" s="22">
        <v>1011</v>
      </c>
      <c r="R34" s="23">
        <f t="shared" ref="R34:R77" si="21">P34/O34/Q34*1000</f>
        <v>4.2541424332344215</v>
      </c>
      <c r="V34" s="23">
        <f t="shared" ref="V34:V71" si="22">(0.002*H34-$H$40*0.002)/100/0.000357</f>
        <v>0.60237226890756301</v>
      </c>
    </row>
    <row r="35" spans="2:35" x14ac:dyDescent="0.55000000000000004">
      <c r="E35" s="2" t="s">
        <v>10</v>
      </c>
      <c r="F35" s="2" t="s">
        <v>16</v>
      </c>
      <c r="G35" s="2">
        <f>100-(9.109-9.0928)/0.324*100</f>
        <v>95.000000000000142</v>
      </c>
      <c r="H35" s="2">
        <v>55.038622500000002</v>
      </c>
      <c r="I35" s="2">
        <v>0.99815105999999987</v>
      </c>
      <c r="J35" s="2">
        <v>2.493045</v>
      </c>
      <c r="K35" s="2">
        <v>7.3866582400000009</v>
      </c>
      <c r="L35" s="2">
        <v>3.74530056</v>
      </c>
      <c r="M35" s="2">
        <v>1.5011171981102363</v>
      </c>
      <c r="N35" s="2">
        <v>23.837105441889904</v>
      </c>
      <c r="O35" s="2">
        <v>29.6</v>
      </c>
      <c r="P35" s="2">
        <f>2*H35/100*1000-$C$33</f>
        <v>1014.9056999999999</v>
      </c>
      <c r="Q35" s="2">
        <v>1030</v>
      </c>
      <c r="R35">
        <f t="shared" si="21"/>
        <v>33.288693912358958</v>
      </c>
      <c r="V35">
        <f t="shared" si="22"/>
        <v>3.044352100840336</v>
      </c>
    </row>
    <row r="36" spans="2:35" x14ac:dyDescent="0.55000000000000004">
      <c r="E36" s="2"/>
      <c r="F36" s="2" t="s">
        <v>17</v>
      </c>
      <c r="G36" s="22">
        <f>100-(9.3242-9.0986)/0.324*100</f>
        <v>30.370370370370367</v>
      </c>
      <c r="H36" s="26">
        <v>13.284067499999999</v>
      </c>
      <c r="I36" s="22">
        <v>0.39270593999999992</v>
      </c>
      <c r="J36" s="22">
        <v>1.5048450000000002</v>
      </c>
      <c r="K36" s="22">
        <v>2.0049775200000006</v>
      </c>
      <c r="L36" s="22">
        <v>1.0239352400000001</v>
      </c>
      <c r="M36" s="22">
        <v>0.74878469480314969</v>
      </c>
      <c r="N36" s="22">
        <v>11.411054475567219</v>
      </c>
      <c r="O36" s="22">
        <v>29.6</v>
      </c>
      <c r="P36" s="22">
        <f>2*H36/100*1000-$C$34</f>
        <v>251.74260000000001</v>
      </c>
      <c r="Q36" s="22">
        <v>1042</v>
      </c>
      <c r="R36" s="23">
        <f t="shared" si="21"/>
        <v>8.1620130206982413</v>
      </c>
      <c r="V36" s="23">
        <f t="shared" si="22"/>
        <v>0.70516134453781509</v>
      </c>
    </row>
    <row r="37" spans="2:35" x14ac:dyDescent="0.55000000000000004">
      <c r="E37" s="2" t="s">
        <v>19</v>
      </c>
      <c r="F37" s="2" t="s">
        <v>16</v>
      </c>
      <c r="G37" s="2">
        <f>100-(9.2477-9.1004)/0.324*100</f>
        <v>54.53703703703718</v>
      </c>
      <c r="H37" s="2">
        <v>17.790030000000002</v>
      </c>
      <c r="I37" s="2">
        <v>9.7010492599999978</v>
      </c>
      <c r="J37" s="2">
        <v>2.2730625</v>
      </c>
      <c r="K37" s="2">
        <v>3.5463136800000004</v>
      </c>
      <c r="L37" s="2">
        <v>1.3522337999999998</v>
      </c>
      <c r="M37" s="2">
        <v>0.80436702803149618</v>
      </c>
      <c r="N37" s="2">
        <v>19.069980769005689</v>
      </c>
      <c r="O37" s="2">
        <v>43.6</v>
      </c>
      <c r="P37" s="2">
        <f>2*H37/100*1000-$C$33</f>
        <v>269.93385000000001</v>
      </c>
      <c r="Q37" s="2">
        <v>1036</v>
      </c>
      <c r="R37">
        <f t="shared" si="21"/>
        <v>5.9760070932662677</v>
      </c>
      <c r="V37">
        <f t="shared" si="22"/>
        <v>0.95759621848739496</v>
      </c>
    </row>
    <row r="38" spans="2:35" x14ac:dyDescent="0.55000000000000004">
      <c r="E38" s="2"/>
      <c r="F38" s="2" t="s">
        <v>17</v>
      </c>
      <c r="G38" s="22">
        <f>100-(9.3564-9.0905)/0.324*100</f>
        <v>17.932098765432031</v>
      </c>
      <c r="H38" s="22">
        <v>3.4493175000000003</v>
      </c>
      <c r="I38" s="22">
        <v>1.5477366599999998</v>
      </c>
      <c r="J38" s="22">
        <v>1.2750075000000001</v>
      </c>
      <c r="K38" s="22">
        <v>0.82590040000000009</v>
      </c>
      <c r="L38" s="22">
        <v>0.45998423999999999</v>
      </c>
      <c r="M38" s="22">
        <v>0.37114018960629924</v>
      </c>
      <c r="N38" s="22">
        <v>10.003012275825732</v>
      </c>
      <c r="O38" s="22">
        <v>43.6</v>
      </c>
      <c r="P38" s="22">
        <f>2*H38/100*1000-$C$34</f>
        <v>55.047600000000003</v>
      </c>
      <c r="Q38" s="22">
        <v>1045</v>
      </c>
      <c r="R38" s="23">
        <f t="shared" si="21"/>
        <v>1.2081910363899744</v>
      </c>
      <c r="S38" s="6">
        <v>0</v>
      </c>
      <c r="T38" s="6">
        <v>0</v>
      </c>
      <c r="U38" t="s">
        <v>26</v>
      </c>
      <c r="V38" s="23">
        <f t="shared" si="22"/>
        <v>0.1541949579831933</v>
      </c>
    </row>
    <row r="39" spans="2:35" x14ac:dyDescent="0.55000000000000004">
      <c r="E39" s="2" t="s">
        <v>11</v>
      </c>
      <c r="F39" s="2" t="s">
        <v>16</v>
      </c>
      <c r="G39" s="2">
        <v>44.81</v>
      </c>
      <c r="H39" s="2">
        <v>4.2933375000000007</v>
      </c>
      <c r="I39" s="2">
        <v>8.2026401600000014</v>
      </c>
      <c r="J39" s="2">
        <v>1.5973199999999996</v>
      </c>
      <c r="K39" s="2">
        <v>2.0420452</v>
      </c>
      <c r="L39" s="2">
        <v>1.1196612400000001</v>
      </c>
      <c r="M39" s="2">
        <v>0.58174204440944888</v>
      </c>
      <c r="N39" s="2">
        <v>26.98</v>
      </c>
      <c r="O39" s="2">
        <v>0</v>
      </c>
      <c r="P39" s="2">
        <f>2*H39/100*1000-$C$33</f>
        <v>0</v>
      </c>
      <c r="Q39" s="2">
        <v>1031</v>
      </c>
      <c r="R39" t="e">
        <f t="shared" si="21"/>
        <v>#DIV/0!</v>
      </c>
      <c r="S39">
        <v>1.2081910363899744</v>
      </c>
      <c r="T39">
        <v>5.9760070932662677</v>
      </c>
      <c r="U39" t="s">
        <v>19</v>
      </c>
      <c r="V39">
        <f t="shared" si="22"/>
        <v>0.20147899159663871</v>
      </c>
    </row>
    <row r="40" spans="2:35" x14ac:dyDescent="0.55000000000000004">
      <c r="E40" s="2"/>
      <c r="F40" s="2" t="s">
        <v>17</v>
      </c>
      <c r="G40" s="22">
        <f>100-(9.3719-9.0922)/0.324*100</f>
        <v>13.672839506172835</v>
      </c>
      <c r="H40" s="22">
        <v>0.6969375000000001</v>
      </c>
      <c r="I40" s="22">
        <v>1.0255177199999999</v>
      </c>
      <c r="J40" s="22">
        <v>0.58016250000000003</v>
      </c>
      <c r="K40" s="22">
        <v>0.41771288000000006</v>
      </c>
      <c r="L40" s="22">
        <v>0.22283348</v>
      </c>
      <c r="M40" s="22">
        <v>0.26046827433070863</v>
      </c>
      <c r="N40" s="22">
        <v>10.469207151842127</v>
      </c>
      <c r="O40" s="22">
        <v>0</v>
      </c>
      <c r="P40" s="22">
        <f>2*H40/100*1000-$C$34</f>
        <v>0</v>
      </c>
      <c r="Q40" s="22">
        <v>1053</v>
      </c>
      <c r="R40" s="23" t="e">
        <f t="shared" si="21"/>
        <v>#DIV/0!</v>
      </c>
      <c r="S40">
        <v>8.0126517930399004</v>
      </c>
      <c r="T40">
        <v>33.288693912358958</v>
      </c>
      <c r="U40" t="s">
        <v>10</v>
      </c>
      <c r="V40" s="23">
        <f t="shared" si="22"/>
        <v>0</v>
      </c>
    </row>
    <row r="41" spans="2:35" x14ac:dyDescent="0.55000000000000004">
      <c r="E41" t="s">
        <v>32</v>
      </c>
      <c r="F41" s="2" t="s">
        <v>16</v>
      </c>
      <c r="G41" s="2">
        <v>95.28</v>
      </c>
      <c r="H41" s="2">
        <v>57.471254999999999</v>
      </c>
      <c r="I41" s="2">
        <v>1.2762849199999999</v>
      </c>
      <c r="J41" s="2">
        <v>2.9536650000000004</v>
      </c>
      <c r="K41" s="2">
        <v>7.5813743200000001</v>
      </c>
      <c r="L41" s="2">
        <v>4.2696293200000008</v>
      </c>
      <c r="M41" s="2">
        <v>1.5345257281889766</v>
      </c>
      <c r="N41" s="2">
        <v>20.190000000000001</v>
      </c>
      <c r="O41" s="2">
        <v>39.1</v>
      </c>
      <c r="P41" s="2">
        <f>2*H41/100*1000-$C$33</f>
        <v>1063.5583499999998</v>
      </c>
      <c r="Q41" s="2">
        <v>1030</v>
      </c>
      <c r="R41">
        <f t="shared" si="21"/>
        <v>26.408719241178947</v>
      </c>
      <c r="S41">
        <v>9.1956023528812612</v>
      </c>
      <c r="T41">
        <v>39.818479611431158</v>
      </c>
      <c r="U41" t="s">
        <v>40</v>
      </c>
      <c r="V41">
        <f t="shared" si="22"/>
        <v>3.1806340336134449</v>
      </c>
    </row>
    <row r="42" spans="2:35" x14ac:dyDescent="0.55000000000000004">
      <c r="F42" s="2" t="s">
        <v>17</v>
      </c>
      <c r="G42" s="22">
        <v>37.25</v>
      </c>
      <c r="H42" s="22">
        <v>18.013455</v>
      </c>
      <c r="I42" s="22">
        <v>0.36747905999999997</v>
      </c>
      <c r="J42" s="22">
        <v>1.7446049999999997</v>
      </c>
      <c r="K42" s="22">
        <v>2.7258036000000003</v>
      </c>
      <c r="L42" s="22">
        <v>1.4034263999999999</v>
      </c>
      <c r="M42" s="22">
        <v>1.1874317962204723</v>
      </c>
      <c r="N42" s="22">
        <v>11.81</v>
      </c>
      <c r="O42" s="22">
        <v>39.1</v>
      </c>
      <c r="P42" s="22">
        <f>2*H42/100*1000-$C$34</f>
        <v>346.33034999999995</v>
      </c>
      <c r="Q42" s="22">
        <v>1044</v>
      </c>
      <c r="R42" s="23">
        <f t="shared" si="21"/>
        <v>8.4842468471646519</v>
      </c>
      <c r="S42">
        <v>2.8368146352308456</v>
      </c>
      <c r="T42">
        <v>15.401817758345068</v>
      </c>
      <c r="U42" s="29" t="s">
        <v>49</v>
      </c>
      <c r="V42" s="23">
        <f t="shared" si="22"/>
        <v>0.97011302521008402</v>
      </c>
    </row>
    <row r="43" spans="2:35" x14ac:dyDescent="0.55000000000000004">
      <c r="E43" t="s">
        <v>42</v>
      </c>
      <c r="F43" s="2" t="s">
        <v>17</v>
      </c>
      <c r="G43" s="22">
        <v>27.16</v>
      </c>
      <c r="H43" s="22">
        <v>11.165849999999999</v>
      </c>
      <c r="I43" s="22">
        <v>0.61708252000000008</v>
      </c>
      <c r="J43" s="22">
        <v>1.7456850000000004</v>
      </c>
      <c r="K43" s="22">
        <v>2.13641272</v>
      </c>
      <c r="L43" s="22">
        <v>0.97981804000000006</v>
      </c>
      <c r="M43" s="22">
        <v>0.86379282047244088</v>
      </c>
      <c r="N43" s="22">
        <v>9.6518527266884107</v>
      </c>
      <c r="O43" s="22">
        <v>39.1</v>
      </c>
      <c r="P43" s="22">
        <f t="shared" ref="P43:P77" si="23">2*H43/100*1000-$C$34</f>
        <v>209.37824999999998</v>
      </c>
      <c r="Q43" s="22">
        <v>1031</v>
      </c>
      <c r="R43" s="23">
        <f t="shared" si="21"/>
        <v>5.1939306064432262</v>
      </c>
      <c r="S43">
        <v>5.1939306064432262</v>
      </c>
      <c r="T43">
        <v>26.408719241178947</v>
      </c>
      <c r="U43" s="29" t="s">
        <v>32</v>
      </c>
      <c r="V43" s="23">
        <f t="shared" si="22"/>
        <v>0.5864936974789916</v>
      </c>
      <c r="W43" s="6">
        <f>(G43+G44)/2</f>
        <v>27.407160493827035</v>
      </c>
      <c r="X43" s="6">
        <f t="shared" ref="X43:AH43" si="24">(H43+H44)/2</f>
        <v>11.7717975</v>
      </c>
      <c r="Y43" s="6">
        <f t="shared" si="24"/>
        <v>0.58857088999999996</v>
      </c>
      <c r="Z43" s="6">
        <f t="shared" si="24"/>
        <v>1.2537391629921262</v>
      </c>
      <c r="AA43" s="6">
        <f t="shared" si="24"/>
        <v>2.0583269199999998</v>
      </c>
      <c r="AB43" s="6">
        <f t="shared" si="24"/>
        <v>1.0114908599999999</v>
      </c>
      <c r="AC43" s="6">
        <f t="shared" si="24"/>
        <v>0.81279307322834637</v>
      </c>
      <c r="AD43" s="6">
        <f t="shared" si="24"/>
        <v>9.4128031641791168</v>
      </c>
      <c r="AE43" s="6">
        <f t="shared" si="24"/>
        <v>39.1</v>
      </c>
      <c r="AF43" s="6">
        <f t="shared" si="24"/>
        <v>221.49720000000002</v>
      </c>
      <c r="AG43" s="6">
        <f t="shared" si="24"/>
        <v>1046.5</v>
      </c>
      <c r="AH43" s="6">
        <f t="shared" si="24"/>
        <v>5.409977354025723</v>
      </c>
      <c r="AI43" s="23">
        <f>(0.002*X43-$H$40*0.002)/100/0.000357</f>
        <v>0.62044033613445382</v>
      </c>
    </row>
    <row r="44" spans="2:35" x14ac:dyDescent="0.55000000000000004">
      <c r="E44" t="s">
        <v>43</v>
      </c>
      <c r="F44" s="2" t="s">
        <v>17</v>
      </c>
      <c r="G44" s="22">
        <v>27.654320987654074</v>
      </c>
      <c r="H44" s="22">
        <v>12.377745000000001</v>
      </c>
      <c r="I44" s="22">
        <v>0.56005925999999995</v>
      </c>
      <c r="J44" s="22">
        <v>0.76179332598425198</v>
      </c>
      <c r="K44" s="22">
        <v>1.9802411200000001</v>
      </c>
      <c r="L44" s="22">
        <v>1.0431636799999999</v>
      </c>
      <c r="M44" s="22">
        <v>0.76179332598425198</v>
      </c>
      <c r="N44" s="22">
        <v>9.1737536016698229</v>
      </c>
      <c r="O44" s="22">
        <v>39.1</v>
      </c>
      <c r="P44" s="22">
        <f t="shared" si="23"/>
        <v>233.61615000000003</v>
      </c>
      <c r="Q44" s="22">
        <v>1062</v>
      </c>
      <c r="R44" s="23">
        <f t="shared" si="21"/>
        <v>5.6260241016082198</v>
      </c>
      <c r="S44">
        <v>4.2541424332344215</v>
      </c>
      <c r="T44">
        <v>13.64685686465433</v>
      </c>
      <c r="U44" s="29" t="s">
        <v>9</v>
      </c>
      <c r="V44" s="23">
        <f t="shared" si="22"/>
        <v>0.65438697478991603</v>
      </c>
    </row>
    <row r="45" spans="2:35" x14ac:dyDescent="0.55000000000000004">
      <c r="E45" t="s">
        <v>40</v>
      </c>
      <c r="F45" s="2" t="s">
        <v>16</v>
      </c>
      <c r="G45" s="2">
        <v>94.753086419753259</v>
      </c>
      <c r="H45" s="2">
        <v>51.882592500000015</v>
      </c>
      <c r="I45" s="2">
        <v>5.2638212600000003</v>
      </c>
      <c r="J45" s="2">
        <v>4.3168274999999996</v>
      </c>
      <c r="K45" s="2">
        <v>9.0030896800000004</v>
      </c>
      <c r="L45" s="2">
        <v>4.4378573600000006</v>
      </c>
      <c r="M45" s="2">
        <v>1.9170977451968507</v>
      </c>
      <c r="N45" s="2">
        <v>17.931800374556389</v>
      </c>
      <c r="O45" s="2">
        <v>22.7</v>
      </c>
      <c r="P45" s="2">
        <f>2*H45/100*1000-$C$33</f>
        <v>951.78510000000017</v>
      </c>
      <c r="Q45" s="2">
        <v>1053</v>
      </c>
      <c r="R45">
        <f t="shared" si="21"/>
        <v>39.818479611431158</v>
      </c>
      <c r="S45">
        <v>5.3459331721786691</v>
      </c>
      <c r="U45" t="s">
        <v>82</v>
      </c>
      <c r="V45">
        <f t="shared" si="22"/>
        <v>2.8675436974789927</v>
      </c>
      <c r="W45">
        <v>28.271604938272105</v>
      </c>
      <c r="X45">
        <v>13.358722500000001</v>
      </c>
      <c r="Y45">
        <v>0.58513597999999989</v>
      </c>
      <c r="Z45">
        <v>1.8430875000000002</v>
      </c>
      <c r="AA45">
        <v>1.71611544</v>
      </c>
      <c r="AB45">
        <v>1.1568695199999999</v>
      </c>
      <c r="AC45">
        <v>0.71695296850393708</v>
      </c>
      <c r="AD45">
        <v>8.8947210297681707</v>
      </c>
      <c r="AE45">
        <v>29.6</v>
      </c>
      <c r="AF45">
        <v>253.23570000000004</v>
      </c>
      <c r="AG45">
        <v>1088</v>
      </c>
      <c r="AH45">
        <v>7.8632905653815577</v>
      </c>
      <c r="AI45" s="23">
        <f>(0.002*X45-$H$40*0.002)/100/0.000357</f>
        <v>0.70934369747899173</v>
      </c>
    </row>
    <row r="46" spans="2:35" x14ac:dyDescent="0.55000000000000004">
      <c r="F46" s="2" t="s">
        <v>17</v>
      </c>
      <c r="G46" s="22">
        <v>30.31</v>
      </c>
      <c r="H46" s="22">
        <v>11.530552500000001</v>
      </c>
      <c r="I46" s="22">
        <v>5.2239537799999995</v>
      </c>
      <c r="J46" s="22">
        <v>1.8454500000000003</v>
      </c>
      <c r="K46" s="22">
        <v>2.7410884800000002</v>
      </c>
      <c r="L46" s="22">
        <v>1.1969911999999998</v>
      </c>
      <c r="M46" s="22">
        <v>1.0702555653543309</v>
      </c>
      <c r="N46" s="22">
        <v>6.7003504499544499</v>
      </c>
      <c r="O46" s="22">
        <v>22.7</v>
      </c>
      <c r="P46" s="22">
        <f t="shared" si="23"/>
        <v>216.67230000000001</v>
      </c>
      <c r="Q46" s="22">
        <v>1038</v>
      </c>
      <c r="R46" s="23">
        <f t="shared" si="21"/>
        <v>9.1956023528812612</v>
      </c>
      <c r="S46">
        <v>16.427803853754938</v>
      </c>
      <c r="U46" t="s">
        <v>83</v>
      </c>
      <c r="V46" s="23">
        <f t="shared" si="22"/>
        <v>0.60692521008403366</v>
      </c>
      <c r="W46">
        <v>30.370370370370367</v>
      </c>
      <c r="X46">
        <v>13.284067499999999</v>
      </c>
      <c r="Y46">
        <v>0.39270593999999992</v>
      </c>
      <c r="Z46">
        <v>1.5048450000000002</v>
      </c>
      <c r="AA46">
        <v>2.0049775200000006</v>
      </c>
      <c r="AB46">
        <v>1.0239352400000001</v>
      </c>
      <c r="AC46">
        <v>0.74878469480314969</v>
      </c>
      <c r="AD46">
        <v>11.411054475567219</v>
      </c>
      <c r="AE46">
        <v>29.6</v>
      </c>
      <c r="AF46">
        <v>251.74260000000001</v>
      </c>
      <c r="AG46">
        <v>1042</v>
      </c>
      <c r="AH46">
        <v>8.1620130206982413</v>
      </c>
      <c r="AI46" s="23">
        <f>(0.002*X46-$H$40*0.002)/100/0.000357</f>
        <v>0.70516134453781509</v>
      </c>
    </row>
    <row r="47" spans="2:35" x14ac:dyDescent="0.55000000000000004">
      <c r="E47" t="s">
        <v>45</v>
      </c>
      <c r="F47" s="2" t="s">
        <v>16</v>
      </c>
      <c r="G47" s="2"/>
      <c r="H47" s="2">
        <v>47.937622499999996</v>
      </c>
      <c r="I47" s="2">
        <v>3.6391276000000001</v>
      </c>
      <c r="J47" s="2">
        <v>3.4188750000000003</v>
      </c>
      <c r="K47" s="2">
        <v>6.0337617600000009</v>
      </c>
      <c r="L47" s="2">
        <v>3.8635846000000003</v>
      </c>
      <c r="M47" s="2">
        <v>1.1451537448818898</v>
      </c>
      <c r="N47" s="2"/>
      <c r="O47" s="2">
        <v>55.4</v>
      </c>
      <c r="P47" s="2">
        <f>2*H47/100*1000-$C$33</f>
        <v>872.88569999999993</v>
      </c>
      <c r="Q47" s="2">
        <v>1023</v>
      </c>
      <c r="R47" s="25">
        <f t="shared" si="21"/>
        <v>15.401817758345068</v>
      </c>
      <c r="S47">
        <v>8.6515001387182444</v>
      </c>
      <c r="U47" t="s">
        <v>84</v>
      </c>
      <c r="V47">
        <f t="shared" si="22"/>
        <v>2.6465369747899161</v>
      </c>
      <c r="W47" s="6">
        <f>(W45+W46)/2</f>
        <v>29.320987654321236</v>
      </c>
      <c r="X47" s="6">
        <f t="shared" ref="X47:AI47" si="25">(X45+X46)/2</f>
        <v>13.321394999999999</v>
      </c>
      <c r="Y47" s="6">
        <f t="shared" si="25"/>
        <v>0.4889209599999999</v>
      </c>
      <c r="Z47" s="6">
        <f t="shared" si="25"/>
        <v>1.6739662500000003</v>
      </c>
      <c r="AA47" s="6">
        <f t="shared" si="25"/>
        <v>1.8605464800000004</v>
      </c>
      <c r="AB47" s="6">
        <f t="shared" si="25"/>
        <v>1.09040238</v>
      </c>
      <c r="AC47" s="6">
        <f t="shared" si="25"/>
        <v>0.73286883165354344</v>
      </c>
      <c r="AD47" s="6">
        <f t="shared" si="25"/>
        <v>10.152887752667695</v>
      </c>
      <c r="AE47" s="6">
        <f t="shared" si="25"/>
        <v>29.6</v>
      </c>
      <c r="AF47" s="6">
        <f t="shared" si="25"/>
        <v>252.48915000000002</v>
      </c>
      <c r="AG47" s="6">
        <f t="shared" si="25"/>
        <v>1065</v>
      </c>
      <c r="AH47" s="6">
        <f t="shared" si="25"/>
        <v>8.0126517930399004</v>
      </c>
      <c r="AI47" s="6">
        <f t="shared" si="25"/>
        <v>0.70725252100840341</v>
      </c>
    </row>
    <row r="48" spans="2:35" x14ac:dyDescent="0.55000000000000004">
      <c r="F48" s="2" t="s">
        <v>46</v>
      </c>
      <c r="G48" s="22">
        <v>21.419753086419774</v>
      </c>
      <c r="H48" s="22">
        <v>8.7356475000000007</v>
      </c>
      <c r="I48" s="22">
        <v>0.7392376799999999</v>
      </c>
      <c r="J48" s="22">
        <v>1.6635375000000001</v>
      </c>
      <c r="K48" s="22">
        <v>1.4268103200000002</v>
      </c>
      <c r="L48" s="22">
        <v>1.6084465199999998</v>
      </c>
      <c r="M48" s="22">
        <v>0.54931901669291339</v>
      </c>
      <c r="N48" s="22">
        <v>6.6967545497268617</v>
      </c>
      <c r="O48" s="22">
        <v>55.4</v>
      </c>
      <c r="P48" s="22">
        <f t="shared" si="23"/>
        <v>160.77420000000001</v>
      </c>
      <c r="Q48" s="22">
        <v>1023</v>
      </c>
      <c r="R48" s="23">
        <f t="shared" si="21"/>
        <v>2.8368146352308456</v>
      </c>
      <c r="S48">
        <v>3.7035557658362612</v>
      </c>
      <c r="U48" t="s">
        <v>85</v>
      </c>
      <c r="V48" s="23">
        <f t="shared" si="22"/>
        <v>0.45034789915966389</v>
      </c>
    </row>
    <row r="49" spans="5:22" x14ac:dyDescent="0.55000000000000004">
      <c r="E49" t="s">
        <v>47</v>
      </c>
      <c r="F49" s="2" t="s">
        <v>46</v>
      </c>
      <c r="G49" s="22">
        <v>24.043209876543145</v>
      </c>
      <c r="H49" s="22">
        <v>9.7463250000000006</v>
      </c>
      <c r="I49" s="22">
        <v>0.79723697999999998</v>
      </c>
      <c r="J49" s="22">
        <v>1.6964774999999999</v>
      </c>
      <c r="K49" s="22">
        <v>1.81328888</v>
      </c>
      <c r="L49" s="22">
        <v>0.88958587999999994</v>
      </c>
      <c r="M49" s="22">
        <v>0.73350940818897647</v>
      </c>
      <c r="N49" s="22">
        <v>8.3699999999999992</v>
      </c>
      <c r="O49" s="22">
        <v>47.1</v>
      </c>
      <c r="P49" s="22">
        <f t="shared" si="23"/>
        <v>180.98775000000001</v>
      </c>
      <c r="Q49" s="22">
        <v>1030</v>
      </c>
      <c r="R49" s="23">
        <f t="shared" si="21"/>
        <v>3.7307062024611963</v>
      </c>
      <c r="S49">
        <v>1.831319115716616</v>
      </c>
      <c r="U49" s="29" t="s">
        <v>86</v>
      </c>
      <c r="V49" s="23">
        <f t="shared" si="22"/>
        <v>0.50696848739495803</v>
      </c>
    </row>
    <row r="50" spans="5:22" x14ac:dyDescent="0.55000000000000004">
      <c r="E50" t="s">
        <v>52</v>
      </c>
      <c r="F50" s="2" t="s">
        <v>46</v>
      </c>
      <c r="G50" s="22">
        <v>24.444444444444542</v>
      </c>
      <c r="H50" s="22">
        <v>11.798730000000001</v>
      </c>
      <c r="I50" s="22">
        <v>0.6549228399999999</v>
      </c>
      <c r="J50" s="22">
        <v>1.7973225000000002</v>
      </c>
      <c r="K50" s="22">
        <v>1.6836258400000002</v>
      </c>
      <c r="L50" s="22">
        <v>1.00229284</v>
      </c>
      <c r="M50" s="22">
        <v>0.65664022393700794</v>
      </c>
      <c r="N50" s="22">
        <v>6.8509102005075349</v>
      </c>
      <c r="O50" s="22">
        <v>38.6</v>
      </c>
      <c r="P50" s="22">
        <f t="shared" si="23"/>
        <v>222.03585000000001</v>
      </c>
      <c r="Q50" s="22">
        <v>1076</v>
      </c>
      <c r="R50" s="23">
        <f t="shared" si="21"/>
        <v>5.3459331721786691</v>
      </c>
      <c r="S50">
        <v>2.2803676708920637</v>
      </c>
      <c r="U50" t="s">
        <v>120</v>
      </c>
      <c r="V50" s="23">
        <f t="shared" si="22"/>
        <v>0.62194915966386555</v>
      </c>
    </row>
    <row r="51" spans="5:22" x14ac:dyDescent="0.55000000000000004">
      <c r="E51" t="s">
        <v>53</v>
      </c>
      <c r="F51" s="2" t="s">
        <v>46</v>
      </c>
      <c r="G51" s="22">
        <v>36.604938271605207</v>
      </c>
      <c r="H51" s="22">
        <v>18.651870000000002</v>
      </c>
      <c r="I51" s="22">
        <v>2.6906419599999998</v>
      </c>
      <c r="J51" s="22">
        <v>2.8433024999999996</v>
      </c>
      <c r="K51" s="22">
        <v>2.22767896</v>
      </c>
      <c r="L51" s="22">
        <v>1.4133319599999998</v>
      </c>
      <c r="M51" s="22">
        <v>0.90459261826771664</v>
      </c>
      <c r="N51" s="22">
        <v>7.8735202733374869</v>
      </c>
      <c r="O51" s="22">
        <v>20.7</v>
      </c>
      <c r="P51" s="22">
        <f t="shared" si="23"/>
        <v>359.09865000000002</v>
      </c>
      <c r="Q51" s="22">
        <v>1056</v>
      </c>
      <c r="R51" s="23">
        <f t="shared" si="21"/>
        <v>16.427803853754938</v>
      </c>
      <c r="S51">
        <v>4.9655282022053191</v>
      </c>
      <c r="U51" t="s">
        <v>121</v>
      </c>
      <c r="V51" s="23">
        <f t="shared" si="22"/>
        <v>1.0058785714285716</v>
      </c>
    </row>
    <row r="52" spans="5:22" x14ac:dyDescent="0.55000000000000004">
      <c r="E52" t="s">
        <v>54</v>
      </c>
      <c r="F52" s="2" t="s">
        <v>46</v>
      </c>
      <c r="G52" s="22">
        <v>27.500000000000099</v>
      </c>
      <c r="H52" s="22">
        <v>10.519807500000001</v>
      </c>
      <c r="I52" s="22">
        <v>0.70485103999999998</v>
      </c>
      <c r="J52" s="22">
        <v>1.8567900000000002</v>
      </c>
      <c r="K52" s="22">
        <v>1.3864198400000003</v>
      </c>
      <c r="L52" s="22">
        <v>1.0541513600000001</v>
      </c>
      <c r="M52" s="22">
        <v>0.83442485007874012</v>
      </c>
      <c r="N52" s="22">
        <v>11.143555409921358</v>
      </c>
      <c r="O52" s="22">
        <v>20.7</v>
      </c>
      <c r="P52" s="22">
        <f t="shared" si="23"/>
        <v>196.45740000000001</v>
      </c>
      <c r="Q52" s="22">
        <v>1097</v>
      </c>
      <c r="R52" s="23">
        <f t="shared" si="21"/>
        <v>8.6515001387182444</v>
      </c>
      <c r="S52">
        <v>7.3450547696237338</v>
      </c>
      <c r="U52" t="s">
        <v>122</v>
      </c>
      <c r="V52" s="23">
        <f t="shared" si="22"/>
        <v>0.55030084033613447</v>
      </c>
    </row>
    <row r="53" spans="5:22" x14ac:dyDescent="0.55000000000000004">
      <c r="E53" t="s">
        <v>55</v>
      </c>
      <c r="F53" s="2" t="s">
        <v>46</v>
      </c>
      <c r="G53" s="22">
        <v>33.580246913580439</v>
      </c>
      <c r="H53" s="22">
        <v>16.624912500000004</v>
      </c>
      <c r="I53" s="22">
        <v>0.41688169999999991</v>
      </c>
      <c r="J53" s="22">
        <v>1.8654975</v>
      </c>
      <c r="K53" s="22">
        <v>2.3055801599999999</v>
      </c>
      <c r="L53" s="22">
        <v>1.40059624</v>
      </c>
      <c r="M53" s="22">
        <v>0.93583304314960625</v>
      </c>
      <c r="N53" s="22">
        <v>10.030945770430826</v>
      </c>
      <c r="O53" s="22">
        <v>59.3</v>
      </c>
      <c r="P53" s="22">
        <f t="shared" si="23"/>
        <v>318.55950000000007</v>
      </c>
      <c r="Q53" s="22">
        <v>1073</v>
      </c>
      <c r="R53" s="23">
        <f t="shared" si="21"/>
        <v>5.0065221935315565</v>
      </c>
      <c r="U53" t="s">
        <v>123</v>
      </c>
      <c r="V53" s="23">
        <f t="shared" si="22"/>
        <v>0.89232352941176485</v>
      </c>
    </row>
    <row r="54" spans="5:22" x14ac:dyDescent="0.55000000000000004">
      <c r="E54" t="s">
        <v>59</v>
      </c>
      <c r="F54" s="2" t="s">
        <v>46</v>
      </c>
      <c r="G54" s="22">
        <v>22.345679012345727</v>
      </c>
      <c r="H54" s="22">
        <v>6.8025825000000015</v>
      </c>
      <c r="I54" s="22">
        <v>1.1374244599999999</v>
      </c>
      <c r="J54" s="22">
        <v>1.5632325000000002</v>
      </c>
      <c r="K54" s="22">
        <v>1.6382142400000002</v>
      </c>
      <c r="L54" s="22">
        <v>0.8110905599999999</v>
      </c>
      <c r="M54" s="22">
        <v>0.72601959023622042</v>
      </c>
      <c r="N54" s="22">
        <v>9.6671151621095053</v>
      </c>
      <c r="O54" s="22">
        <v>30.7</v>
      </c>
      <c r="P54" s="22">
        <f t="shared" si="23"/>
        <v>122.11290000000002</v>
      </c>
      <c r="Q54" s="22">
        <v>1074</v>
      </c>
      <c r="R54" s="23">
        <f t="shared" si="21"/>
        <v>3.7035557658362612</v>
      </c>
      <c r="U54" t="s">
        <v>124</v>
      </c>
      <c r="V54" s="23">
        <f t="shared" si="22"/>
        <v>0.34205294117647067</v>
      </c>
    </row>
    <row r="55" spans="5:22" x14ac:dyDescent="0.55000000000000004">
      <c r="E55" t="s">
        <v>60</v>
      </c>
      <c r="F55" s="2" t="s">
        <v>46</v>
      </c>
      <c r="G55" s="22">
        <v>28.271604938272105</v>
      </c>
      <c r="H55" s="22">
        <v>13.358722500000001</v>
      </c>
      <c r="I55" s="22">
        <v>0.58513597999999989</v>
      </c>
      <c r="J55" s="22">
        <v>1.8430875000000002</v>
      </c>
      <c r="K55" s="22">
        <v>1.71611544</v>
      </c>
      <c r="L55" s="22">
        <v>1.1568695199999999</v>
      </c>
      <c r="M55" s="22">
        <v>0.71695296850393708</v>
      </c>
      <c r="N55" s="22">
        <v>8.8947210297681707</v>
      </c>
      <c r="O55" s="22">
        <v>29.6</v>
      </c>
      <c r="P55" s="22">
        <f t="shared" si="23"/>
        <v>253.23570000000004</v>
      </c>
      <c r="Q55" s="22">
        <v>1088</v>
      </c>
      <c r="R55" s="23">
        <f t="shared" si="21"/>
        <v>7.8632905653815577</v>
      </c>
      <c r="V55" s="23">
        <f t="shared" si="22"/>
        <v>0.70934369747899173</v>
      </c>
    </row>
    <row r="56" spans="5:22" x14ac:dyDescent="0.55000000000000004">
      <c r="E56" t="s">
        <v>70</v>
      </c>
      <c r="F56" s="2" t="s">
        <v>46</v>
      </c>
      <c r="G56" s="22">
        <v>35.123456790123882</v>
      </c>
      <c r="H56" s="22">
        <v>21.166852500000001</v>
      </c>
      <c r="I56" s="22">
        <v>0.35828175999999995</v>
      </c>
      <c r="J56" s="22">
        <v>1.8029924999999998</v>
      </c>
      <c r="K56" s="22">
        <v>3.0800140800000002</v>
      </c>
      <c r="L56" s="22">
        <v>1.51688252</v>
      </c>
      <c r="M56" s="22">
        <v>1.1271190516535432</v>
      </c>
      <c r="N56" s="22">
        <v>6.0713143784703369</v>
      </c>
      <c r="O56" s="22">
        <v>118.6</v>
      </c>
      <c r="P56" s="22">
        <f t="shared" si="23"/>
        <v>409.39829999999995</v>
      </c>
      <c r="Q56" s="22">
        <v>1096</v>
      </c>
      <c r="R56" s="23">
        <f t="shared" si="21"/>
        <v>3.1495665673736166</v>
      </c>
      <c r="V56" s="23">
        <f t="shared" si="22"/>
        <v>1.1467739495798321</v>
      </c>
    </row>
    <row r="57" spans="5:22" x14ac:dyDescent="0.55000000000000004">
      <c r="E57" t="s">
        <v>72</v>
      </c>
      <c r="F57" s="2" t="s">
        <v>46</v>
      </c>
      <c r="G57" s="22">
        <v>42.99382716049346</v>
      </c>
      <c r="H57" s="22">
        <v>30.598357500000002</v>
      </c>
      <c r="I57" s="22">
        <v>0.28128721999999995</v>
      </c>
      <c r="J57" s="22">
        <v>1.8060300000000002</v>
      </c>
      <c r="K57" s="22">
        <v>4.6122679199999999</v>
      </c>
      <c r="L57" s="22">
        <v>1.9211791999999999</v>
      </c>
      <c r="M57" s="22">
        <v>1.5495053640944882</v>
      </c>
      <c r="N57" s="22">
        <v>2.2251999563989742</v>
      </c>
      <c r="O57" s="22">
        <v>296.39999999999998</v>
      </c>
      <c r="P57" s="22">
        <f t="shared" si="23"/>
        <v>598.02840000000003</v>
      </c>
      <c r="Q57" s="22">
        <v>1079</v>
      </c>
      <c r="R57" s="23">
        <f t="shared" si="21"/>
        <v>1.869916289261687</v>
      </c>
      <c r="V57" s="23">
        <f t="shared" si="22"/>
        <v>1.6751495798319329</v>
      </c>
    </row>
    <row r="58" spans="5:22" x14ac:dyDescent="0.55000000000000004">
      <c r="E58" t="s">
        <v>73</v>
      </c>
      <c r="F58" s="2" t="s">
        <v>46</v>
      </c>
      <c r="G58" s="2">
        <v>59.444444444444116</v>
      </c>
      <c r="H58" s="2">
        <v>36.053505000000001</v>
      </c>
      <c r="I58" s="2">
        <v>0.22572802</v>
      </c>
      <c r="J58" s="2">
        <v>1.7275949999999998</v>
      </c>
      <c r="K58" s="2">
        <v>5.80227336</v>
      </c>
      <c r="L58" s="2">
        <v>2.1993672799999997</v>
      </c>
      <c r="M58" s="2">
        <v>1.6805771782677166</v>
      </c>
      <c r="N58" s="2">
        <v>11.755398606176399</v>
      </c>
      <c r="O58" s="22">
        <v>592.79999999999995</v>
      </c>
      <c r="P58" s="22">
        <f t="shared" si="23"/>
        <v>707.13135</v>
      </c>
      <c r="Q58" s="22">
        <v>1076</v>
      </c>
      <c r="R58" s="23">
        <f t="shared" si="21"/>
        <v>1.1086121280646568</v>
      </c>
      <c r="V58" s="23">
        <f t="shared" si="22"/>
        <v>1.9807600840336133</v>
      </c>
    </row>
    <row r="59" spans="5:22" x14ac:dyDescent="0.55000000000000004">
      <c r="E59" s="30" t="s">
        <v>75</v>
      </c>
      <c r="F59" s="31" t="s">
        <v>46</v>
      </c>
      <c r="G59" s="31"/>
      <c r="H59" s="31">
        <v>4.3799400000000004</v>
      </c>
      <c r="I59" s="31">
        <v>0.92415972000000002</v>
      </c>
      <c r="J59" s="31">
        <v>1.3691024999999999</v>
      </c>
      <c r="K59" s="31">
        <v>1.5299647999999999</v>
      </c>
      <c r="L59" s="31">
        <v>0.58076548000000006</v>
      </c>
      <c r="M59" s="31">
        <v>0.63318526771653549</v>
      </c>
      <c r="N59" s="31"/>
      <c r="O59" s="31">
        <v>36.799999999999997</v>
      </c>
      <c r="P59" s="31">
        <f t="shared" si="23"/>
        <v>73.660050000000012</v>
      </c>
      <c r="Q59" s="31">
        <v>1093</v>
      </c>
      <c r="R59" s="30">
        <f t="shared" si="21"/>
        <v>1.831319115716616</v>
      </c>
      <c r="V59" s="30">
        <f t="shared" si="22"/>
        <v>0.20633067226890761</v>
      </c>
    </row>
    <row r="60" spans="5:22" x14ac:dyDescent="0.55000000000000004">
      <c r="E60" s="30" t="s">
        <v>76</v>
      </c>
      <c r="F60" s="31" t="s">
        <v>46</v>
      </c>
      <c r="G60" s="31"/>
      <c r="H60" s="31">
        <v>0.7</v>
      </c>
      <c r="I60" s="31"/>
      <c r="J60" s="31"/>
      <c r="K60" s="31"/>
      <c r="L60" s="31"/>
      <c r="M60" s="31"/>
      <c r="N60" s="31"/>
      <c r="O60" s="31">
        <v>38.200000000000003</v>
      </c>
      <c r="P60" s="31">
        <f t="shared" si="23"/>
        <v>6.1249999999997584E-2</v>
      </c>
      <c r="Q60" s="31">
        <v>1058</v>
      </c>
      <c r="R60" s="30">
        <f t="shared" si="21"/>
        <v>1.5155039143300501E-3</v>
      </c>
      <c r="V60" s="30">
        <f t="shared" si="22"/>
        <v>1.7156862745097581E-4</v>
      </c>
    </row>
    <row r="61" spans="5:22" x14ac:dyDescent="0.55000000000000004">
      <c r="E61" t="s">
        <v>77</v>
      </c>
      <c r="F61" s="2" t="s">
        <v>46</v>
      </c>
      <c r="G61" s="22">
        <v>17.716049382715923</v>
      </c>
      <c r="H61" s="22">
        <v>4.1843250000000003</v>
      </c>
      <c r="I61" s="22">
        <v>0.96102399999999988</v>
      </c>
      <c r="J61" s="22">
        <v>1.3153724999999998</v>
      </c>
      <c r="K61" s="22">
        <v>1.8104091200000001</v>
      </c>
      <c r="L61" s="22">
        <v>0.52349635999999999</v>
      </c>
      <c r="M61" s="22">
        <v>0.64422289417322842</v>
      </c>
      <c r="N61" s="22">
        <v>8.2771995085426937</v>
      </c>
      <c r="O61" s="22">
        <v>36.799999999999997</v>
      </c>
      <c r="P61" s="22">
        <f t="shared" si="23"/>
        <v>69.747750000000011</v>
      </c>
      <c r="Q61" s="22">
        <v>1095</v>
      </c>
      <c r="R61" s="23">
        <f t="shared" si="21"/>
        <v>1.7308851995235264</v>
      </c>
      <c r="V61" s="23">
        <f t="shared" si="22"/>
        <v>0.19537184873949578</v>
      </c>
    </row>
    <row r="62" spans="5:22" x14ac:dyDescent="0.55000000000000004">
      <c r="E62" s="30" t="s">
        <v>79</v>
      </c>
      <c r="F62" s="31" t="s">
        <v>46</v>
      </c>
      <c r="G62" s="31"/>
      <c r="H62" s="31">
        <v>19.96</v>
      </c>
      <c r="I62" s="31"/>
      <c r="J62" s="31"/>
      <c r="K62" s="31"/>
      <c r="L62" s="31"/>
      <c r="M62" s="31"/>
      <c r="N62" s="31"/>
      <c r="O62" s="31">
        <v>188.4</v>
      </c>
      <c r="P62" s="31">
        <f t="shared" si="23"/>
        <v>385.26124999999996</v>
      </c>
      <c r="Q62" s="31">
        <v>1098</v>
      </c>
      <c r="R62" s="30">
        <f t="shared" si="21"/>
        <v>1.8623962599437696</v>
      </c>
      <c r="V62" s="30">
        <f t="shared" si="22"/>
        <v>1.0791631652661064</v>
      </c>
    </row>
    <row r="63" spans="5:22" x14ac:dyDescent="0.55000000000000004">
      <c r="E63" s="30" t="s">
        <v>78</v>
      </c>
      <c r="F63" s="31" t="s">
        <v>46</v>
      </c>
      <c r="G63" s="31"/>
      <c r="H63" s="31"/>
      <c r="I63" s="31"/>
      <c r="J63" s="31"/>
      <c r="K63" s="31"/>
      <c r="L63" s="31"/>
      <c r="M63" s="31"/>
      <c r="N63" s="31"/>
      <c r="O63" s="31">
        <v>94.2</v>
      </c>
      <c r="P63" s="31">
        <f>2*H63/100*1000-$C$34</f>
        <v>-13.938750000000001</v>
      </c>
      <c r="Q63" s="31">
        <v>1101</v>
      </c>
      <c r="R63" s="30">
        <f t="shared" si="21"/>
        <v>-0.13439577222791094</v>
      </c>
      <c r="V63" s="30">
        <f t="shared" si="22"/>
        <v>-3.9044117647058826E-2</v>
      </c>
    </row>
    <row r="64" spans="5:22" x14ac:dyDescent="0.55000000000000004">
      <c r="E64" t="s">
        <v>80</v>
      </c>
      <c r="F64" s="2" t="s">
        <v>46</v>
      </c>
      <c r="G64" s="22"/>
      <c r="H64" s="22">
        <v>22.52</v>
      </c>
      <c r="I64" s="22"/>
      <c r="J64" s="22"/>
      <c r="K64" s="22"/>
      <c r="L64" s="22"/>
      <c r="M64" s="22"/>
      <c r="N64" s="22"/>
      <c r="O64" s="22">
        <v>41.4</v>
      </c>
      <c r="P64" s="22">
        <f t="shared" si="23"/>
        <v>436.46124999999995</v>
      </c>
      <c r="Q64" s="22">
        <v>1089</v>
      </c>
      <c r="R64" s="23">
        <f t="shared" si="21"/>
        <v>9.6809387240876035</v>
      </c>
      <c r="V64" s="23">
        <f t="shared" si="22"/>
        <v>1.2225805322128849</v>
      </c>
    </row>
    <row r="65" spans="5:22" x14ac:dyDescent="0.55000000000000004">
      <c r="E65" s="30" t="s">
        <v>113</v>
      </c>
      <c r="F65" s="31" t="s">
        <v>46</v>
      </c>
      <c r="G65" s="31">
        <v>36.388888888888559</v>
      </c>
      <c r="H65" s="31">
        <v>18.155205000000002</v>
      </c>
      <c r="I65" s="31">
        <v>0.32599736000000001</v>
      </c>
      <c r="J65" s="31">
        <v>1.6748099999999999</v>
      </c>
      <c r="K65" s="31">
        <v>2.2439237600000004</v>
      </c>
      <c r="L65" s="31">
        <v>1.32443164</v>
      </c>
      <c r="M65" s="31">
        <v>0.72769494425196868</v>
      </c>
      <c r="N65" s="31">
        <v>11.936826184636587</v>
      </c>
      <c r="O65" s="31">
        <v>37.700000000000003</v>
      </c>
      <c r="P65" s="31">
        <f t="shared" si="23"/>
        <v>349.16534999999999</v>
      </c>
      <c r="Q65" s="31">
        <v>1082</v>
      </c>
      <c r="R65" s="30">
        <f t="shared" si="21"/>
        <v>8.5597785317493376</v>
      </c>
      <c r="V65" s="30">
        <f t="shared" si="22"/>
        <v>0.97805420168067236</v>
      </c>
    </row>
    <row r="66" spans="5:22" x14ac:dyDescent="0.55000000000000004">
      <c r="E66" t="s">
        <v>90</v>
      </c>
      <c r="F66" s="2" t="s">
        <v>46</v>
      </c>
      <c r="G66" s="22">
        <v>32.685185185185276</v>
      </c>
      <c r="H66" s="22">
        <v>12.493304999999999</v>
      </c>
      <c r="I66" s="22">
        <v>0.60743473999999997</v>
      </c>
      <c r="J66" s="22">
        <v>1.5871949999999999</v>
      </c>
      <c r="K66" s="22">
        <v>2.1152944800000002</v>
      </c>
      <c r="L66" s="31">
        <v>8.1687573999999987</v>
      </c>
      <c r="M66" s="22">
        <v>0.75863971842519695</v>
      </c>
      <c r="N66" s="22">
        <v>6.9545588467600794</v>
      </c>
      <c r="O66" s="22">
        <v>37.700000000000003</v>
      </c>
      <c r="P66" s="22">
        <f t="shared" si="23"/>
        <v>235.92734999999999</v>
      </c>
      <c r="Q66" s="22">
        <v>1089</v>
      </c>
      <c r="R66" s="23">
        <f t="shared" si="21"/>
        <v>5.7465747418725472</v>
      </c>
      <c r="V66" s="23">
        <f t="shared" si="22"/>
        <v>0.66086092436974786</v>
      </c>
    </row>
    <row r="67" spans="5:22" x14ac:dyDescent="0.55000000000000004">
      <c r="E67" t="s">
        <v>120</v>
      </c>
      <c r="F67" s="2" t="s">
        <v>46</v>
      </c>
      <c r="G67" s="22">
        <v>19.25925925925938</v>
      </c>
      <c r="H67" s="22">
        <v>3.3001425000000002</v>
      </c>
      <c r="I67" s="22">
        <v>1.46788908</v>
      </c>
      <c r="J67" s="22">
        <v>1.3354874999999999</v>
      </c>
      <c r="K67" s="22">
        <v>0.99624928000000001</v>
      </c>
      <c r="L67" s="31">
        <v>0</v>
      </c>
      <c r="M67" s="22">
        <v>0.49846709480314971</v>
      </c>
      <c r="N67" s="22">
        <v>11.66102380445623</v>
      </c>
      <c r="O67" s="2">
        <v>21.1</v>
      </c>
      <c r="P67" s="22">
        <f t="shared" si="23"/>
        <v>52.064099999999996</v>
      </c>
      <c r="Q67" s="2">
        <v>1082</v>
      </c>
      <c r="R67" s="23">
        <f t="shared" si="21"/>
        <v>2.2804925055409058</v>
      </c>
      <c r="V67" s="23">
        <f t="shared" si="22"/>
        <v>0.14583781512605043</v>
      </c>
    </row>
    <row r="68" spans="5:22" x14ac:dyDescent="0.55000000000000004">
      <c r="E68" t="s">
        <v>136</v>
      </c>
      <c r="F68" s="2" t="s">
        <v>46</v>
      </c>
      <c r="G68" s="22">
        <v>36.388888888888559</v>
      </c>
      <c r="H68" s="22">
        <v>15.648592499999999</v>
      </c>
      <c r="I68" s="22">
        <v>0.44717647999999988</v>
      </c>
      <c r="J68" s="22">
        <v>1.6524000000000001</v>
      </c>
      <c r="K68" s="22">
        <v>2.64805008</v>
      </c>
      <c r="L68" s="22">
        <v>1.4444637199999999</v>
      </c>
      <c r="M68" s="22">
        <v>1.1688058015748033</v>
      </c>
      <c r="N68" s="22">
        <v>13.379400307313759</v>
      </c>
      <c r="O68" s="2">
        <v>37.700000000000003</v>
      </c>
      <c r="P68" s="22">
        <f t="shared" si="23"/>
        <v>299.03309999999999</v>
      </c>
      <c r="Q68" s="2">
        <v>1080</v>
      </c>
      <c r="R68" s="23">
        <f t="shared" si="21"/>
        <v>7.3443633952254634</v>
      </c>
      <c r="V68" s="23">
        <f>(0.002*H68-$H$40*0.002)/100/0.000357</f>
        <v>0.83762773109243704</v>
      </c>
    </row>
    <row r="69" spans="5:22" x14ac:dyDescent="0.55000000000000004">
      <c r="E69" t="s">
        <v>184</v>
      </c>
      <c r="F69" s="2" t="s">
        <v>46</v>
      </c>
      <c r="G69" s="22">
        <v>85.462962962962848</v>
      </c>
      <c r="H69" s="22">
        <v>35.909797500000003</v>
      </c>
      <c r="I69" s="22">
        <v>0.17658815999999999</v>
      </c>
      <c r="J69" s="22">
        <v>1.4354549999999999</v>
      </c>
      <c r="K69" s="22">
        <v>8.6348496000000008</v>
      </c>
      <c r="L69" s="22">
        <v>3.1769378399999999</v>
      </c>
      <c r="M69" s="22">
        <v>2.8494815300787404</v>
      </c>
      <c r="N69" s="22">
        <v>33.279853332884102</v>
      </c>
      <c r="O69" s="2"/>
      <c r="P69" s="22">
        <f t="shared" si="23"/>
        <v>704.25720000000001</v>
      </c>
      <c r="Q69" s="2">
        <v>1077</v>
      </c>
      <c r="R69" s="23" t="e">
        <f t="shared" si="21"/>
        <v>#DIV/0!</v>
      </c>
      <c r="V69" s="29">
        <f>(0.002*H69-$H$40*0.002)/100/0.000357</f>
        <v>1.9727092436974791</v>
      </c>
    </row>
    <row r="70" spans="5:22" x14ac:dyDescent="0.55000000000000004">
      <c r="E70" t="s">
        <v>185</v>
      </c>
      <c r="F70" s="2" t="s">
        <v>46</v>
      </c>
      <c r="G70" s="22">
        <v>33.086419753086119</v>
      </c>
      <c r="H70" s="22">
        <v>12.4278975</v>
      </c>
      <c r="I70" s="22">
        <v>0.81574419999999992</v>
      </c>
      <c r="J70" s="22">
        <v>1.7622225000000002</v>
      </c>
      <c r="K70" s="22">
        <v>2.3911607199999998</v>
      </c>
      <c r="L70" s="22">
        <v>1.3643868399999999</v>
      </c>
      <c r="M70" s="22">
        <v>0.82939878803149625</v>
      </c>
      <c r="N70" s="22">
        <v>13.49560920505462</v>
      </c>
      <c r="O70" s="2"/>
      <c r="P70" s="22">
        <f t="shared" si="23"/>
        <v>234.61920000000001</v>
      </c>
      <c r="Q70" s="2">
        <v>1089</v>
      </c>
      <c r="R70" s="23" t="e">
        <f t="shared" si="21"/>
        <v>#DIV/0!</v>
      </c>
      <c r="V70" s="29">
        <f>(0.002*H70-$H$40*0.002)/100/0.000357</f>
        <v>0.65719663865546218</v>
      </c>
    </row>
    <row r="71" spans="5:22" x14ac:dyDescent="0.55000000000000004">
      <c r="E71" t="s">
        <v>186</v>
      </c>
      <c r="F71" s="2" t="s">
        <v>46</v>
      </c>
      <c r="G71" s="22"/>
      <c r="H71" s="22">
        <v>27.798862499999998</v>
      </c>
      <c r="I71" s="22">
        <v>0.25087981999999998</v>
      </c>
      <c r="J71" s="22">
        <v>1.9319175000000002</v>
      </c>
      <c r="K71" s="22">
        <v>4.2531840000000001</v>
      </c>
      <c r="L71" s="22">
        <v>0.75290579999999996</v>
      </c>
      <c r="M71" s="22">
        <v>1.4202074541732284</v>
      </c>
      <c r="N71" s="22"/>
      <c r="O71" s="2"/>
      <c r="P71" s="22">
        <f t="shared" si="23"/>
        <v>542.0385</v>
      </c>
      <c r="Q71" s="2">
        <v>1079</v>
      </c>
      <c r="R71" s="23" t="e">
        <f t="shared" si="21"/>
        <v>#DIV/0!</v>
      </c>
      <c r="V71" s="29">
        <f t="shared" si="22"/>
        <v>1.51831512605042</v>
      </c>
    </row>
    <row r="72" spans="5:22" x14ac:dyDescent="0.55000000000000004">
      <c r="E72" t="s">
        <v>165</v>
      </c>
      <c r="F72" s="2" t="s">
        <v>46</v>
      </c>
      <c r="G72" s="22">
        <v>31.26543209876553</v>
      </c>
      <c r="H72" s="22">
        <v>10.9875825</v>
      </c>
      <c r="I72" s="22">
        <v>0.6825147399999999</v>
      </c>
      <c r="J72" s="22">
        <v>1.6627949999999998</v>
      </c>
      <c r="K72" s="22">
        <v>1.9547663200000003</v>
      </c>
      <c r="L72" s="31">
        <v>7.8935659600000001</v>
      </c>
      <c r="M72" s="22">
        <v>0.76425708188976371</v>
      </c>
      <c r="N72" s="22">
        <v>7.3199504968757658</v>
      </c>
      <c r="O72" s="22">
        <v>37.700000000000003</v>
      </c>
      <c r="P72" s="22">
        <f t="shared" si="23"/>
        <v>205.81289999999998</v>
      </c>
      <c r="Q72" s="2">
        <v>1089</v>
      </c>
      <c r="R72" s="23">
        <f t="shared" si="21"/>
        <v>5.0130653046013531</v>
      </c>
      <c r="V72" s="23">
        <f t="shared" ref="V72:V77" si="26">(0.002*H72-$H$40*0.002)/100/0.000357</f>
        <v>0.57650672268907566</v>
      </c>
    </row>
    <row r="73" spans="5:22" x14ac:dyDescent="0.55000000000000004">
      <c r="E73" t="s">
        <v>166</v>
      </c>
      <c r="F73" s="2" t="s">
        <v>46</v>
      </c>
      <c r="G73" s="22"/>
      <c r="H73" s="22">
        <v>28.509435</v>
      </c>
      <c r="I73" s="22"/>
      <c r="J73" s="22"/>
      <c r="K73" s="22"/>
      <c r="L73" s="22"/>
      <c r="M73" s="22"/>
      <c r="N73" s="22"/>
      <c r="O73" s="22">
        <v>82.8</v>
      </c>
      <c r="P73" s="22">
        <f t="shared" si="23"/>
        <v>556.24995000000001</v>
      </c>
      <c r="Q73" s="2">
        <v>1053</v>
      </c>
      <c r="R73" s="23">
        <f t="shared" si="21"/>
        <v>6.3798618852966689</v>
      </c>
      <c r="V73" s="23">
        <f t="shared" si="26"/>
        <v>1.5581231092436973</v>
      </c>
    </row>
    <row r="74" spans="5:22" x14ac:dyDescent="0.55000000000000004">
      <c r="E74" t="s">
        <v>167</v>
      </c>
      <c r="F74" s="2" t="s">
        <v>46</v>
      </c>
      <c r="G74" s="22"/>
      <c r="H74" s="22">
        <v>39.101129999999998</v>
      </c>
      <c r="I74" s="22"/>
      <c r="J74" s="22"/>
      <c r="K74" s="22"/>
      <c r="L74" s="22"/>
      <c r="M74" s="22"/>
      <c r="N74" s="22"/>
      <c r="O74" s="22">
        <v>414.2</v>
      </c>
      <c r="P74" s="22">
        <f t="shared" si="23"/>
        <v>768.08384999999987</v>
      </c>
      <c r="Q74" s="2">
        <v>1072</v>
      </c>
      <c r="R74" s="23">
        <f t="shared" si="21"/>
        <v>1.7298313103122722</v>
      </c>
      <c r="V74" s="23">
        <f t="shared" si="26"/>
        <v>2.1514953781512602</v>
      </c>
    </row>
    <row r="75" spans="5:22" x14ac:dyDescent="0.55000000000000004">
      <c r="E75" t="s">
        <v>168</v>
      </c>
      <c r="F75" s="2" t="s">
        <v>46</v>
      </c>
      <c r="G75" s="22"/>
      <c r="H75" s="22">
        <v>10.8543375</v>
      </c>
      <c r="I75" s="22">
        <v>0.66847477999999994</v>
      </c>
      <c r="J75" s="22">
        <v>1.7228025</v>
      </c>
      <c r="K75" s="22">
        <v>1.4681607200000002</v>
      </c>
      <c r="L75" s="22">
        <v>1.0955216400000001</v>
      </c>
      <c r="M75" s="22">
        <v>0.65772427653543319</v>
      </c>
      <c r="N75" s="22"/>
      <c r="O75" s="22">
        <v>37.700000000000003</v>
      </c>
      <c r="P75" s="22">
        <f t="shared" si="23"/>
        <v>203.148</v>
      </c>
      <c r="Q75" s="2">
        <v>1086</v>
      </c>
      <c r="R75" s="23">
        <f t="shared" si="21"/>
        <v>4.9618242302563127</v>
      </c>
      <c r="V75" s="23">
        <f t="shared" si="26"/>
        <v>0.56904201680672273</v>
      </c>
    </row>
    <row r="76" spans="5:22" x14ac:dyDescent="0.55000000000000004">
      <c r="E76" t="s">
        <v>191</v>
      </c>
      <c r="F76" s="2" t="s">
        <v>46</v>
      </c>
      <c r="H76" s="2">
        <v>9.2736225000000001</v>
      </c>
      <c r="I76" s="2">
        <v>0</v>
      </c>
      <c r="J76" s="2">
        <v>0</v>
      </c>
      <c r="K76" s="2">
        <v>1.5646695999999998</v>
      </c>
      <c r="L76" s="2">
        <v>0.93536787999999993</v>
      </c>
      <c r="M76" s="2">
        <v>0.5291162182677166</v>
      </c>
      <c r="O76" s="22">
        <v>23.9</v>
      </c>
      <c r="P76" s="22">
        <f t="shared" si="23"/>
        <v>171.53370000000001</v>
      </c>
      <c r="Q76" s="2">
        <v>1055</v>
      </c>
      <c r="R76" s="23">
        <f t="shared" si="21"/>
        <v>6.8029784449423945</v>
      </c>
      <c r="V76" s="23">
        <f t="shared" si="26"/>
        <v>0.4804865546218488</v>
      </c>
    </row>
    <row r="77" spans="5:22" x14ac:dyDescent="0.55000000000000004">
      <c r="E77" t="s">
        <v>192</v>
      </c>
      <c r="F77" s="2" t="s">
        <v>46</v>
      </c>
      <c r="P77" s="22">
        <f t="shared" si="23"/>
        <v>-13.938750000000001</v>
      </c>
      <c r="R77" s="23" t="e">
        <f t="shared" si="21"/>
        <v>#DIV/0!</v>
      </c>
      <c r="V77" s="23">
        <f t="shared" si="26"/>
        <v>-3.9044117647058826E-2</v>
      </c>
    </row>
  </sheetData>
  <phoneticPr fontId="1"/>
  <dataValidations count="1">
    <dataValidation type="list" allowBlank="1" showInputMessage="1" showErrorMessage="1" sqref="F33:F97 I23:BO23 H2:BL2" xr:uid="{A4658D61-262A-40D5-BB7A-E1B756746844}">
      <formula1>"milled,Avicel"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9E33-CF62-49C7-BA96-D0BB80E6C1C9}">
  <dimension ref="A1:DO94"/>
  <sheetViews>
    <sheetView zoomScale="81" zoomScaleNormal="69" workbookViewId="0">
      <pane xSplit="6" topLeftCell="CJ1" activePane="topRight" state="frozen"/>
      <selection pane="topRight" activeCell="D15" sqref="D15"/>
    </sheetView>
  </sheetViews>
  <sheetFormatPr defaultRowHeight="18" x14ac:dyDescent="0.55000000000000004"/>
  <cols>
    <col min="1" max="4" width="8.6640625" customWidth="1"/>
    <col min="5" max="5" width="9.08203125" bestFit="1" customWidth="1"/>
    <col min="6" max="6" width="11.5" customWidth="1"/>
    <col min="7" max="7" width="12.1640625" customWidth="1"/>
    <col min="8" max="8" width="11.6640625" customWidth="1"/>
    <col min="9" max="9" width="10.5" bestFit="1" customWidth="1"/>
    <col min="10" max="10" width="12" customWidth="1"/>
    <col min="11" max="11" width="11.58203125" customWidth="1"/>
    <col min="12" max="12" width="11.25" customWidth="1"/>
    <col min="13" max="13" width="11.5" customWidth="1"/>
    <col min="14" max="14" width="12" customWidth="1"/>
    <col min="15" max="15" width="11.6640625" customWidth="1"/>
    <col min="16" max="16" width="10.75" customWidth="1"/>
    <col min="17" max="17" width="11.9140625" customWidth="1"/>
    <col min="18" max="18" width="11.25" customWidth="1"/>
    <col min="19" max="19" width="10.83203125" customWidth="1"/>
    <col min="20" max="20" width="10.5" customWidth="1"/>
    <col min="21" max="21" width="12.4140625" customWidth="1"/>
    <col min="22" max="24" width="10.75" bestFit="1" customWidth="1"/>
    <col min="25" max="34" width="10.5" bestFit="1" customWidth="1"/>
    <col min="35" max="35" width="9.4140625" bestFit="1" customWidth="1"/>
    <col min="36" max="36" width="10.5" bestFit="1" customWidth="1"/>
    <col min="37" max="37" width="9.4140625" bestFit="1" customWidth="1"/>
    <col min="39" max="41" width="10.5" bestFit="1" customWidth="1"/>
    <col min="42" max="42" width="9.4140625" bestFit="1" customWidth="1"/>
    <col min="43" max="46" width="10.5" bestFit="1" customWidth="1"/>
    <col min="47" max="61" width="11" bestFit="1" customWidth="1"/>
    <col min="62" max="62" width="11" customWidth="1"/>
    <col min="63" max="66" width="11" bestFit="1" customWidth="1"/>
    <col min="67" max="67" width="9.83203125" bestFit="1" customWidth="1"/>
    <col min="69" max="79" width="11" bestFit="1" customWidth="1"/>
    <col min="80" max="80" width="9.83203125" bestFit="1" customWidth="1"/>
    <col min="81" max="85" width="11" bestFit="1" customWidth="1"/>
    <col min="86" max="86" width="9.83203125" bestFit="1" customWidth="1"/>
    <col min="87" max="90" width="11" bestFit="1" customWidth="1"/>
    <col min="91" max="92" width="12" bestFit="1" customWidth="1"/>
    <col min="93" max="93" width="11" bestFit="1" customWidth="1"/>
    <col min="94" max="95" width="12" bestFit="1" customWidth="1"/>
    <col min="96" max="102" width="11" bestFit="1" customWidth="1"/>
  </cols>
  <sheetData>
    <row r="1" spans="1:119" x14ac:dyDescent="0.55000000000000004">
      <c r="D1" t="s">
        <v>1</v>
      </c>
      <c r="G1" s="2"/>
      <c r="H1" s="2" t="s">
        <v>9</v>
      </c>
      <c r="I1" s="2"/>
      <c r="J1" s="2" t="s">
        <v>10</v>
      </c>
      <c r="K1" s="2"/>
      <c r="L1" s="2" t="s">
        <v>19</v>
      </c>
      <c r="M1" s="2"/>
      <c r="N1" s="2" t="s">
        <v>11</v>
      </c>
      <c r="O1" s="2"/>
      <c r="P1" t="s">
        <v>32</v>
      </c>
      <c r="R1" t="s">
        <v>40</v>
      </c>
      <c r="T1" t="s">
        <v>42</v>
      </c>
      <c r="U1" t="s">
        <v>43</v>
      </c>
      <c r="V1" t="s">
        <v>45</v>
      </c>
      <c r="W1" t="s">
        <v>49</v>
      </c>
      <c r="X1" t="s">
        <v>47</v>
      </c>
      <c r="Y1" t="s">
        <v>52</v>
      </c>
      <c r="Z1" t="s">
        <v>53</v>
      </c>
      <c r="AA1" t="s">
        <v>54</v>
      </c>
      <c r="AB1" t="s">
        <v>55</v>
      </c>
      <c r="AC1" t="s">
        <v>81</v>
      </c>
      <c r="AD1" t="s">
        <v>60</v>
      </c>
      <c r="AE1" t="s">
        <v>70</v>
      </c>
      <c r="AF1" t="s">
        <v>72</v>
      </c>
      <c r="AG1" t="s">
        <v>73</v>
      </c>
      <c r="AH1" s="30" t="s">
        <v>75</v>
      </c>
      <c r="AI1" s="30" t="s">
        <v>76</v>
      </c>
      <c r="AJ1" s="30" t="s">
        <v>79</v>
      </c>
      <c r="AK1" t="s">
        <v>77</v>
      </c>
      <c r="AL1" s="30" t="s">
        <v>78</v>
      </c>
      <c r="AM1" t="s">
        <v>80</v>
      </c>
      <c r="AN1" s="30" t="s">
        <v>89</v>
      </c>
      <c r="AO1" t="s">
        <v>90</v>
      </c>
      <c r="AP1" t="s">
        <v>111</v>
      </c>
      <c r="AQ1" t="s">
        <v>132</v>
      </c>
      <c r="AR1" t="s">
        <v>129</v>
      </c>
      <c r="AS1" t="s">
        <v>130</v>
      </c>
      <c r="AT1" s="30" t="s">
        <v>90</v>
      </c>
      <c r="AU1" t="s">
        <v>148</v>
      </c>
      <c r="AV1" t="s">
        <v>153</v>
      </c>
      <c r="AW1" t="s">
        <v>162</v>
      </c>
      <c r="AX1" t="s">
        <v>163</v>
      </c>
      <c r="AY1" t="s">
        <v>189</v>
      </c>
      <c r="AZ1" t="s">
        <v>192</v>
      </c>
      <c r="BA1" t="s">
        <v>197</v>
      </c>
      <c r="BB1" t="s">
        <v>198</v>
      </c>
      <c r="BC1" t="s">
        <v>199</v>
      </c>
      <c r="BD1" t="s">
        <v>200</v>
      </c>
      <c r="BE1" s="34" t="s">
        <v>9</v>
      </c>
      <c r="BF1" s="34" t="s">
        <v>201</v>
      </c>
      <c r="BG1" s="54" t="s">
        <v>206</v>
      </c>
      <c r="BH1" t="s">
        <v>207</v>
      </c>
      <c r="BI1" t="s">
        <v>208</v>
      </c>
      <c r="BJ1" t="s">
        <v>209</v>
      </c>
      <c r="BK1" t="s">
        <v>210</v>
      </c>
      <c r="BL1" t="s">
        <v>211</v>
      </c>
      <c r="BM1" t="s">
        <v>212</v>
      </c>
      <c r="BN1" t="s">
        <v>213</v>
      </c>
      <c r="BO1" t="s">
        <v>215</v>
      </c>
      <c r="BP1" t="s">
        <v>236</v>
      </c>
      <c r="BQ1" t="s">
        <v>235</v>
      </c>
      <c r="BR1" t="s">
        <v>240</v>
      </c>
      <c r="BS1" t="s">
        <v>239</v>
      </c>
      <c r="BT1" t="s">
        <v>241</v>
      </c>
      <c r="BU1" t="s">
        <v>242</v>
      </c>
      <c r="BV1" s="49" t="s">
        <v>244</v>
      </c>
      <c r="BW1" t="s">
        <v>243</v>
      </c>
      <c r="BX1" t="s">
        <v>245</v>
      </c>
      <c r="BY1" t="s">
        <v>247</v>
      </c>
      <c r="BZ1" t="s">
        <v>256</v>
      </c>
      <c r="CA1" t="s">
        <v>257</v>
      </c>
      <c r="CB1" s="49" t="s">
        <v>259</v>
      </c>
      <c r="CC1" s="49" t="s">
        <v>258</v>
      </c>
      <c r="CD1" t="s">
        <v>263</v>
      </c>
      <c r="CE1" t="s">
        <v>265</v>
      </c>
      <c r="CF1" t="s">
        <v>266</v>
      </c>
      <c r="CG1" t="s">
        <v>271</v>
      </c>
      <c r="CH1" t="s">
        <v>272</v>
      </c>
      <c r="CI1" t="s">
        <v>277</v>
      </c>
      <c r="CJ1" t="s">
        <v>273</v>
      </c>
      <c r="CK1" t="s">
        <v>278</v>
      </c>
      <c r="CL1" t="s">
        <v>276</v>
      </c>
      <c r="CM1" s="5" t="s">
        <v>26</v>
      </c>
      <c r="CN1" s="5" t="s">
        <v>63</v>
      </c>
      <c r="CO1" s="5" t="s">
        <v>288</v>
      </c>
      <c r="CP1" s="5" t="s">
        <v>289</v>
      </c>
      <c r="CQ1" t="s">
        <v>287</v>
      </c>
      <c r="CR1" s="5" t="s">
        <v>290</v>
      </c>
      <c r="CS1" s="52"/>
      <c r="CT1" s="53" t="s">
        <v>291</v>
      </c>
      <c r="CU1" t="s">
        <v>292</v>
      </c>
      <c r="CV1" t="s">
        <v>294</v>
      </c>
      <c r="CW1" t="s">
        <v>295</v>
      </c>
      <c r="CX1" t="s">
        <v>293</v>
      </c>
    </row>
    <row r="2" spans="1:119" x14ac:dyDescent="0.55000000000000004">
      <c r="A2" t="s">
        <v>3</v>
      </c>
      <c r="B2" t="s">
        <v>2</v>
      </c>
      <c r="C2" s="1">
        <v>3.3750000000000001E-8</v>
      </c>
      <c r="G2" s="2"/>
      <c r="H2" s="2" t="s">
        <v>16</v>
      </c>
      <c r="I2" s="22" t="s">
        <v>17</v>
      </c>
      <c r="J2" s="2" t="s">
        <v>16</v>
      </c>
      <c r="K2" s="22" t="s">
        <v>17</v>
      </c>
      <c r="L2" s="2" t="s">
        <v>16</v>
      </c>
      <c r="M2" s="22" t="s">
        <v>17</v>
      </c>
      <c r="N2" s="2" t="s">
        <v>16</v>
      </c>
      <c r="O2" s="22" t="s">
        <v>17</v>
      </c>
      <c r="P2" s="22" t="s">
        <v>17</v>
      </c>
      <c r="Q2" s="2" t="s">
        <v>16</v>
      </c>
      <c r="R2" s="22" t="s">
        <v>17</v>
      </c>
      <c r="S2" s="2" t="s">
        <v>16</v>
      </c>
      <c r="T2" s="22" t="s">
        <v>17</v>
      </c>
      <c r="U2" s="22" t="s">
        <v>17</v>
      </c>
      <c r="V2" s="22" t="s">
        <v>17</v>
      </c>
      <c r="W2" s="2" t="s">
        <v>48</v>
      </c>
      <c r="X2" s="22" t="s">
        <v>46</v>
      </c>
      <c r="Y2" s="22" t="s">
        <v>46</v>
      </c>
      <c r="Z2" s="22" t="s">
        <v>46</v>
      </c>
      <c r="AA2" s="22" t="s">
        <v>46</v>
      </c>
      <c r="AB2" s="22" t="s">
        <v>46</v>
      </c>
      <c r="AC2" s="22" t="s">
        <v>46</v>
      </c>
      <c r="AD2" s="22" t="s">
        <v>46</v>
      </c>
      <c r="AE2" s="22" t="s">
        <v>46</v>
      </c>
      <c r="AF2" s="22" t="s">
        <v>46</v>
      </c>
      <c r="AG2" s="22" t="s">
        <v>46</v>
      </c>
      <c r="AH2" s="30" t="s">
        <v>46</v>
      </c>
      <c r="AI2" s="31" t="s">
        <v>46</v>
      </c>
      <c r="AJ2" s="31" t="s">
        <v>46</v>
      </c>
      <c r="AK2" s="22" t="s">
        <v>46</v>
      </c>
      <c r="AL2" s="31" t="s">
        <v>46</v>
      </c>
      <c r="AM2" s="23" t="s">
        <v>46</v>
      </c>
      <c r="AN2" s="30" t="s">
        <v>46</v>
      </c>
      <c r="AO2" s="23" t="s">
        <v>46</v>
      </c>
      <c r="AP2" s="23" t="s">
        <v>46</v>
      </c>
      <c r="AQ2" s="23" t="s">
        <v>46</v>
      </c>
      <c r="AR2" s="23" t="s">
        <v>46</v>
      </c>
      <c r="AS2" s="23" t="s">
        <v>46</v>
      </c>
      <c r="AT2" s="23" t="s">
        <v>46</v>
      </c>
      <c r="AU2" s="23" t="s">
        <v>46</v>
      </c>
      <c r="AV2" s="23" t="s">
        <v>46</v>
      </c>
      <c r="AW2" s="23" t="s">
        <v>46</v>
      </c>
      <c r="AX2" s="23" t="s">
        <v>46</v>
      </c>
      <c r="AY2" s="23" t="s">
        <v>46</v>
      </c>
      <c r="AZ2" s="23" t="s">
        <v>46</v>
      </c>
      <c r="BA2" s="23" t="s">
        <v>46</v>
      </c>
      <c r="BB2" s="23" t="s">
        <v>46</v>
      </c>
      <c r="BC2" s="23" t="s">
        <v>46</v>
      </c>
      <c r="BD2" s="23" t="s">
        <v>46</v>
      </c>
      <c r="BE2" s="23" t="s">
        <v>46</v>
      </c>
      <c r="BF2" s="23" t="s">
        <v>46</v>
      </c>
      <c r="BG2" s="54" t="s">
        <v>46</v>
      </c>
      <c r="BH2" s="23" t="s">
        <v>46</v>
      </c>
      <c r="BI2" s="23" t="s">
        <v>46</v>
      </c>
      <c r="BJ2" s="23" t="s">
        <v>46</v>
      </c>
      <c r="BK2" s="23" t="s">
        <v>46</v>
      </c>
      <c r="BL2" s="23" t="s">
        <v>46</v>
      </c>
      <c r="BM2" s="23" t="s">
        <v>46</v>
      </c>
      <c r="BN2" s="23" t="s">
        <v>46</v>
      </c>
      <c r="BO2" s="23" t="s">
        <v>46</v>
      </c>
      <c r="BP2" s="23" t="s">
        <v>46</v>
      </c>
      <c r="BQ2" s="23" t="s">
        <v>46</v>
      </c>
      <c r="BR2" s="23" t="s">
        <v>46</v>
      </c>
      <c r="BS2" s="23" t="s">
        <v>46</v>
      </c>
      <c r="BT2" s="23" t="s">
        <v>46</v>
      </c>
      <c r="BU2" s="23" t="s">
        <v>46</v>
      </c>
      <c r="BV2" s="49" t="s">
        <v>46</v>
      </c>
      <c r="BW2" s="23" t="s">
        <v>46</v>
      </c>
      <c r="BX2" s="23" t="s">
        <v>46</v>
      </c>
      <c r="BY2" s="23" t="s">
        <v>46</v>
      </c>
      <c r="BZ2" s="23" t="s">
        <v>46</v>
      </c>
      <c r="CA2" s="23" t="s">
        <v>46</v>
      </c>
      <c r="CB2" s="49" t="s">
        <v>46</v>
      </c>
      <c r="CC2" s="49" t="s">
        <v>46</v>
      </c>
      <c r="CD2" s="23" t="s">
        <v>46</v>
      </c>
      <c r="CE2" s="23" t="s">
        <v>46</v>
      </c>
      <c r="CF2" s="23" t="s">
        <v>46</v>
      </c>
      <c r="CG2" s="23" t="s">
        <v>46</v>
      </c>
      <c r="CH2" s="23" t="s">
        <v>46</v>
      </c>
      <c r="CI2" s="23" t="s">
        <v>46</v>
      </c>
      <c r="CJ2" s="23" t="s">
        <v>46</v>
      </c>
      <c r="CK2" s="23" t="s">
        <v>46</v>
      </c>
      <c r="CL2" s="23" t="s">
        <v>46</v>
      </c>
      <c r="CM2" s="23" t="s">
        <v>46</v>
      </c>
      <c r="CN2" s="23" t="s">
        <v>46</v>
      </c>
      <c r="CO2" s="23" t="s">
        <v>46</v>
      </c>
      <c r="CP2" s="23" t="s">
        <v>46</v>
      </c>
      <c r="CQ2" s="23" t="s">
        <v>46</v>
      </c>
      <c r="CR2" s="23" t="s">
        <v>46</v>
      </c>
      <c r="CS2" s="23" t="s">
        <v>46</v>
      </c>
      <c r="CT2" s="23" t="s">
        <v>46</v>
      </c>
      <c r="CU2" s="23" t="s">
        <v>46</v>
      </c>
      <c r="CV2" s="23" t="s">
        <v>46</v>
      </c>
      <c r="CW2" s="23" t="s">
        <v>46</v>
      </c>
      <c r="CX2" s="23" t="s">
        <v>46</v>
      </c>
      <c r="CY2" s="23" t="s">
        <v>46</v>
      </c>
      <c r="CZ2" s="23" t="s">
        <v>46</v>
      </c>
      <c r="DA2" s="23" t="s">
        <v>46</v>
      </c>
      <c r="DB2" s="23" t="s">
        <v>46</v>
      </c>
      <c r="DC2" s="23" t="s">
        <v>46</v>
      </c>
      <c r="DD2" s="23" t="s">
        <v>46</v>
      </c>
      <c r="DE2" s="23" t="s">
        <v>46</v>
      </c>
    </row>
    <row r="3" spans="1:119" x14ac:dyDescent="0.55000000000000004">
      <c r="B3" t="s">
        <v>6</v>
      </c>
      <c r="C3" s="1">
        <v>1.8769999999999999E-8</v>
      </c>
      <c r="D3">
        <v>324.3</v>
      </c>
      <c r="G3" s="4" t="s">
        <v>18</v>
      </c>
      <c r="H3" s="2">
        <f>100-(9.1561-9.0956)/0.324*100</f>
        <v>81.327160493826824</v>
      </c>
      <c r="I3" s="22">
        <f>100-(9.3372-9.0998)/0.324*100</f>
        <v>26.728395061728648</v>
      </c>
      <c r="J3" s="2">
        <f>100-(9.109-9.0928)/0.324*100</f>
        <v>95.000000000000142</v>
      </c>
      <c r="K3" s="22">
        <f>100-(9.3242-9.0986)/0.324*100</f>
        <v>30.370370370370367</v>
      </c>
      <c r="L3" s="2">
        <f>100-(9.2477-9.1004)/0.324*100</f>
        <v>54.53703703703718</v>
      </c>
      <c r="M3" s="22">
        <f>100-(9.3564-9.0905)/0.324*100</f>
        <v>17.932098765432031</v>
      </c>
      <c r="N3" s="2">
        <f>100-(9.2808-9.102)/0.324*100</f>
        <v>44.814814814815144</v>
      </c>
      <c r="O3" s="22">
        <f>100-(9.3719-9.0922)/0.324*100</f>
        <v>13.672839506172835</v>
      </c>
      <c r="P3" s="22">
        <f>100-(9.3013-9.098)/0.324*100</f>
        <v>37.253086419753487</v>
      </c>
      <c r="Q3" s="2">
        <f>100-(9.1125-9.0972)/0.324*100</f>
        <v>95.277777777777814</v>
      </c>
      <c r="R3" s="22">
        <f>100-(9.3238-9.098)/0.324*100</f>
        <v>30.308641975308774</v>
      </c>
      <c r="S3" s="2">
        <f>100-(9.1123-9.0953)/0.324*100</f>
        <v>94.753086419753259</v>
      </c>
      <c r="T3" s="22">
        <f>100-(9.3333-9.0973)/0.324*100</f>
        <v>27.160493827160849</v>
      </c>
      <c r="U3" s="22">
        <f>100-(9.3315-9.0971)/0.324*100</f>
        <v>27.654320987654074</v>
      </c>
      <c r="V3" s="22">
        <f>100-(9.3514-9.0968)/0.324*100</f>
        <v>21.419753086419774</v>
      </c>
      <c r="W3" s="27">
        <f>100-(9.2034-9.0936)/0.324*100</f>
        <v>66.111111111111143</v>
      </c>
      <c r="X3" s="22">
        <f>100-(9.3398-9.0937)/0.324*100</f>
        <v>24.043209876543145</v>
      </c>
      <c r="Y3" s="22">
        <f>100-(9.3414-9.0966)/0.324*100</f>
        <v>24.444444444444542</v>
      </c>
      <c r="Z3" s="22">
        <f>100-(9.3431-9.1377)/0.324*100</f>
        <v>36.604938271605207</v>
      </c>
      <c r="AA3" s="22">
        <f>100-(9.3306-9.0957)/0.324*100</f>
        <v>27.500000000000099</v>
      </c>
      <c r="AB3" s="22">
        <f>100-(9.3072-9.092)/0.324*100</f>
        <v>33.580246913580439</v>
      </c>
      <c r="AC3" s="22">
        <f>100-(9.4078-9.1562)/0.324*100</f>
        <v>22.345679012345727</v>
      </c>
      <c r="AD3" s="22">
        <f>100-(9.3243-9.0919)/0.324*100</f>
        <v>28.271604938272105</v>
      </c>
      <c r="AE3" s="22">
        <f>100-(9.3006-9.0904)/0.324*100</f>
        <v>35.123456790123882</v>
      </c>
      <c r="AF3" s="22">
        <f>100-(9.2809-9.0962-0.02)/0.324*100</f>
        <v>49.166666666666295</v>
      </c>
      <c r="AG3" s="22">
        <f>100-(9.2588-9.1274)/0.324*100</f>
        <v>59.444444444444116</v>
      </c>
      <c r="AH3" s="31"/>
      <c r="AI3" s="31">
        <f>100-(9.3805-9.0903)/0.324*100</f>
        <v>10.432098765431959</v>
      </c>
      <c r="AJ3" s="31">
        <f>100-(9.3467-9.1276)/0.324*100</f>
        <v>32.376543209876246</v>
      </c>
      <c r="AK3" s="22">
        <f>100-(9.3627-9.0961)/0.324*100</f>
        <v>17.716049382715923</v>
      </c>
      <c r="AL3" s="31">
        <f>100-(9.3494-9.1368)/0.324*100</f>
        <v>34.38271604938268</v>
      </c>
      <c r="AM3" s="22">
        <f>100-(9.3482-9.0949)/0.324*100</f>
        <v>21.820987654321172</v>
      </c>
      <c r="AN3" s="31">
        <f>100-(9.3016-9.0955)/0.324*100</f>
        <v>36.388888888888559</v>
      </c>
      <c r="AO3" s="22">
        <f>100-(9.3414-9.1233)/0.324*100</f>
        <v>32.685185185185276</v>
      </c>
      <c r="AP3" s="22">
        <f>100-(9.3888-9.1272)/0.324*100</f>
        <v>19.25925925925938</v>
      </c>
      <c r="AQ3" s="31">
        <f>100-(9.3016-9.0955)/0.324*100</f>
        <v>36.388888888888559</v>
      </c>
      <c r="AR3" s="22">
        <f>100-(9.1599-9.1128)/0.324*100</f>
        <v>85.462962962962848</v>
      </c>
      <c r="AS3" s="22">
        <f>100-(9.3068-9.09)/0.324*100</f>
        <v>33.086419753086119</v>
      </c>
      <c r="AT3" s="22">
        <f>100-(9.3146-9.0919)/0.324*100</f>
        <v>31.26543209876553</v>
      </c>
      <c r="AU3" s="22">
        <f>100-(9.2618-9.1271)/0.324*100</f>
        <v>58.425925925926322</v>
      </c>
      <c r="AV3" s="22">
        <f>100-(9.3281-9.1626)/0.324*100</f>
        <v>48.919753086419824</v>
      </c>
      <c r="AW3" s="22">
        <f>100-(9.333-9.0898)/0.324*100</f>
        <v>24.938271604938322</v>
      </c>
      <c r="AX3" s="22">
        <f>100-(9.1694-9.0866)/0.324*100</f>
        <v>74.444444444444798</v>
      </c>
      <c r="AY3" s="22">
        <f>100-(9.3368-9.0901)/0.324*100</f>
        <v>23.858024691357855</v>
      </c>
      <c r="AZ3" s="22">
        <f>100-(9.2951-9.1633)/0.324*100</f>
        <v>59.320987654320945</v>
      </c>
      <c r="BA3" s="22">
        <f>100-(9.2306-9.0997)/0.324*100</f>
        <v>59.598765432098624</v>
      </c>
      <c r="BB3" s="22">
        <f>100-(9.2052-9.1155)/0.324*100</f>
        <v>72.314814814815193</v>
      </c>
      <c r="BC3" s="22">
        <f>100-(9.2295-9.1545)/0.324*100</f>
        <v>76.851851851852075</v>
      </c>
      <c r="BD3" s="22">
        <f>100-(9.3476-9.1113)/0.324*100</f>
        <v>27.067901234567913</v>
      </c>
      <c r="BE3" s="22"/>
      <c r="BF3" s="22"/>
      <c r="BG3" s="55"/>
      <c r="BH3" s="22">
        <f>100-(9.251-9.0886)/0.324*100</f>
        <v>49.87654320987658</v>
      </c>
      <c r="BI3" s="22">
        <f>100-(9.3388-9.0873)/0.324*100</f>
        <v>22.37654320987653</v>
      </c>
      <c r="BJ3" s="22">
        <f>100-(9.3578-9.1361)/0.324*100</f>
        <v>31.574074074074559</v>
      </c>
      <c r="BK3" s="22">
        <f>100-(9.2712-9.0793)/0.324*100</f>
        <v>40.77160493827148</v>
      </c>
      <c r="BL3" s="22">
        <f>100-(9.2955-9.0914)/0.324*100</f>
        <v>37.006172839506057</v>
      </c>
      <c r="BM3" s="22">
        <f>100-(9.3105-9.0743)/0.324*100</f>
        <v>27.098765432098716</v>
      </c>
      <c r="BN3" s="22">
        <f>100-(9.3155-9.0716)/0.324*100</f>
        <v>24.722222222222229</v>
      </c>
      <c r="BO3" s="22">
        <f>100-(9.3334-9.0689)/0.324*100</f>
        <v>18.364197530864217</v>
      </c>
      <c r="BP3" s="22">
        <f>100-(9.3535-9.0679)/0.324*100</f>
        <v>11.851851851851691</v>
      </c>
      <c r="BQ3" s="22">
        <f>100-(9.3065-9.0764)/0.324*100</f>
        <v>28.981481481481424</v>
      </c>
      <c r="BR3" s="22">
        <f>100-(9.2908-9.0782)/0.324*100</f>
        <v>34.38271604938268</v>
      </c>
      <c r="BS3" s="22">
        <f>100-(9.3119-9.0707)/0.324*100</f>
        <v>25.555555555555813</v>
      </c>
      <c r="BT3" s="22">
        <f>100-(9.3119-9.0707)/0.324*100</f>
        <v>25.555555555555813</v>
      </c>
      <c r="BU3" s="22">
        <f>100-(9.1919-9.0682)/0.324*100</f>
        <v>61.820987654320604</v>
      </c>
      <c r="BV3" s="32">
        <f>100-(9.3704-9.1375)/0.324*100</f>
        <v>28.11728395061705</v>
      </c>
      <c r="BW3" s="22">
        <f>100-(0.175)/0.324*100</f>
        <v>45.987654320987659</v>
      </c>
      <c r="BX3" s="22">
        <f>100-(0.0835)/0.324*100</f>
        <v>74.228395061728392</v>
      </c>
      <c r="BY3" s="22">
        <f>100-(0.0485)/0.324*100</f>
        <v>85.03086419753086</v>
      </c>
      <c r="BZ3" s="22">
        <f>100-(9.3942-0.2-9.0353)/0.324*100</f>
        <v>50.9567901234565</v>
      </c>
      <c r="CA3" s="22">
        <f>100-(9.3119-9.0707)/0.324*100</f>
        <v>25.555555555555813</v>
      </c>
      <c r="CB3" s="32">
        <f>100-(9.3119-9.0707)/0.324*100</f>
        <v>25.555555555555813</v>
      </c>
      <c r="CC3" s="22">
        <f>100-(9.3119-9.0707)/0.324*100</f>
        <v>25.555555555555813</v>
      </c>
      <c r="CD3" s="22">
        <f>100-(0.2205)/0.324*100</f>
        <v>31.944444444444443</v>
      </c>
      <c r="CE3" s="22">
        <f>100-(9.3986-9.1438)/0.324*100</f>
        <v>21.358024691358196</v>
      </c>
      <c r="CF3" s="22">
        <f>100-(9.3982-9.1422-0.0695)/0.324*100</f>
        <v>42.438271604938748</v>
      </c>
      <c r="CG3" s="22">
        <f>100-(0.148)/0.324*100</f>
        <v>54.320987654320987</v>
      </c>
      <c r="CH3" s="22">
        <f>100-(0.2106-0.06)/0.324*100</f>
        <v>53.518518518518512</v>
      </c>
      <c r="CI3" s="22">
        <f>100-(9.1834-9.0582)/0.324*100</f>
        <v>61.35802469135762</v>
      </c>
      <c r="CJ3" s="22">
        <f>100-(9.2096-9.0708)/0.324*100</f>
        <v>57.16049382716055</v>
      </c>
      <c r="CK3" s="22">
        <f>100-(9.1872-9.0335)/0.324*100</f>
        <v>52.561728395061543</v>
      </c>
      <c r="CL3" s="22">
        <f>100-(9.2105-9.0548)/0.324*100</f>
        <v>51.944444444444599</v>
      </c>
      <c r="CM3" s="22">
        <f t="shared" ref="CM3:DE3" si="0">100-(9.3986-9.1438)/0.324*100</f>
        <v>21.358024691358196</v>
      </c>
      <c r="CN3" s="22">
        <f t="shared" si="0"/>
        <v>21.358024691358196</v>
      </c>
      <c r="CO3" s="22">
        <f t="shared" si="0"/>
        <v>21.358024691358196</v>
      </c>
      <c r="CP3" s="22">
        <f t="shared" si="0"/>
        <v>21.358024691358196</v>
      </c>
      <c r="CQ3" s="22">
        <f>100-(9.3134-9.0805)/0.324*100</f>
        <v>28.117283950617605</v>
      </c>
      <c r="CR3" s="22">
        <f t="shared" si="0"/>
        <v>21.358024691358196</v>
      </c>
      <c r="CS3" s="22">
        <f t="shared" si="0"/>
        <v>21.358024691358196</v>
      </c>
      <c r="CT3" s="22">
        <f t="shared" si="0"/>
        <v>21.358024691358196</v>
      </c>
      <c r="CU3" s="22">
        <f t="shared" si="0"/>
        <v>21.358024691358196</v>
      </c>
      <c r="CV3" s="22">
        <f>100-(9.2427-9.0569-0.069)/0.324*100</f>
        <v>63.950617283951047</v>
      </c>
      <c r="CW3" s="22">
        <f t="shared" si="0"/>
        <v>21.358024691358196</v>
      </c>
      <c r="CX3" s="22">
        <f t="shared" si="0"/>
        <v>21.358024691358196</v>
      </c>
      <c r="CY3" s="22">
        <f t="shared" si="0"/>
        <v>21.358024691358196</v>
      </c>
      <c r="CZ3" s="22">
        <f t="shared" si="0"/>
        <v>21.358024691358196</v>
      </c>
      <c r="DA3" s="22">
        <f t="shared" si="0"/>
        <v>21.358024691358196</v>
      </c>
      <c r="DB3" s="22">
        <f t="shared" si="0"/>
        <v>21.358024691358196</v>
      </c>
      <c r="DC3" s="22">
        <f t="shared" si="0"/>
        <v>21.358024691358196</v>
      </c>
      <c r="DD3" s="22">
        <f t="shared" si="0"/>
        <v>21.358024691358196</v>
      </c>
      <c r="DE3" s="22">
        <f t="shared" si="0"/>
        <v>21.358024691358196</v>
      </c>
      <c r="DF3" s="2"/>
      <c r="DG3" s="2"/>
      <c r="DH3" s="2"/>
      <c r="DI3" s="2"/>
      <c r="DJ3" s="2"/>
      <c r="DK3" s="2"/>
      <c r="DL3" s="2"/>
      <c r="DM3" s="2"/>
      <c r="DN3" s="2"/>
      <c r="DO3" s="2"/>
    </row>
    <row r="4" spans="1:119" x14ac:dyDescent="0.55000000000000004">
      <c r="B4" t="s">
        <v>7</v>
      </c>
      <c r="C4" s="1">
        <v>3.6920000000000002E-8</v>
      </c>
      <c r="D4">
        <v>126.11</v>
      </c>
      <c r="E4">
        <v>14.6</v>
      </c>
      <c r="F4" s="3" t="s">
        <v>2</v>
      </c>
      <c r="G4" s="2" t="s">
        <v>4</v>
      </c>
      <c r="H4" s="2">
        <v>582691</v>
      </c>
      <c r="I4" s="22">
        <v>169619</v>
      </c>
      <c r="J4" s="2">
        <v>815387</v>
      </c>
      <c r="K4" s="22">
        <v>196801</v>
      </c>
      <c r="L4" s="2">
        <v>263556</v>
      </c>
      <c r="M4" s="22">
        <v>51101</v>
      </c>
      <c r="N4" s="2">
        <v>51102</v>
      </c>
      <c r="O4" s="22">
        <v>10325</v>
      </c>
      <c r="P4" s="22">
        <v>266866</v>
      </c>
      <c r="Q4" s="2">
        <v>851426</v>
      </c>
      <c r="R4" s="22">
        <v>170823</v>
      </c>
      <c r="S4" s="2">
        <v>768631</v>
      </c>
      <c r="T4" s="22">
        <v>165420</v>
      </c>
      <c r="U4" s="22">
        <v>183374</v>
      </c>
      <c r="V4" s="22">
        <v>129417</v>
      </c>
      <c r="W4" s="27">
        <v>710187</v>
      </c>
      <c r="X4" s="22">
        <v>144390</v>
      </c>
      <c r="Y4" s="22">
        <v>174796</v>
      </c>
      <c r="Z4" s="22">
        <v>276324</v>
      </c>
      <c r="AA4" s="22">
        <v>155849</v>
      </c>
      <c r="AB4" s="22">
        <v>246295</v>
      </c>
      <c r="AC4" s="22">
        <v>100779</v>
      </c>
      <c r="AD4" s="22">
        <v>197907</v>
      </c>
      <c r="AE4" s="22">
        <v>313583</v>
      </c>
      <c r="AF4" s="22">
        <v>453309</v>
      </c>
      <c r="AG4" s="22">
        <v>534126</v>
      </c>
      <c r="AH4" s="31">
        <v>64888</v>
      </c>
      <c r="AI4" s="31">
        <v>10426</v>
      </c>
      <c r="AJ4" s="31">
        <v>295742</v>
      </c>
      <c r="AK4" s="22">
        <v>61990</v>
      </c>
      <c r="AL4" s="31"/>
      <c r="AM4" s="22">
        <v>333623</v>
      </c>
      <c r="AN4" s="31">
        <v>268966</v>
      </c>
      <c r="AO4" s="22">
        <v>185086</v>
      </c>
      <c r="AP4" s="22">
        <v>48891</v>
      </c>
      <c r="AQ4" s="22">
        <v>231831</v>
      </c>
      <c r="AR4" s="22">
        <v>531997</v>
      </c>
      <c r="AS4" s="22">
        <v>184117</v>
      </c>
      <c r="AT4" s="31">
        <v>162779</v>
      </c>
      <c r="AU4" s="22">
        <v>422362</v>
      </c>
      <c r="AV4" s="22">
        <v>411835</v>
      </c>
      <c r="AW4" s="22">
        <v>160805</v>
      </c>
      <c r="AX4" s="22">
        <v>581620</v>
      </c>
      <c r="AY4" s="2">
        <v>137387</v>
      </c>
      <c r="AZ4" s="2">
        <v>454108</v>
      </c>
      <c r="BA4" s="2">
        <v>392377</v>
      </c>
      <c r="BB4" s="2">
        <v>356892</v>
      </c>
      <c r="BC4" s="2">
        <v>313724</v>
      </c>
      <c r="BD4" s="2">
        <v>187536</v>
      </c>
      <c r="BE4" s="2">
        <v>608744</v>
      </c>
      <c r="BF4" s="2">
        <v>161926</v>
      </c>
      <c r="BG4" s="55">
        <v>58862</v>
      </c>
      <c r="BH4" s="2">
        <v>303997</v>
      </c>
      <c r="BI4" s="2">
        <v>262049</v>
      </c>
      <c r="BJ4" s="2">
        <v>261799</v>
      </c>
      <c r="BK4" s="2">
        <v>339854</v>
      </c>
      <c r="BL4" s="2">
        <v>275306</v>
      </c>
      <c r="BM4" s="2">
        <v>161742</v>
      </c>
      <c r="BN4" s="2">
        <v>135106</v>
      </c>
      <c r="BO4" s="2">
        <v>16194</v>
      </c>
      <c r="BP4" s="2">
        <v>8745</v>
      </c>
      <c r="BQ4" s="2">
        <v>242424</v>
      </c>
      <c r="BR4" s="2">
        <v>103784</v>
      </c>
      <c r="BS4" s="2">
        <v>196938</v>
      </c>
      <c r="BT4" s="2">
        <v>80118</v>
      </c>
      <c r="BU4" s="2">
        <v>567340</v>
      </c>
      <c r="BV4" s="32">
        <v>202961</v>
      </c>
      <c r="BW4" s="2">
        <v>367954</v>
      </c>
      <c r="BX4" s="2">
        <v>559813</v>
      </c>
      <c r="BY4" s="2">
        <v>651121</v>
      </c>
      <c r="BZ4" s="2">
        <v>455189</v>
      </c>
      <c r="CA4" s="2">
        <v>580014</v>
      </c>
      <c r="CB4" s="32">
        <v>84161</v>
      </c>
      <c r="CC4" s="32">
        <v>443934</v>
      </c>
      <c r="CD4" s="2">
        <v>190064</v>
      </c>
      <c r="CE4" s="2">
        <v>132529</v>
      </c>
      <c r="CF4" s="2">
        <v>73472</v>
      </c>
      <c r="CG4" s="2">
        <v>192132</v>
      </c>
      <c r="CH4" s="2">
        <v>12091</v>
      </c>
      <c r="CI4" s="2">
        <v>328207</v>
      </c>
      <c r="CJ4" s="2">
        <v>412893</v>
      </c>
      <c r="CK4" s="2">
        <v>423999</v>
      </c>
      <c r="CL4" s="2">
        <v>395104</v>
      </c>
      <c r="CM4" s="2">
        <v>22695</v>
      </c>
      <c r="CN4" s="2">
        <v>663615</v>
      </c>
      <c r="CO4" s="2">
        <v>470774</v>
      </c>
      <c r="CP4" s="2">
        <v>219824</v>
      </c>
      <c r="CQ4" s="2">
        <v>167684</v>
      </c>
      <c r="CR4" s="2">
        <v>514016</v>
      </c>
      <c r="CS4" s="2">
        <v>183847</v>
      </c>
      <c r="CT4" s="2">
        <v>304437</v>
      </c>
      <c r="CU4" s="2">
        <v>488539</v>
      </c>
      <c r="CV4" s="2">
        <v>151721</v>
      </c>
      <c r="CW4" s="2">
        <v>455037</v>
      </c>
      <c r="CX4" s="2">
        <v>271241</v>
      </c>
      <c r="CY4" s="2">
        <v>419510</v>
      </c>
      <c r="CZ4" s="2">
        <v>419511</v>
      </c>
      <c r="DA4" s="2">
        <v>419512</v>
      </c>
      <c r="DB4" s="2">
        <v>419513</v>
      </c>
      <c r="DC4" s="2">
        <v>419514</v>
      </c>
      <c r="DD4" s="2">
        <v>419515</v>
      </c>
      <c r="DE4" s="2">
        <v>419516</v>
      </c>
      <c r="DF4" s="2"/>
      <c r="DG4" s="2"/>
      <c r="DH4" s="2"/>
      <c r="DI4" s="2"/>
      <c r="DJ4" s="2"/>
      <c r="DK4" s="2"/>
      <c r="DL4" s="2"/>
      <c r="DM4" s="2"/>
      <c r="DN4" s="2"/>
      <c r="DO4" s="2"/>
    </row>
    <row r="5" spans="1:119" x14ac:dyDescent="0.55000000000000004">
      <c r="B5" t="s">
        <v>8</v>
      </c>
      <c r="C5" s="1">
        <v>4.1619999999999998E-8</v>
      </c>
      <c r="D5">
        <v>162.13999999999999</v>
      </c>
      <c r="G5" s="2" t="s">
        <v>5</v>
      </c>
      <c r="H5" s="2">
        <f t="shared" ref="H5:AW5" si="1">$C$2*H4*0.04/0.002*100</f>
        <v>39.331642499999994</v>
      </c>
      <c r="I5" s="22">
        <f t="shared" si="1"/>
        <v>11.449282499999999</v>
      </c>
      <c r="J5" s="2">
        <f t="shared" si="1"/>
        <v>55.038622500000002</v>
      </c>
      <c r="K5" s="26">
        <f t="shared" si="1"/>
        <v>13.284067499999999</v>
      </c>
      <c r="L5" s="2">
        <f t="shared" si="1"/>
        <v>17.790030000000002</v>
      </c>
      <c r="M5" s="22">
        <f t="shared" si="1"/>
        <v>3.4493175000000003</v>
      </c>
      <c r="N5" s="2">
        <f t="shared" si="1"/>
        <v>3.4493849999999999</v>
      </c>
      <c r="O5" s="22">
        <f t="shared" si="1"/>
        <v>0.6969375000000001</v>
      </c>
      <c r="P5" s="22">
        <f t="shared" si="1"/>
        <v>18.013455</v>
      </c>
      <c r="Q5" s="2">
        <f t="shared" si="1"/>
        <v>57.471254999999999</v>
      </c>
      <c r="R5" s="22">
        <f t="shared" si="1"/>
        <v>11.530552500000001</v>
      </c>
      <c r="S5" s="2">
        <f t="shared" si="1"/>
        <v>51.882592500000015</v>
      </c>
      <c r="T5" s="22">
        <f>$C$2*T4*0.04/0.002*100</f>
        <v>11.165849999999999</v>
      </c>
      <c r="U5" s="22">
        <f t="shared" si="1"/>
        <v>12.377745000000001</v>
      </c>
      <c r="V5" s="22">
        <f t="shared" si="1"/>
        <v>8.7356475000000007</v>
      </c>
      <c r="W5" s="27">
        <f t="shared" si="1"/>
        <v>47.937622499999996</v>
      </c>
      <c r="X5" s="22">
        <f t="shared" si="1"/>
        <v>9.7463250000000006</v>
      </c>
      <c r="Y5" s="22">
        <f t="shared" si="1"/>
        <v>11.798730000000001</v>
      </c>
      <c r="Z5" s="26">
        <f t="shared" si="1"/>
        <v>18.651870000000002</v>
      </c>
      <c r="AA5" s="22">
        <f t="shared" si="1"/>
        <v>10.519807500000001</v>
      </c>
      <c r="AB5" s="22">
        <f t="shared" si="1"/>
        <v>16.624912500000004</v>
      </c>
      <c r="AC5" s="22">
        <f t="shared" si="1"/>
        <v>6.8025825000000015</v>
      </c>
      <c r="AD5" s="22">
        <f t="shared" si="1"/>
        <v>13.358722500000001</v>
      </c>
      <c r="AE5" s="22">
        <f t="shared" si="1"/>
        <v>21.166852500000001</v>
      </c>
      <c r="AF5" s="22">
        <f t="shared" si="1"/>
        <v>30.598357500000002</v>
      </c>
      <c r="AG5" s="22">
        <f t="shared" si="1"/>
        <v>36.053505000000001</v>
      </c>
      <c r="AH5" s="31">
        <f t="shared" si="1"/>
        <v>4.3799400000000004</v>
      </c>
      <c r="AI5" s="31">
        <f t="shared" si="1"/>
        <v>0.70375500000000002</v>
      </c>
      <c r="AJ5" s="31">
        <f t="shared" si="1"/>
        <v>19.962585000000001</v>
      </c>
      <c r="AK5" s="22">
        <f t="shared" si="1"/>
        <v>4.1843250000000003</v>
      </c>
      <c r="AL5" s="31">
        <f t="shared" si="1"/>
        <v>0</v>
      </c>
      <c r="AM5" s="22">
        <f t="shared" si="1"/>
        <v>22.5195525</v>
      </c>
      <c r="AN5" s="31">
        <f>$C$2*AN4*0.04/0.002*100</f>
        <v>18.155205000000002</v>
      </c>
      <c r="AO5" s="22">
        <f t="shared" si="1"/>
        <v>12.493304999999999</v>
      </c>
      <c r="AP5" s="22">
        <f t="shared" si="1"/>
        <v>3.3001425000000002</v>
      </c>
      <c r="AQ5" s="22">
        <f t="shared" si="1"/>
        <v>15.648592499999999</v>
      </c>
      <c r="AR5" s="22">
        <f t="shared" si="1"/>
        <v>35.909797500000003</v>
      </c>
      <c r="AS5" s="22">
        <f t="shared" si="1"/>
        <v>12.4278975</v>
      </c>
      <c r="AT5" s="31">
        <f t="shared" si="1"/>
        <v>10.9875825</v>
      </c>
      <c r="AU5" s="22">
        <f t="shared" si="1"/>
        <v>28.509435</v>
      </c>
      <c r="AV5" s="22">
        <f t="shared" si="1"/>
        <v>27.798862499999998</v>
      </c>
      <c r="AW5" s="22">
        <f t="shared" si="1"/>
        <v>10.8543375</v>
      </c>
      <c r="AX5" s="22">
        <f>$C$2*AX4*0.04/0.002*100</f>
        <v>39.259349999999998</v>
      </c>
      <c r="AY5" s="22">
        <f>$C$2*AY4*0.04/0.002*100</f>
        <v>9.2736225000000001</v>
      </c>
      <c r="AZ5" s="50">
        <f>$C$2*AZ4*0.04/0.002*100</f>
        <v>30.652290000000004</v>
      </c>
      <c r="BA5" s="22">
        <f t="shared" ref="BA5:BI5" si="2">$C$2*BA4*0.04/0.002*100</f>
        <v>26.485447500000003</v>
      </c>
      <c r="BB5" s="22">
        <f t="shared" si="2"/>
        <v>24.090209999999999</v>
      </c>
      <c r="BC5" s="22">
        <f t="shared" si="2"/>
        <v>21.176369999999999</v>
      </c>
      <c r="BD5" s="22">
        <f t="shared" si="2"/>
        <v>12.65868</v>
      </c>
      <c r="BE5" s="22">
        <f t="shared" si="2"/>
        <v>41.090220000000002</v>
      </c>
      <c r="BF5" s="22">
        <f t="shared" si="2"/>
        <v>10.930005</v>
      </c>
      <c r="BG5" s="55">
        <f t="shared" si="2"/>
        <v>3.973185</v>
      </c>
      <c r="BH5" s="22">
        <f t="shared" si="2"/>
        <v>20.519797499999999</v>
      </c>
      <c r="BI5" s="22">
        <f t="shared" si="2"/>
        <v>17.688307500000001</v>
      </c>
      <c r="BJ5" s="22">
        <f t="shared" ref="BJ5:BS5" si="3">$C$2*BJ4*0.04/0.002*100</f>
        <v>17.671432500000002</v>
      </c>
      <c r="BK5" s="22">
        <f t="shared" si="3"/>
        <v>22.940145000000005</v>
      </c>
      <c r="BL5" s="22">
        <f t="shared" si="3"/>
        <v>18.583155000000001</v>
      </c>
      <c r="BM5" s="22">
        <f t="shared" si="3"/>
        <v>10.917585000000001</v>
      </c>
      <c r="BN5" s="22">
        <f t="shared" si="3"/>
        <v>9.1196550000000016</v>
      </c>
      <c r="BO5" s="22">
        <f t="shared" si="3"/>
        <v>1.0930949999999999</v>
      </c>
      <c r="BP5" s="22">
        <f t="shared" si="3"/>
        <v>0.59028749999999997</v>
      </c>
      <c r="BQ5" s="22">
        <f t="shared" si="3"/>
        <v>16.363620000000001</v>
      </c>
      <c r="BR5" s="22">
        <f t="shared" si="3"/>
        <v>7.00542</v>
      </c>
      <c r="BS5" s="22">
        <f t="shared" si="3"/>
        <v>13.293315</v>
      </c>
      <c r="BT5" s="22">
        <f t="shared" ref="BT5:CG5" si="4">$C$2*BT4*0.04/0.002*100</f>
        <v>5.4079649999999999</v>
      </c>
      <c r="BU5" s="22">
        <f t="shared" si="4"/>
        <v>38.295450000000002</v>
      </c>
      <c r="BV5" s="32">
        <f t="shared" si="4"/>
        <v>13.699867500000002</v>
      </c>
      <c r="BW5" s="22">
        <f t="shared" si="4"/>
        <v>24.836895000000002</v>
      </c>
      <c r="BX5" s="22">
        <f t="shared" si="4"/>
        <v>37.787377500000005</v>
      </c>
      <c r="BY5" s="22">
        <f t="shared" si="4"/>
        <v>43.950667500000002</v>
      </c>
      <c r="BZ5" s="22">
        <f t="shared" si="4"/>
        <v>30.725257500000001</v>
      </c>
      <c r="CA5" s="22">
        <f t="shared" si="4"/>
        <v>39.150945</v>
      </c>
      <c r="CB5" s="32">
        <f t="shared" si="4"/>
        <v>5.6808675000000006</v>
      </c>
      <c r="CC5" s="32">
        <f t="shared" si="4"/>
        <v>29.965544999999999</v>
      </c>
      <c r="CD5" s="22">
        <f t="shared" si="4"/>
        <v>12.829320000000003</v>
      </c>
      <c r="CE5" s="22">
        <f t="shared" si="4"/>
        <v>8.945707500000001</v>
      </c>
      <c r="CF5" s="22">
        <f t="shared" si="4"/>
        <v>4.9593600000000002</v>
      </c>
      <c r="CG5" s="22">
        <f t="shared" si="4"/>
        <v>12.968910000000001</v>
      </c>
      <c r="CH5" s="22">
        <f>$C$2*CH4*0.04/0.002*100</f>
        <v>0.81614249999999999</v>
      </c>
      <c r="CI5" s="22">
        <f>$C$2*CI4*0.04/0.002*100</f>
        <v>22.153972499999998</v>
      </c>
      <c r="CJ5" s="22">
        <f>$C$2*CJ4*0.04/0.002*100</f>
        <v>27.8702775</v>
      </c>
      <c r="CK5" s="22">
        <f>$C$2*CK4*0.04/0.002*100</f>
        <v>28.619932500000001</v>
      </c>
      <c r="CL5" s="22">
        <f t="shared" ref="CL5:DE5" si="5">$C$2*CL4*0.04/0.002*100</f>
        <v>26.669520000000002</v>
      </c>
      <c r="CM5" s="22">
        <f>$C$2*CM4*0.01/0.0005*100</f>
        <v>1.5319125</v>
      </c>
      <c r="CN5" s="22">
        <f>$C$2*CN4*0.01/0.0005*100</f>
        <v>44.794012500000001</v>
      </c>
      <c r="CO5" s="22">
        <f>$C$2*CO4*0.01/0.0005*100</f>
        <v>31.777244999999997</v>
      </c>
      <c r="CP5" s="22">
        <f>$C$2*CP4*0.01/0.0005*100</f>
        <v>14.83812</v>
      </c>
      <c r="CQ5" s="22">
        <f t="shared" si="5"/>
        <v>11.318670000000001</v>
      </c>
      <c r="CR5" s="22">
        <f t="shared" si="5"/>
        <v>34.696080000000009</v>
      </c>
      <c r="CS5" s="22">
        <f t="shared" si="5"/>
        <v>12.409672500000001</v>
      </c>
      <c r="CT5" s="22">
        <f t="shared" si="5"/>
        <v>20.549497500000001</v>
      </c>
      <c r="CU5" s="22">
        <f t="shared" si="5"/>
        <v>32.976382499999993</v>
      </c>
      <c r="CV5" s="22">
        <f t="shared" si="5"/>
        <v>10.241167500000001</v>
      </c>
      <c r="CW5" s="22">
        <f t="shared" si="5"/>
        <v>30.714997500000003</v>
      </c>
      <c r="CX5" s="22">
        <f t="shared" si="5"/>
        <v>18.308767500000002</v>
      </c>
      <c r="CY5" s="22">
        <f t="shared" si="5"/>
        <v>28.316925000000005</v>
      </c>
      <c r="CZ5" s="22">
        <f t="shared" si="5"/>
        <v>28.316992500000005</v>
      </c>
      <c r="DA5" s="22">
        <f t="shared" si="5"/>
        <v>28.317059999999998</v>
      </c>
      <c r="DB5" s="22">
        <f t="shared" si="5"/>
        <v>28.317127500000002</v>
      </c>
      <c r="DC5" s="22">
        <f t="shared" si="5"/>
        <v>28.317195000000002</v>
      </c>
      <c r="DD5" s="22">
        <f t="shared" si="5"/>
        <v>28.317262500000002</v>
      </c>
      <c r="DE5" s="22">
        <f t="shared" si="5"/>
        <v>28.317330000000002</v>
      </c>
      <c r="DF5" s="2"/>
      <c r="DG5" s="2"/>
      <c r="DH5" s="2"/>
      <c r="DI5" s="2"/>
      <c r="DJ5" s="2"/>
      <c r="DK5" s="2"/>
      <c r="DL5" s="2"/>
      <c r="DM5" s="2"/>
      <c r="DN5" s="2"/>
      <c r="DO5" s="2"/>
    </row>
    <row r="6" spans="1:119" x14ac:dyDescent="0.55000000000000004">
      <c r="B6" t="s">
        <v>12</v>
      </c>
      <c r="C6" s="1">
        <f>C3*2</f>
        <v>3.7539999999999997E-8</v>
      </c>
      <c r="E6">
        <v>12.56</v>
      </c>
      <c r="F6" s="2" t="s">
        <v>6</v>
      </c>
      <c r="G6" s="2" t="s">
        <v>4</v>
      </c>
      <c r="H6" s="2">
        <v>54386</v>
      </c>
      <c r="I6" s="22">
        <v>10686</v>
      </c>
      <c r="J6" s="2">
        <v>17725</v>
      </c>
      <c r="K6" s="22">
        <v>7240</v>
      </c>
      <c r="L6" s="2">
        <v>106571</v>
      </c>
      <c r="M6" s="22">
        <v>19535</v>
      </c>
      <c r="N6" s="2">
        <v>53131</v>
      </c>
      <c r="O6" s="22">
        <v>9172</v>
      </c>
      <c r="P6" s="22">
        <v>5848</v>
      </c>
      <c r="Q6" s="2">
        <v>20575</v>
      </c>
      <c r="R6" s="22">
        <v>131426</v>
      </c>
      <c r="S6" s="2">
        <v>122914</v>
      </c>
      <c r="T6" s="22">
        <v>8859</v>
      </c>
      <c r="U6" s="22">
        <v>8117</v>
      </c>
      <c r="V6" s="22">
        <v>10531</v>
      </c>
      <c r="W6" s="27">
        <v>50242</v>
      </c>
      <c r="X6" s="22">
        <v>11311</v>
      </c>
      <c r="Y6" s="22">
        <v>10010</v>
      </c>
      <c r="Z6" s="32">
        <v>67871</v>
      </c>
      <c r="AA6" s="22">
        <v>10525</v>
      </c>
      <c r="AB6" s="22">
        <v>6726</v>
      </c>
      <c r="AC6" s="22">
        <v>16313</v>
      </c>
      <c r="AD6" s="22">
        <v>9003</v>
      </c>
      <c r="AE6" s="22">
        <v>5674</v>
      </c>
      <c r="AF6" s="22">
        <v>4201</v>
      </c>
      <c r="AG6" s="22">
        <v>3320</v>
      </c>
      <c r="AH6" s="31">
        <v>13102</v>
      </c>
      <c r="AI6" s="31"/>
      <c r="AJ6" s="31">
        <v>6418</v>
      </c>
      <c r="AK6" s="22">
        <v>13039</v>
      </c>
      <c r="AL6" s="31"/>
      <c r="AM6" s="31"/>
      <c r="AN6" s="31">
        <v>5618</v>
      </c>
      <c r="AO6" s="22">
        <v>8955</v>
      </c>
      <c r="AP6" s="22">
        <v>17774</v>
      </c>
      <c r="AQ6" s="22">
        <v>6757</v>
      </c>
      <c r="AR6" s="22">
        <v>2773</v>
      </c>
      <c r="AS6" s="22">
        <v>11497</v>
      </c>
      <c r="AT6" s="31">
        <v>9526</v>
      </c>
      <c r="AU6" s="31"/>
      <c r="AV6" s="22">
        <v>4982</v>
      </c>
      <c r="AW6" s="22">
        <v>10462</v>
      </c>
      <c r="AX6" s="31"/>
      <c r="AY6" s="31"/>
      <c r="AZ6" s="2"/>
      <c r="BA6" s="31"/>
      <c r="BB6" s="31"/>
      <c r="BC6" s="31"/>
      <c r="BD6" s="2">
        <v>15079</v>
      </c>
      <c r="BE6" s="2">
        <v>28542</v>
      </c>
      <c r="BF6" s="2"/>
      <c r="BG6" s="55"/>
      <c r="BH6" s="31">
        <v>24515</v>
      </c>
      <c r="BI6" s="2">
        <v>7610</v>
      </c>
      <c r="BJ6" s="2">
        <v>7147</v>
      </c>
      <c r="BK6" s="2">
        <v>58391</v>
      </c>
      <c r="BL6" s="2"/>
      <c r="BM6" s="31"/>
      <c r="BN6" s="2"/>
      <c r="BO6" s="2"/>
      <c r="BP6" s="2"/>
      <c r="BQ6" s="2"/>
      <c r="BR6" s="2"/>
      <c r="BS6" s="2">
        <v>8537</v>
      </c>
      <c r="BT6" s="2">
        <v>19890</v>
      </c>
      <c r="BU6" s="2">
        <v>3247</v>
      </c>
      <c r="BV6" s="32"/>
      <c r="BW6" s="2">
        <v>4801</v>
      </c>
      <c r="BX6" s="2">
        <v>3247</v>
      </c>
      <c r="BY6" s="2">
        <v>2</v>
      </c>
      <c r="BZ6" s="2">
        <v>4018</v>
      </c>
      <c r="CA6" s="2"/>
      <c r="CB6" s="32"/>
      <c r="CC6" s="32"/>
      <c r="CD6" s="2">
        <v>8416</v>
      </c>
      <c r="CE6" s="2">
        <v>15669</v>
      </c>
      <c r="CF6" s="2">
        <v>58186</v>
      </c>
      <c r="CG6" s="2">
        <v>12600</v>
      </c>
      <c r="CH6" s="2"/>
      <c r="CI6" s="2"/>
      <c r="CJ6" s="2"/>
      <c r="CK6" s="2"/>
      <c r="CL6" s="2"/>
      <c r="CM6" s="2">
        <v>1409655</v>
      </c>
      <c r="CN6" s="2">
        <v>819674</v>
      </c>
      <c r="CO6" s="2">
        <v>984065</v>
      </c>
      <c r="CP6" s="2">
        <v>1265771</v>
      </c>
      <c r="CQ6" s="2">
        <v>14409</v>
      </c>
      <c r="CR6" s="2"/>
      <c r="CS6" s="2"/>
      <c r="CT6" s="2"/>
      <c r="CU6" s="2"/>
      <c r="CV6" s="2">
        <v>347000</v>
      </c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</row>
    <row r="7" spans="1:119" x14ac:dyDescent="0.55000000000000004">
      <c r="B7" t="s">
        <v>13</v>
      </c>
      <c r="C7" s="1">
        <f>C3*1.5</f>
        <v>2.8154999999999996E-8</v>
      </c>
      <c r="G7" s="2" t="s">
        <v>5</v>
      </c>
      <c r="H7" s="2">
        <f t="shared" ref="H7:AW7" si="6">$C$3*H6*0.04/0.002*100</f>
        <v>2.0416504399999997</v>
      </c>
      <c r="I7" s="22">
        <f t="shared" si="6"/>
        <v>0.40115244</v>
      </c>
      <c r="J7" s="2">
        <f t="shared" si="6"/>
        <v>0.66539649999999995</v>
      </c>
      <c r="K7" s="22">
        <f t="shared" si="6"/>
        <v>0.27178959999999996</v>
      </c>
      <c r="L7" s="2">
        <f t="shared" si="6"/>
        <v>4.0006753400000008</v>
      </c>
      <c r="M7" s="22">
        <f t="shared" si="6"/>
        <v>0.73334389999999994</v>
      </c>
      <c r="N7" s="2">
        <f t="shared" si="6"/>
        <v>1.9945377399999999</v>
      </c>
      <c r="O7" s="22">
        <f t="shared" si="6"/>
        <v>0.34431687999999999</v>
      </c>
      <c r="P7" s="22">
        <f t="shared" si="6"/>
        <v>0.21953391999999997</v>
      </c>
      <c r="Q7" s="2">
        <f t="shared" si="6"/>
        <v>0.77238549999999995</v>
      </c>
      <c r="R7" s="22">
        <f t="shared" si="6"/>
        <v>4.9337320399999998</v>
      </c>
      <c r="S7" s="2">
        <f t="shared" si="6"/>
        <v>4.6141915599999992</v>
      </c>
      <c r="T7" s="22">
        <f t="shared" si="6"/>
        <v>0.33256685999999996</v>
      </c>
      <c r="U7" s="22">
        <f t="shared" si="6"/>
        <v>0.30471217999999994</v>
      </c>
      <c r="V7" s="22">
        <f t="shared" si="6"/>
        <v>0.39533373999999999</v>
      </c>
      <c r="W7" s="27">
        <f t="shared" si="6"/>
        <v>1.8860846799999997</v>
      </c>
      <c r="X7" s="22">
        <f t="shared" si="6"/>
        <v>0.42461493999999994</v>
      </c>
      <c r="Y7" s="22">
        <f t="shared" si="6"/>
        <v>0.37577539999999998</v>
      </c>
      <c r="Z7" s="22">
        <f t="shared" si="6"/>
        <v>2.5478773399999999</v>
      </c>
      <c r="AA7" s="22">
        <f t="shared" si="6"/>
        <v>0.39510849999999997</v>
      </c>
      <c r="AB7" s="22">
        <f t="shared" si="6"/>
        <v>0.25249403999999998</v>
      </c>
      <c r="AC7" s="22">
        <f t="shared" si="6"/>
        <v>0.61239001999999987</v>
      </c>
      <c r="AD7" s="22">
        <f t="shared" si="6"/>
        <v>0.33797261999999995</v>
      </c>
      <c r="AE7" s="22">
        <f t="shared" si="6"/>
        <v>0.21300195999999996</v>
      </c>
      <c r="AF7" s="22">
        <f t="shared" si="6"/>
        <v>0.15770553999999998</v>
      </c>
      <c r="AG7" s="22">
        <f t="shared" si="6"/>
        <v>0.12463279999999999</v>
      </c>
      <c r="AH7" s="31">
        <f t="shared" si="6"/>
        <v>0.49184907999999988</v>
      </c>
      <c r="AI7" s="31">
        <f t="shared" si="6"/>
        <v>0</v>
      </c>
      <c r="AJ7" s="31">
        <f t="shared" si="6"/>
        <v>0.24093171999999993</v>
      </c>
      <c r="AK7" s="22">
        <f t="shared" si="6"/>
        <v>0.48948406000000005</v>
      </c>
      <c r="AL7" s="31">
        <f t="shared" si="6"/>
        <v>0</v>
      </c>
      <c r="AM7" s="22">
        <f t="shared" si="6"/>
        <v>0</v>
      </c>
      <c r="AN7" s="31">
        <f t="shared" si="6"/>
        <v>0.21089972000000001</v>
      </c>
      <c r="AO7" s="22">
        <f t="shared" si="6"/>
        <v>0.33617069999999999</v>
      </c>
      <c r="AP7" s="22">
        <f t="shared" si="6"/>
        <v>0.66723595999999985</v>
      </c>
      <c r="AQ7" s="22">
        <f t="shared" si="6"/>
        <v>0.25365778</v>
      </c>
      <c r="AR7" s="22">
        <f t="shared" si="6"/>
        <v>0.10409841999999998</v>
      </c>
      <c r="AS7" s="22">
        <f t="shared" si="6"/>
        <v>0.43159737999999992</v>
      </c>
      <c r="AT7" s="31">
        <f t="shared" si="6"/>
        <v>0.35760603999999996</v>
      </c>
      <c r="AU7" s="22">
        <f t="shared" si="6"/>
        <v>0</v>
      </c>
      <c r="AV7" s="22">
        <f t="shared" si="6"/>
        <v>0.18702427999999999</v>
      </c>
      <c r="AW7" s="22">
        <f t="shared" si="6"/>
        <v>0.39274347999999998</v>
      </c>
      <c r="AX7" s="22">
        <f>$C$3*AX6*0.04/0.002*100</f>
        <v>0</v>
      </c>
      <c r="AY7" s="22">
        <f>$C$3*AY6*0.04/0.002*100</f>
        <v>0</v>
      </c>
      <c r="AZ7" s="22">
        <f>$C$3*AZ6*0.04/0.002*100</f>
        <v>0</v>
      </c>
      <c r="BA7" s="22">
        <f t="shared" ref="BA7:BI7" si="7">$C$3*BA6*0.04/0.002*100</f>
        <v>0</v>
      </c>
      <c r="BB7" s="22">
        <f t="shared" si="7"/>
        <v>0</v>
      </c>
      <c r="BC7" s="22">
        <f t="shared" si="7"/>
        <v>0</v>
      </c>
      <c r="BD7" s="22">
        <f t="shared" si="7"/>
        <v>0.56606566000000003</v>
      </c>
      <c r="BE7" s="22">
        <f t="shared" si="7"/>
        <v>1.0714666799999999</v>
      </c>
      <c r="BF7" s="22">
        <f t="shared" si="7"/>
        <v>0</v>
      </c>
      <c r="BG7" s="55">
        <f t="shared" si="7"/>
        <v>0</v>
      </c>
      <c r="BH7" s="22">
        <f t="shared" si="7"/>
        <v>0.92029309999999998</v>
      </c>
      <c r="BI7" s="22">
        <f t="shared" si="7"/>
        <v>0.28567939999999997</v>
      </c>
      <c r="BJ7" s="22">
        <f t="shared" ref="BJ7:BS7" si="8">$C$3*BJ6*0.04/0.002*100</f>
        <v>0.26829838</v>
      </c>
      <c r="BK7" s="22">
        <f t="shared" si="8"/>
        <v>2.1919981399999999</v>
      </c>
      <c r="BL7" s="22">
        <f t="shared" si="8"/>
        <v>0</v>
      </c>
      <c r="BM7" s="22">
        <f t="shared" si="8"/>
        <v>0</v>
      </c>
      <c r="BN7" s="22">
        <f t="shared" si="8"/>
        <v>0</v>
      </c>
      <c r="BO7" s="22">
        <f t="shared" si="8"/>
        <v>0</v>
      </c>
      <c r="BP7" s="22">
        <f t="shared" si="8"/>
        <v>0</v>
      </c>
      <c r="BQ7" s="22">
        <f t="shared" si="8"/>
        <v>0</v>
      </c>
      <c r="BR7" s="22">
        <f t="shared" si="8"/>
        <v>0</v>
      </c>
      <c r="BS7" s="22">
        <f t="shared" si="8"/>
        <v>0.32047897999999991</v>
      </c>
      <c r="BT7" s="22">
        <f t="shared" ref="BT7:CG7" si="9">$C$3*BT6*0.04/0.002*100</f>
        <v>0.74667059999999996</v>
      </c>
      <c r="BU7" s="22">
        <f t="shared" si="9"/>
        <v>0.12189238000000001</v>
      </c>
      <c r="BV7" s="32">
        <f t="shared" si="9"/>
        <v>0</v>
      </c>
      <c r="BW7" s="22">
        <f t="shared" si="9"/>
        <v>0.18022953999999999</v>
      </c>
      <c r="BX7" s="22">
        <f t="shared" si="9"/>
        <v>0.12189238000000001</v>
      </c>
      <c r="BY7" s="22">
        <f t="shared" si="9"/>
        <v>7.5079999999999993E-5</v>
      </c>
      <c r="BZ7" s="22">
        <f t="shared" si="9"/>
        <v>0.15083571999999998</v>
      </c>
      <c r="CA7" s="22">
        <f t="shared" si="9"/>
        <v>0</v>
      </c>
      <c r="CB7" s="32">
        <f t="shared" si="9"/>
        <v>0</v>
      </c>
      <c r="CC7" s="32">
        <f t="shared" si="9"/>
        <v>0</v>
      </c>
      <c r="CD7" s="22">
        <f t="shared" si="9"/>
        <v>0.31593663999999999</v>
      </c>
      <c r="CE7" s="22">
        <f t="shared" si="9"/>
        <v>0.58821425999999988</v>
      </c>
      <c r="CF7" s="22">
        <f t="shared" si="9"/>
        <v>2.1843024399999997</v>
      </c>
      <c r="CG7" s="22">
        <f t="shared" si="9"/>
        <v>0.47300399999999998</v>
      </c>
      <c r="CH7" s="22">
        <f>$C$3*CH6*0.04/0.002*100</f>
        <v>0</v>
      </c>
      <c r="CI7" s="22">
        <f>$C$3*CI6*0.04/0.002*100</f>
        <v>0</v>
      </c>
      <c r="CJ7" s="22">
        <f>$C$3*CJ6*0.04/0.002*100</f>
        <v>0</v>
      </c>
      <c r="CK7" s="22">
        <f>$C$3*CK6*0.04/0.002*100</f>
        <v>0</v>
      </c>
      <c r="CL7" s="22">
        <f t="shared" ref="CL7:DE7" si="10">$C$3*CL6*0.04/0.002*100</f>
        <v>0</v>
      </c>
      <c r="CM7" s="22">
        <f t="shared" si="10"/>
        <v>52.918448699999985</v>
      </c>
      <c r="CN7" s="22">
        <f t="shared" si="10"/>
        <v>30.770561959999998</v>
      </c>
      <c r="CO7" s="22">
        <f t="shared" si="10"/>
        <v>36.941800100000002</v>
      </c>
      <c r="CP7" s="22">
        <f t="shared" si="10"/>
        <v>47.517043340000001</v>
      </c>
      <c r="CQ7" s="22">
        <f t="shared" si="10"/>
        <v>0.54091385999999997</v>
      </c>
      <c r="CR7" s="22">
        <f t="shared" si="10"/>
        <v>0</v>
      </c>
      <c r="CS7" s="22">
        <f t="shared" si="10"/>
        <v>0</v>
      </c>
      <c r="CT7" s="22">
        <f t="shared" si="10"/>
        <v>0</v>
      </c>
      <c r="CU7" s="22">
        <f t="shared" si="10"/>
        <v>0</v>
      </c>
      <c r="CV7" s="22">
        <f t="shared" si="10"/>
        <v>13.026379999999998</v>
      </c>
      <c r="CW7" s="22">
        <f t="shared" si="10"/>
        <v>0</v>
      </c>
      <c r="CX7" s="22">
        <f t="shared" si="10"/>
        <v>0</v>
      </c>
      <c r="CY7" s="22">
        <f t="shared" si="10"/>
        <v>0</v>
      </c>
      <c r="CZ7" s="22">
        <f t="shared" si="10"/>
        <v>0</v>
      </c>
      <c r="DA7" s="22">
        <f t="shared" si="10"/>
        <v>0</v>
      </c>
      <c r="DB7" s="22">
        <f t="shared" si="10"/>
        <v>0</v>
      </c>
      <c r="DC7" s="22">
        <f t="shared" si="10"/>
        <v>0</v>
      </c>
      <c r="DD7" s="22">
        <f t="shared" si="10"/>
        <v>0</v>
      </c>
      <c r="DE7" s="22">
        <f t="shared" si="10"/>
        <v>0</v>
      </c>
      <c r="DF7" s="2"/>
      <c r="DG7" s="2"/>
      <c r="DH7" s="2"/>
      <c r="DI7" s="2"/>
      <c r="DJ7" s="2"/>
      <c r="DK7" s="2"/>
      <c r="DL7" s="2"/>
      <c r="DM7" s="2"/>
      <c r="DN7" s="2"/>
      <c r="DO7" s="2"/>
    </row>
    <row r="8" spans="1:119" x14ac:dyDescent="0.55000000000000004">
      <c r="B8" t="s">
        <v>14</v>
      </c>
      <c r="C8" s="1">
        <f>C2</f>
        <v>3.3750000000000001E-8</v>
      </c>
      <c r="E8">
        <v>46.7</v>
      </c>
      <c r="F8" s="3" t="s">
        <v>7</v>
      </c>
      <c r="G8" s="2" t="s">
        <v>4</v>
      </c>
      <c r="H8" s="2">
        <v>79553</v>
      </c>
      <c r="I8" s="22">
        <v>26635</v>
      </c>
      <c r="J8" s="2">
        <v>100036</v>
      </c>
      <c r="K8" s="22">
        <v>27153</v>
      </c>
      <c r="L8" s="2">
        <v>48027</v>
      </c>
      <c r="M8" s="22">
        <v>11185</v>
      </c>
      <c r="N8" s="2">
        <v>27655</v>
      </c>
      <c r="O8" s="22">
        <v>5657</v>
      </c>
      <c r="P8" s="22">
        <v>36915</v>
      </c>
      <c r="Q8" s="2">
        <v>102673</v>
      </c>
      <c r="R8" s="22">
        <v>37122</v>
      </c>
      <c r="S8" s="2">
        <v>121927</v>
      </c>
      <c r="T8" s="22">
        <v>28933</v>
      </c>
      <c r="U8" s="22">
        <v>26818</v>
      </c>
      <c r="V8" s="22">
        <v>19323</v>
      </c>
      <c r="W8" s="27">
        <v>81714</v>
      </c>
      <c r="X8" s="22">
        <v>24557</v>
      </c>
      <c r="Y8" s="22">
        <v>22801</v>
      </c>
      <c r="Z8" s="22">
        <v>30169</v>
      </c>
      <c r="AA8" s="22">
        <v>18776</v>
      </c>
      <c r="AB8" s="22">
        <v>31224</v>
      </c>
      <c r="AC8" s="22">
        <v>22186</v>
      </c>
      <c r="AD8" s="22">
        <v>23241</v>
      </c>
      <c r="AE8" s="22">
        <v>41712</v>
      </c>
      <c r="AF8" s="22">
        <v>62463</v>
      </c>
      <c r="AG8" s="22">
        <v>78579</v>
      </c>
      <c r="AH8" s="31">
        <v>20720</v>
      </c>
      <c r="AI8" s="31"/>
      <c r="AJ8" s="31">
        <v>33614</v>
      </c>
      <c r="AK8" s="22">
        <v>24518</v>
      </c>
      <c r="AL8" s="31"/>
      <c r="AM8" s="22">
        <v>47057</v>
      </c>
      <c r="AN8" s="31">
        <v>30389</v>
      </c>
      <c r="AO8" s="22">
        <v>28647</v>
      </c>
      <c r="AP8" s="22">
        <v>13492</v>
      </c>
      <c r="AQ8" s="22">
        <v>35862</v>
      </c>
      <c r="AR8" s="22">
        <v>116940</v>
      </c>
      <c r="AS8" s="22">
        <v>32383</v>
      </c>
      <c r="AT8" s="31">
        <v>26473</v>
      </c>
      <c r="AU8" s="22">
        <v>67502</v>
      </c>
      <c r="AV8" s="22">
        <v>57600</v>
      </c>
      <c r="AW8" s="22">
        <v>19883</v>
      </c>
      <c r="AX8" s="22">
        <v>126375</v>
      </c>
      <c r="AY8" s="2">
        <v>21190</v>
      </c>
      <c r="AZ8" s="2">
        <v>63494</v>
      </c>
      <c r="BA8" s="2">
        <v>110336</v>
      </c>
      <c r="BB8" s="2">
        <v>176486</v>
      </c>
      <c r="BC8" s="2">
        <v>213805</v>
      </c>
      <c r="BD8" s="2">
        <v>29320</v>
      </c>
      <c r="BE8" s="2">
        <v>76909</v>
      </c>
      <c r="BF8" s="2">
        <v>41015</v>
      </c>
      <c r="BG8" s="55">
        <v>37366</v>
      </c>
      <c r="BH8" s="2">
        <v>84456</v>
      </c>
      <c r="BI8" s="2">
        <v>31259</v>
      </c>
      <c r="BJ8" s="2">
        <v>29260</v>
      </c>
      <c r="BK8" s="2">
        <v>43344</v>
      </c>
      <c r="BL8" s="2">
        <v>34305</v>
      </c>
      <c r="BM8" s="2">
        <v>34843</v>
      </c>
      <c r="BN8" s="2">
        <v>35232</v>
      </c>
      <c r="BO8" s="2"/>
      <c r="BP8" s="2"/>
      <c r="BQ8" s="2"/>
      <c r="BR8" s="2"/>
      <c r="BS8" s="2">
        <v>21225</v>
      </c>
      <c r="BT8" s="2">
        <v>12458</v>
      </c>
      <c r="BU8" s="2">
        <v>88993</v>
      </c>
      <c r="BV8" s="32"/>
      <c r="BW8" s="2">
        <v>39613</v>
      </c>
      <c r="BX8" s="2">
        <v>85280</v>
      </c>
      <c r="BY8" s="2">
        <v>119733</v>
      </c>
      <c r="BZ8" s="2">
        <v>61217</v>
      </c>
      <c r="CA8" s="2"/>
      <c r="CB8" s="32"/>
      <c r="CC8" s="32"/>
      <c r="CD8" s="2">
        <v>21643</v>
      </c>
      <c r="CE8" s="2">
        <v>167956</v>
      </c>
      <c r="CF8" s="2">
        <v>36227</v>
      </c>
      <c r="CG8" s="2">
        <v>23711</v>
      </c>
      <c r="CH8" s="2">
        <v>8272</v>
      </c>
      <c r="CI8" s="2">
        <v>195244</v>
      </c>
      <c r="CJ8" s="2">
        <v>111560</v>
      </c>
      <c r="CK8" s="2">
        <v>83628</v>
      </c>
      <c r="CL8" s="2">
        <v>110846</v>
      </c>
      <c r="CM8" s="2"/>
      <c r="CN8" s="2"/>
      <c r="CO8" s="2"/>
      <c r="CP8" s="2"/>
      <c r="CQ8" s="2">
        <v>37134</v>
      </c>
      <c r="CR8" s="2">
        <v>124496</v>
      </c>
      <c r="CS8" s="2"/>
      <c r="CT8" s="2">
        <v>89329</v>
      </c>
      <c r="CU8" s="2">
        <v>65101</v>
      </c>
      <c r="CV8" s="2">
        <v>58549</v>
      </c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</row>
    <row r="9" spans="1:119" x14ac:dyDescent="0.55000000000000004">
      <c r="B9" t="s">
        <v>15</v>
      </c>
      <c r="C9" s="1">
        <f>C2</f>
        <v>3.3750000000000001E-8</v>
      </c>
      <c r="G9" s="2" t="s">
        <v>5</v>
      </c>
      <c r="H9" s="2">
        <f>$C$4*H8*0.04/0.002*100</f>
        <v>5.8741935200000004</v>
      </c>
      <c r="I9" s="22">
        <f t="shared" ref="I9:AW9" si="11">$C$4*I8*0.04/0.002*100</f>
        <v>1.9667284000000003</v>
      </c>
      <c r="J9" s="2">
        <f t="shared" si="11"/>
        <v>7.3866582400000009</v>
      </c>
      <c r="K9" s="22">
        <f t="shared" si="11"/>
        <v>2.0049775200000006</v>
      </c>
      <c r="L9" s="2">
        <f t="shared" si="11"/>
        <v>3.5463136800000004</v>
      </c>
      <c r="M9" s="22">
        <f t="shared" si="11"/>
        <v>0.82590040000000009</v>
      </c>
      <c r="N9" s="2">
        <f t="shared" si="11"/>
        <v>2.0420452</v>
      </c>
      <c r="O9" s="22">
        <f t="shared" si="11"/>
        <v>0.41771288000000006</v>
      </c>
      <c r="P9" s="22">
        <f t="shared" si="11"/>
        <v>2.7258036000000003</v>
      </c>
      <c r="Q9" s="2">
        <f t="shared" si="11"/>
        <v>7.5813743200000001</v>
      </c>
      <c r="R9" s="22">
        <f t="shared" si="11"/>
        <v>2.7410884800000002</v>
      </c>
      <c r="S9" s="2">
        <f t="shared" si="11"/>
        <v>9.0030896800000004</v>
      </c>
      <c r="T9" s="22">
        <f t="shared" si="11"/>
        <v>2.13641272</v>
      </c>
      <c r="U9" s="22">
        <f t="shared" si="11"/>
        <v>1.9802411200000001</v>
      </c>
      <c r="V9" s="22">
        <f t="shared" si="11"/>
        <v>1.4268103200000002</v>
      </c>
      <c r="W9" s="27">
        <f t="shared" si="11"/>
        <v>6.0337617600000009</v>
      </c>
      <c r="X9" s="22">
        <f t="shared" si="11"/>
        <v>1.81328888</v>
      </c>
      <c r="Y9" s="22">
        <f t="shared" si="11"/>
        <v>1.6836258400000002</v>
      </c>
      <c r="Z9" s="22">
        <f t="shared" si="11"/>
        <v>2.22767896</v>
      </c>
      <c r="AA9" s="22">
        <f t="shared" si="11"/>
        <v>1.3864198400000003</v>
      </c>
      <c r="AB9" s="22">
        <f t="shared" si="11"/>
        <v>2.3055801599999999</v>
      </c>
      <c r="AC9" s="22">
        <f t="shared" si="11"/>
        <v>1.6382142400000002</v>
      </c>
      <c r="AD9" s="22">
        <f t="shared" si="11"/>
        <v>1.71611544</v>
      </c>
      <c r="AE9" s="22">
        <f t="shared" si="11"/>
        <v>3.0800140800000002</v>
      </c>
      <c r="AF9" s="22">
        <f t="shared" si="11"/>
        <v>4.6122679199999999</v>
      </c>
      <c r="AG9" s="22">
        <f t="shared" si="11"/>
        <v>5.80227336</v>
      </c>
      <c r="AH9" s="31">
        <f t="shared" si="11"/>
        <v>1.5299647999999999</v>
      </c>
      <c r="AI9" s="31">
        <f t="shared" si="11"/>
        <v>0</v>
      </c>
      <c r="AJ9" s="31">
        <f t="shared" si="11"/>
        <v>2.48205776</v>
      </c>
      <c r="AK9" s="22">
        <f t="shared" si="11"/>
        <v>1.8104091200000001</v>
      </c>
      <c r="AL9" s="31">
        <f t="shared" si="11"/>
        <v>0</v>
      </c>
      <c r="AM9" s="22">
        <f t="shared" si="11"/>
        <v>3.47468888</v>
      </c>
      <c r="AN9" s="31">
        <f t="shared" si="11"/>
        <v>2.2439237600000004</v>
      </c>
      <c r="AO9" s="22">
        <f t="shared" si="11"/>
        <v>2.1152944800000002</v>
      </c>
      <c r="AP9" s="22">
        <f t="shared" si="11"/>
        <v>0.99624928000000001</v>
      </c>
      <c r="AQ9" s="22">
        <f t="shared" si="11"/>
        <v>2.64805008</v>
      </c>
      <c r="AR9" s="22">
        <f t="shared" si="11"/>
        <v>8.6348496000000008</v>
      </c>
      <c r="AS9" s="22">
        <f t="shared" si="11"/>
        <v>2.3911607199999998</v>
      </c>
      <c r="AT9" s="31">
        <f t="shared" si="11"/>
        <v>1.9547663200000003</v>
      </c>
      <c r="AU9" s="22">
        <f t="shared" si="11"/>
        <v>4.9843476799999991</v>
      </c>
      <c r="AV9" s="22">
        <f t="shared" si="11"/>
        <v>4.2531840000000001</v>
      </c>
      <c r="AW9" s="22">
        <f t="shared" si="11"/>
        <v>1.4681607200000002</v>
      </c>
      <c r="AX9" s="22">
        <f>$C$4*AX8*0.04/0.002*100</f>
        <v>9.3315300000000025</v>
      </c>
      <c r="AY9" s="22">
        <f>$C$4*AY8*0.04/0.002*100</f>
        <v>1.5646695999999998</v>
      </c>
      <c r="AZ9" s="22">
        <f>$C$4*AZ8*0.04/0.002*100</f>
        <v>4.6883969600000004</v>
      </c>
      <c r="BA9" s="22">
        <f t="shared" ref="BA9:BI9" si="12">$C$4*BA8*0.04/0.002*100</f>
        <v>8.1472102400000015</v>
      </c>
      <c r="BB9" s="22">
        <f t="shared" si="12"/>
        <v>13.031726240000003</v>
      </c>
      <c r="BC9" s="22">
        <f t="shared" si="12"/>
        <v>15.787361200000003</v>
      </c>
      <c r="BD9" s="22">
        <f t="shared" si="12"/>
        <v>2.1649888000000006</v>
      </c>
      <c r="BE9" s="22">
        <f t="shared" si="12"/>
        <v>5.678960560000001</v>
      </c>
      <c r="BF9" s="22">
        <f t="shared" si="12"/>
        <v>3.0285476</v>
      </c>
      <c r="BG9" s="55">
        <f t="shared" si="12"/>
        <v>2.7591054400000004</v>
      </c>
      <c r="BH9" s="22">
        <f t="shared" si="12"/>
        <v>6.2362310400000007</v>
      </c>
      <c r="BI9" s="22">
        <f t="shared" si="12"/>
        <v>2.3081645600000003</v>
      </c>
      <c r="BJ9" s="22">
        <f t="shared" ref="BJ9:BS9" si="13">$C$4*BJ8*0.04/0.002*100</f>
        <v>2.1605584000000002</v>
      </c>
      <c r="BK9" s="22">
        <f t="shared" si="13"/>
        <v>3.20052096</v>
      </c>
      <c r="BL9" s="22">
        <f t="shared" si="13"/>
        <v>2.5330812000000003</v>
      </c>
      <c r="BM9" s="22">
        <f t="shared" si="13"/>
        <v>2.5728071200000002</v>
      </c>
      <c r="BN9" s="22">
        <f t="shared" si="13"/>
        <v>2.6015308800000003</v>
      </c>
      <c r="BO9" s="22">
        <f t="shared" si="13"/>
        <v>0</v>
      </c>
      <c r="BP9" s="22">
        <f t="shared" si="13"/>
        <v>0</v>
      </c>
      <c r="BQ9" s="22">
        <f t="shared" si="13"/>
        <v>0</v>
      </c>
      <c r="BR9" s="22">
        <f t="shared" si="13"/>
        <v>0</v>
      </c>
      <c r="BS9" s="22">
        <f t="shared" si="13"/>
        <v>1.5672540000000001</v>
      </c>
      <c r="BT9" s="22">
        <f t="shared" ref="BT9:CG9" si="14">$C$4*BT8*0.04/0.002*100</f>
        <v>0.91989871999999995</v>
      </c>
      <c r="BU9" s="22">
        <f t="shared" si="14"/>
        <v>6.5712431200000001</v>
      </c>
      <c r="BV9" s="32">
        <f t="shared" si="14"/>
        <v>0</v>
      </c>
      <c r="BW9" s="22">
        <f t="shared" si="14"/>
        <v>2.9250239200000006</v>
      </c>
      <c r="BX9" s="22">
        <f t="shared" si="14"/>
        <v>6.2970752000000001</v>
      </c>
      <c r="BY9" s="22">
        <f t="shared" si="14"/>
        <v>8.8410847200000013</v>
      </c>
      <c r="BZ9" s="22">
        <f t="shared" si="14"/>
        <v>4.52026328</v>
      </c>
      <c r="CA9" s="22">
        <f t="shared" si="14"/>
        <v>0</v>
      </c>
      <c r="CB9" s="32">
        <f t="shared" si="14"/>
        <v>0</v>
      </c>
      <c r="CC9" s="32">
        <f t="shared" si="14"/>
        <v>0</v>
      </c>
      <c r="CD9" s="22">
        <f t="shared" si="14"/>
        <v>1.5981191200000002</v>
      </c>
      <c r="CE9" s="22">
        <f t="shared" si="14"/>
        <v>12.401871040000003</v>
      </c>
      <c r="CF9" s="22">
        <f t="shared" si="14"/>
        <v>2.6750016800000003</v>
      </c>
      <c r="CG9" s="22">
        <f t="shared" si="14"/>
        <v>1.7508202400000001</v>
      </c>
      <c r="CH9" s="22">
        <f>$C$4*CH8*0.04/0.002*100</f>
        <v>0.61080448000000009</v>
      </c>
      <c r="CI9" s="22">
        <f>$C$4*CI8*0.04/0.002*100</f>
        <v>14.41681696</v>
      </c>
      <c r="CJ9" s="22">
        <f>$C$4*CJ8*0.04/0.002*100</f>
        <v>8.237590400000002</v>
      </c>
      <c r="CK9" s="22">
        <f>$C$4*CK8*0.04/0.002*100</f>
        <v>6.1750915200000005</v>
      </c>
      <c r="CL9" s="22">
        <f t="shared" ref="CL9:DE9" si="15">$C$4*CL8*0.04/0.002*100</f>
        <v>8.1848686400000012</v>
      </c>
      <c r="CM9" s="22">
        <f t="shared" si="15"/>
        <v>0</v>
      </c>
      <c r="CN9" s="22">
        <f t="shared" si="15"/>
        <v>0</v>
      </c>
      <c r="CO9" s="22">
        <f t="shared" si="15"/>
        <v>0</v>
      </c>
      <c r="CP9" s="22">
        <f t="shared" si="15"/>
        <v>0</v>
      </c>
      <c r="CQ9" s="22">
        <f t="shared" si="15"/>
        <v>2.7419745600000005</v>
      </c>
      <c r="CR9" s="22">
        <f t="shared" si="15"/>
        <v>9.1927846399999993</v>
      </c>
      <c r="CS9" s="22">
        <f t="shared" si="15"/>
        <v>0</v>
      </c>
      <c r="CT9" s="22">
        <f t="shared" si="15"/>
        <v>6.59605336</v>
      </c>
      <c r="CU9" s="22">
        <f t="shared" si="15"/>
        <v>4.8070578399999997</v>
      </c>
      <c r="CV9" s="22">
        <f t="shared" si="15"/>
        <v>4.32325816</v>
      </c>
      <c r="CW9" s="22">
        <f t="shared" si="15"/>
        <v>0</v>
      </c>
      <c r="CX9" s="22">
        <f t="shared" si="15"/>
        <v>0</v>
      </c>
      <c r="CY9" s="22">
        <f t="shared" si="15"/>
        <v>0</v>
      </c>
      <c r="CZ9" s="22">
        <f t="shared" si="15"/>
        <v>0</v>
      </c>
      <c r="DA9" s="22">
        <f t="shared" si="15"/>
        <v>0</v>
      </c>
      <c r="DB9" s="22">
        <f t="shared" si="15"/>
        <v>0</v>
      </c>
      <c r="DC9" s="22">
        <f t="shared" si="15"/>
        <v>0</v>
      </c>
      <c r="DD9" s="22">
        <f t="shared" si="15"/>
        <v>0</v>
      </c>
      <c r="DE9" s="22">
        <f t="shared" si="15"/>
        <v>0</v>
      </c>
      <c r="DF9" s="2"/>
      <c r="DG9" s="2"/>
      <c r="DH9" s="2"/>
      <c r="DI9" s="2"/>
      <c r="DJ9" s="2"/>
      <c r="DK9" s="2"/>
      <c r="DL9" s="2"/>
      <c r="DM9" s="2"/>
      <c r="DN9" s="2"/>
      <c r="DO9" s="2"/>
    </row>
    <row r="10" spans="1:119" x14ac:dyDescent="0.55000000000000004">
      <c r="B10" t="s">
        <v>22</v>
      </c>
      <c r="C10" s="1">
        <f>3.39*C4/2.54</f>
        <v>4.9275118110236224E-8</v>
      </c>
      <c r="E10">
        <v>18.579999999999998</v>
      </c>
      <c r="F10" s="3" t="s">
        <v>8</v>
      </c>
      <c r="G10" s="2" t="s">
        <v>4</v>
      </c>
      <c r="H10" s="2">
        <v>39732</v>
      </c>
      <c r="I10" s="22">
        <v>11818</v>
      </c>
      <c r="J10" s="2">
        <v>44994</v>
      </c>
      <c r="K10" s="22">
        <v>12301</v>
      </c>
      <c r="L10" s="2">
        <v>16245</v>
      </c>
      <c r="M10" s="22">
        <v>5526</v>
      </c>
      <c r="N10" s="2">
        <v>13451</v>
      </c>
      <c r="O10" s="22">
        <v>2677</v>
      </c>
      <c r="P10" s="22">
        <v>16860</v>
      </c>
      <c r="Q10" s="2">
        <v>51293</v>
      </c>
      <c r="R10" s="22">
        <v>14380</v>
      </c>
      <c r="S10" s="2">
        <v>53314</v>
      </c>
      <c r="T10" s="22">
        <v>11771</v>
      </c>
      <c r="U10" s="22">
        <v>12532</v>
      </c>
      <c r="V10" s="22">
        <v>19323</v>
      </c>
      <c r="W10" s="27">
        <v>46415</v>
      </c>
      <c r="X10" s="22">
        <v>10687</v>
      </c>
      <c r="Y10" s="22">
        <v>12041</v>
      </c>
      <c r="Z10" s="22">
        <v>16979</v>
      </c>
      <c r="AA10" s="22">
        <v>12664</v>
      </c>
      <c r="AB10" s="22">
        <v>16826</v>
      </c>
      <c r="AC10" s="22">
        <v>9744</v>
      </c>
      <c r="AD10" s="22">
        <v>13898</v>
      </c>
      <c r="AE10" s="22">
        <v>18223</v>
      </c>
      <c r="AF10" s="22">
        <v>23080</v>
      </c>
      <c r="AG10" s="22">
        <v>26422</v>
      </c>
      <c r="AH10" s="31">
        <v>6977</v>
      </c>
      <c r="AI10" s="31"/>
      <c r="AJ10" s="31">
        <v>16818</v>
      </c>
      <c r="AK10" s="22">
        <v>6289</v>
      </c>
      <c r="AL10" s="31"/>
      <c r="AM10" s="22">
        <v>19981</v>
      </c>
      <c r="AN10" s="31">
        <v>15911</v>
      </c>
      <c r="AO10" s="22">
        <v>98135</v>
      </c>
      <c r="AP10" s="31"/>
      <c r="AQ10" s="22">
        <v>17353</v>
      </c>
      <c r="AR10" s="22">
        <v>38166</v>
      </c>
      <c r="AS10" s="22">
        <v>16391</v>
      </c>
      <c r="AT10" s="31">
        <v>94829</v>
      </c>
      <c r="AU10" s="22">
        <v>24228</v>
      </c>
      <c r="AV10" s="22">
        <v>9045</v>
      </c>
      <c r="AW10" s="22">
        <v>13161</v>
      </c>
      <c r="AX10" s="22">
        <v>36058</v>
      </c>
      <c r="AY10" s="2">
        <v>11237</v>
      </c>
      <c r="AZ10" s="2">
        <v>28183</v>
      </c>
      <c r="BA10" s="2">
        <v>31279</v>
      </c>
      <c r="BB10" s="2">
        <v>39743</v>
      </c>
      <c r="BC10" s="2">
        <v>39125</v>
      </c>
      <c r="BD10" s="2">
        <v>15079</v>
      </c>
      <c r="BE10" s="2">
        <v>40447</v>
      </c>
      <c r="BF10" s="2">
        <v>15482</v>
      </c>
      <c r="BG10" s="55">
        <v>14686</v>
      </c>
      <c r="BH10" s="2">
        <v>27160</v>
      </c>
      <c r="BI10" s="2">
        <v>16018</v>
      </c>
      <c r="BJ10" s="2">
        <v>15413</v>
      </c>
      <c r="BK10" s="2">
        <v>19292</v>
      </c>
      <c r="BL10" s="2">
        <v>17953</v>
      </c>
      <c r="BM10" s="2">
        <v>12179</v>
      </c>
      <c r="BN10" s="2">
        <v>14739</v>
      </c>
      <c r="BO10" s="2"/>
      <c r="BP10" s="2"/>
      <c r="BQ10" s="2"/>
      <c r="BR10" s="2"/>
      <c r="BS10" s="2">
        <v>11511</v>
      </c>
      <c r="BT10" s="2">
        <v>6993</v>
      </c>
      <c r="BU10" s="2">
        <v>23937</v>
      </c>
      <c r="BV10" s="32"/>
      <c r="BW10" s="2">
        <v>18340</v>
      </c>
      <c r="BX10" s="2">
        <v>23365</v>
      </c>
      <c r="BY10" s="2">
        <v>27202</v>
      </c>
      <c r="BZ10" s="2">
        <v>22255</v>
      </c>
      <c r="CA10" s="2"/>
      <c r="CB10" s="32"/>
      <c r="CC10" s="32"/>
      <c r="CD10" s="2">
        <v>11769</v>
      </c>
      <c r="CE10" s="2">
        <v>10741</v>
      </c>
      <c r="CF10" s="2">
        <v>12196</v>
      </c>
      <c r="CG10" s="2">
        <v>12895</v>
      </c>
      <c r="CH10" s="2">
        <v>4720</v>
      </c>
      <c r="CI10" s="2">
        <v>25879</v>
      </c>
      <c r="CJ10" s="2">
        <v>28506</v>
      </c>
      <c r="CK10" s="2">
        <v>19814</v>
      </c>
      <c r="CL10" s="2">
        <v>25879</v>
      </c>
      <c r="CM10" s="2"/>
      <c r="CN10" s="2"/>
      <c r="CO10" s="2"/>
      <c r="CP10" s="2"/>
      <c r="CQ10" s="2">
        <v>15174</v>
      </c>
      <c r="CR10" s="2">
        <v>25442</v>
      </c>
      <c r="CS10" s="2"/>
      <c r="CT10" s="2">
        <v>24856</v>
      </c>
      <c r="CU10" s="2">
        <v>19539</v>
      </c>
      <c r="CV10" s="2">
        <v>20680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</row>
    <row r="11" spans="1:119" x14ac:dyDescent="0.55000000000000004">
      <c r="G11" s="2" t="s">
        <v>5</v>
      </c>
      <c r="H11" s="2">
        <f t="shared" ref="H11:AW11" si="16">$C$5*H10*0.04/0.002*100</f>
        <v>3.3072916799999996</v>
      </c>
      <c r="I11" s="22">
        <f t="shared" si="16"/>
        <v>0.98373031999999994</v>
      </c>
      <c r="J11" s="2">
        <f t="shared" si="16"/>
        <v>3.74530056</v>
      </c>
      <c r="K11" s="22">
        <f t="shared" si="16"/>
        <v>1.0239352400000001</v>
      </c>
      <c r="L11" s="2">
        <f t="shared" si="16"/>
        <v>1.3522337999999998</v>
      </c>
      <c r="M11" s="22">
        <f t="shared" si="16"/>
        <v>0.45998423999999999</v>
      </c>
      <c r="N11" s="2">
        <f t="shared" si="16"/>
        <v>1.1196612400000001</v>
      </c>
      <c r="O11" s="22">
        <f t="shared" si="16"/>
        <v>0.22283348</v>
      </c>
      <c r="P11" s="22">
        <f t="shared" si="16"/>
        <v>1.4034263999999999</v>
      </c>
      <c r="Q11" s="2">
        <f t="shared" si="16"/>
        <v>4.2696293200000008</v>
      </c>
      <c r="R11" s="22">
        <f t="shared" si="16"/>
        <v>1.1969911999999998</v>
      </c>
      <c r="S11" s="2">
        <f t="shared" si="16"/>
        <v>4.4378573600000006</v>
      </c>
      <c r="T11" s="22">
        <f t="shared" si="16"/>
        <v>0.97981804000000006</v>
      </c>
      <c r="U11" s="22">
        <f t="shared" si="16"/>
        <v>1.0431636799999999</v>
      </c>
      <c r="V11" s="22">
        <f t="shared" si="16"/>
        <v>1.6084465199999998</v>
      </c>
      <c r="W11" s="27">
        <f t="shared" si="16"/>
        <v>3.8635846000000003</v>
      </c>
      <c r="X11" s="22">
        <f t="shared" si="16"/>
        <v>0.88958587999999994</v>
      </c>
      <c r="Y11" s="22">
        <f t="shared" si="16"/>
        <v>1.00229284</v>
      </c>
      <c r="Z11" s="22">
        <f t="shared" si="16"/>
        <v>1.4133319599999998</v>
      </c>
      <c r="AA11" s="22">
        <f t="shared" si="16"/>
        <v>1.0541513600000001</v>
      </c>
      <c r="AB11" s="22">
        <f t="shared" si="16"/>
        <v>1.40059624</v>
      </c>
      <c r="AC11" s="22">
        <f t="shared" si="16"/>
        <v>0.8110905599999999</v>
      </c>
      <c r="AD11" s="22">
        <f t="shared" si="16"/>
        <v>1.1568695199999999</v>
      </c>
      <c r="AE11" s="22">
        <f t="shared" si="16"/>
        <v>1.51688252</v>
      </c>
      <c r="AF11" s="22">
        <f t="shared" si="16"/>
        <v>1.9211791999999999</v>
      </c>
      <c r="AG11" s="22">
        <f t="shared" si="16"/>
        <v>2.1993672799999997</v>
      </c>
      <c r="AH11" s="31">
        <f t="shared" si="16"/>
        <v>0.58076548000000006</v>
      </c>
      <c r="AI11" s="31">
        <f t="shared" si="16"/>
        <v>0</v>
      </c>
      <c r="AJ11" s="31">
        <f t="shared" si="16"/>
        <v>1.39993032</v>
      </c>
      <c r="AK11" s="22">
        <f t="shared" si="16"/>
        <v>0.52349635999999999</v>
      </c>
      <c r="AL11" s="31">
        <f t="shared" si="16"/>
        <v>0</v>
      </c>
      <c r="AM11" s="22">
        <f t="shared" si="16"/>
        <v>1.6632184400000001</v>
      </c>
      <c r="AN11" s="31">
        <f t="shared" si="16"/>
        <v>1.32443164</v>
      </c>
      <c r="AO11" s="31">
        <f t="shared" si="16"/>
        <v>8.1687573999999987</v>
      </c>
      <c r="AP11" s="31">
        <f t="shared" si="16"/>
        <v>0</v>
      </c>
      <c r="AQ11" s="22">
        <f t="shared" si="16"/>
        <v>1.4444637199999999</v>
      </c>
      <c r="AR11" s="22">
        <f t="shared" si="16"/>
        <v>3.1769378399999999</v>
      </c>
      <c r="AS11" s="22">
        <f t="shared" si="16"/>
        <v>1.3643868399999999</v>
      </c>
      <c r="AT11" s="31">
        <f t="shared" si="16"/>
        <v>7.8935659600000001</v>
      </c>
      <c r="AU11" s="22">
        <f t="shared" si="16"/>
        <v>2.0167387200000002</v>
      </c>
      <c r="AV11" s="22">
        <f t="shared" si="16"/>
        <v>0.75290579999999996</v>
      </c>
      <c r="AW11" s="22">
        <f t="shared" si="16"/>
        <v>1.0955216400000001</v>
      </c>
      <c r="AX11" s="22">
        <f>$C$5*AX10*0.04/0.002*100</f>
        <v>3.0014679200000001</v>
      </c>
      <c r="AY11" s="22">
        <f>$C$5*AY10*0.04/0.002*100</f>
        <v>0.93536787999999993</v>
      </c>
      <c r="AZ11" s="22">
        <f>$C$5*AZ10*0.04/0.002*100</f>
        <v>2.3459529199999998</v>
      </c>
      <c r="BA11" s="22">
        <f t="shared" ref="BA11:BI11" si="17">$C$5*BA10*0.04/0.002*100</f>
        <v>2.60366396</v>
      </c>
      <c r="BB11" s="22">
        <f t="shared" si="17"/>
        <v>3.3082073199999993</v>
      </c>
      <c r="BC11" s="22">
        <f t="shared" si="17"/>
        <v>3.2567649999999997</v>
      </c>
      <c r="BD11" s="22">
        <f t="shared" si="17"/>
        <v>1.2551759600000001</v>
      </c>
      <c r="BE11" s="22">
        <f t="shared" si="17"/>
        <v>3.3668082799999999</v>
      </c>
      <c r="BF11" s="22">
        <f t="shared" si="17"/>
        <v>1.2887216799999999</v>
      </c>
      <c r="BG11" s="55">
        <f t="shared" si="17"/>
        <v>1.2224626399999998</v>
      </c>
      <c r="BH11" s="22">
        <f t="shared" si="17"/>
        <v>2.2607983999999997</v>
      </c>
      <c r="BI11" s="22">
        <f t="shared" si="17"/>
        <v>1.33333832</v>
      </c>
      <c r="BJ11" s="22">
        <f t="shared" ref="BJ11:BS11" si="18">$C$5*BJ10*0.04/0.002*100</f>
        <v>1.2829781199999999</v>
      </c>
      <c r="BK11" s="22">
        <f t="shared" si="18"/>
        <v>1.60586608</v>
      </c>
      <c r="BL11" s="22">
        <f t="shared" si="18"/>
        <v>1.4944077199999997</v>
      </c>
      <c r="BM11" s="22">
        <f t="shared" si="18"/>
        <v>1.0137799599999999</v>
      </c>
      <c r="BN11" s="22">
        <f t="shared" si="18"/>
        <v>1.2268743599999998</v>
      </c>
      <c r="BO11" s="22">
        <f t="shared" si="18"/>
        <v>0</v>
      </c>
      <c r="BP11" s="22">
        <f t="shared" si="18"/>
        <v>0</v>
      </c>
      <c r="BQ11" s="22">
        <f t="shared" si="18"/>
        <v>0</v>
      </c>
      <c r="BR11" s="22">
        <f t="shared" si="18"/>
        <v>0</v>
      </c>
      <c r="BS11" s="22">
        <f t="shared" si="18"/>
        <v>0.95817563999999988</v>
      </c>
      <c r="BT11" s="22">
        <f t="shared" ref="BT11:CG11" si="19">$C$5*BT10*0.04/0.002*100</f>
        <v>0.58209732000000003</v>
      </c>
      <c r="BU11" s="22">
        <f t="shared" si="19"/>
        <v>1.9925158799999998</v>
      </c>
      <c r="BV11" s="32">
        <f t="shared" si="19"/>
        <v>0</v>
      </c>
      <c r="BW11" s="22">
        <f t="shared" si="19"/>
        <v>1.5266215999999999</v>
      </c>
      <c r="BX11" s="22">
        <f t="shared" si="19"/>
        <v>1.9449025999999998</v>
      </c>
      <c r="BY11" s="22">
        <f t="shared" si="19"/>
        <v>2.2642944799999998</v>
      </c>
      <c r="BZ11" s="22">
        <f t="shared" si="19"/>
        <v>1.8525061999999999</v>
      </c>
      <c r="CA11" s="22">
        <f t="shared" si="19"/>
        <v>0</v>
      </c>
      <c r="CB11" s="32">
        <f t="shared" si="19"/>
        <v>0</v>
      </c>
      <c r="CC11" s="32">
        <f t="shared" si="19"/>
        <v>0</v>
      </c>
      <c r="CD11" s="22">
        <f t="shared" si="19"/>
        <v>0.97965155999999998</v>
      </c>
      <c r="CE11" s="22">
        <f t="shared" si="19"/>
        <v>0.89408083999999999</v>
      </c>
      <c r="CF11" s="22">
        <f t="shared" si="19"/>
        <v>1.01519504</v>
      </c>
      <c r="CG11" s="22">
        <f t="shared" si="19"/>
        <v>1.0733797999999999</v>
      </c>
      <c r="CH11" s="22">
        <f>$C$5*CH10*0.04/0.002*100</f>
        <v>0.39289279999999999</v>
      </c>
      <c r="CI11" s="22">
        <f>$C$5*CI10*0.04/0.002*100</f>
        <v>2.1541679599999997</v>
      </c>
      <c r="CJ11" s="22">
        <f>$C$5*CJ10*0.04/0.002*100</f>
        <v>2.3728394399999999</v>
      </c>
      <c r="CK11" s="22">
        <f>$C$5*CK10*0.04/0.002*100</f>
        <v>1.6493173599999997</v>
      </c>
      <c r="CL11" s="22">
        <f t="shared" ref="CL11:DE11" si="20">$C$5*CL10*0.04/0.002*100</f>
        <v>2.1541679599999997</v>
      </c>
      <c r="CM11" s="22">
        <f t="shared" si="20"/>
        <v>0</v>
      </c>
      <c r="CN11" s="22">
        <f t="shared" si="20"/>
        <v>0</v>
      </c>
      <c r="CO11" s="22">
        <f t="shared" si="20"/>
        <v>0</v>
      </c>
      <c r="CP11" s="22">
        <f t="shared" si="20"/>
        <v>0</v>
      </c>
      <c r="CQ11" s="22">
        <f t="shared" si="20"/>
        <v>1.2630837599999998</v>
      </c>
      <c r="CR11" s="22">
        <f t="shared" si="20"/>
        <v>2.1177920800000001</v>
      </c>
      <c r="CS11" s="22">
        <f t="shared" si="20"/>
        <v>0</v>
      </c>
      <c r="CT11" s="22">
        <f t="shared" si="20"/>
        <v>2.0690134399999995</v>
      </c>
      <c r="CU11" s="22">
        <f t="shared" si="20"/>
        <v>1.62642636</v>
      </c>
      <c r="CV11" s="22">
        <f t="shared" si="20"/>
        <v>1.7214031999999997</v>
      </c>
      <c r="CW11" s="22">
        <f t="shared" si="20"/>
        <v>0</v>
      </c>
      <c r="CX11" s="22">
        <f t="shared" si="20"/>
        <v>0</v>
      </c>
      <c r="CY11" s="22">
        <f t="shared" si="20"/>
        <v>0</v>
      </c>
      <c r="CZ11" s="22">
        <f t="shared" si="20"/>
        <v>0</v>
      </c>
      <c r="DA11" s="22">
        <f t="shared" si="20"/>
        <v>0</v>
      </c>
      <c r="DB11" s="22">
        <f t="shared" si="20"/>
        <v>0</v>
      </c>
      <c r="DC11" s="22">
        <f t="shared" si="20"/>
        <v>0</v>
      </c>
      <c r="DD11" s="22">
        <f t="shared" si="20"/>
        <v>0</v>
      </c>
      <c r="DE11" s="22">
        <f t="shared" si="20"/>
        <v>0</v>
      </c>
      <c r="DF11" s="2"/>
      <c r="DG11" s="2"/>
      <c r="DH11" s="2"/>
      <c r="DI11" s="2"/>
      <c r="DJ11" s="2"/>
      <c r="DK11" s="2"/>
      <c r="DL11" s="2"/>
      <c r="DM11" s="2"/>
      <c r="DN11" s="2"/>
      <c r="DO11" s="2"/>
    </row>
    <row r="12" spans="1:119" x14ac:dyDescent="0.55000000000000004">
      <c r="D12" t="s">
        <v>15</v>
      </c>
      <c r="E12">
        <v>15.4</v>
      </c>
      <c r="F12" s="3" t="s">
        <v>14</v>
      </c>
      <c r="G12" s="2" t="s">
        <v>4</v>
      </c>
      <c r="H12" s="2">
        <v>41796</v>
      </c>
      <c r="I12" s="22">
        <v>25229</v>
      </c>
      <c r="J12" s="2">
        <v>36934</v>
      </c>
      <c r="K12" s="22">
        <v>22294</v>
      </c>
      <c r="L12" s="2">
        <v>33675</v>
      </c>
      <c r="M12" s="22">
        <v>18889</v>
      </c>
      <c r="N12" s="2">
        <v>23664</v>
      </c>
      <c r="O12" s="22">
        <v>8595</v>
      </c>
      <c r="P12" s="22">
        <v>25846</v>
      </c>
      <c r="Q12" s="2">
        <v>43758</v>
      </c>
      <c r="R12" s="22">
        <v>27340</v>
      </c>
      <c r="S12" s="2">
        <v>63953</v>
      </c>
      <c r="T12" s="22">
        <v>25862</v>
      </c>
      <c r="U12" s="22">
        <v>26038</v>
      </c>
      <c r="V12" s="22">
        <v>24645</v>
      </c>
      <c r="W12" s="27">
        <v>50650</v>
      </c>
      <c r="X12" s="22">
        <v>25133</v>
      </c>
      <c r="Y12" s="22">
        <v>26627</v>
      </c>
      <c r="Z12" s="22">
        <v>42123</v>
      </c>
      <c r="AA12" s="22">
        <v>27508</v>
      </c>
      <c r="AB12" s="22">
        <v>27637</v>
      </c>
      <c r="AC12" s="22">
        <v>23159</v>
      </c>
      <c r="AD12" s="22">
        <v>27305</v>
      </c>
      <c r="AE12" s="22">
        <v>26711</v>
      </c>
      <c r="AF12" s="22">
        <v>26756</v>
      </c>
      <c r="AG12" s="22">
        <v>25594</v>
      </c>
      <c r="AH12" s="31">
        <v>20283</v>
      </c>
      <c r="AI12" s="31"/>
      <c r="AJ12" s="31">
        <v>16818</v>
      </c>
      <c r="AK12" s="22">
        <v>19487</v>
      </c>
      <c r="AL12" s="31"/>
      <c r="AM12" s="31">
        <v>64487</v>
      </c>
      <c r="AN12" s="31">
        <v>24812</v>
      </c>
      <c r="AO12" s="22">
        <v>23514</v>
      </c>
      <c r="AP12" s="22">
        <v>19785</v>
      </c>
      <c r="AQ12" s="22">
        <v>24480</v>
      </c>
      <c r="AR12" s="22">
        <v>21266</v>
      </c>
      <c r="AS12" s="22">
        <v>26107</v>
      </c>
      <c r="AT12" s="31">
        <v>24634</v>
      </c>
      <c r="AU12" s="31">
        <v>131517</v>
      </c>
      <c r="AV12" s="22">
        <v>28621</v>
      </c>
      <c r="AW12" s="22">
        <v>25523</v>
      </c>
      <c r="AX12" s="31">
        <v>650411</v>
      </c>
      <c r="AY12" s="31"/>
      <c r="AZ12" s="2">
        <v>28170</v>
      </c>
      <c r="BA12" s="2">
        <v>49526</v>
      </c>
      <c r="BB12" s="2">
        <v>28172</v>
      </c>
      <c r="BC12" s="2">
        <v>28173</v>
      </c>
      <c r="BD12" s="2">
        <v>27045</v>
      </c>
      <c r="BE12" s="2">
        <v>41587</v>
      </c>
      <c r="BF12" s="2">
        <v>34755</v>
      </c>
      <c r="BG12" s="55">
        <v>33789</v>
      </c>
      <c r="BH12" s="2">
        <v>43673</v>
      </c>
      <c r="BI12" s="2">
        <v>24656</v>
      </c>
      <c r="BJ12" s="2">
        <v>24877</v>
      </c>
      <c r="BK12" s="2">
        <v>40623</v>
      </c>
      <c r="BL12" s="2">
        <v>26309</v>
      </c>
      <c r="BM12" s="2">
        <v>43889</v>
      </c>
      <c r="BN12" s="2">
        <v>22785</v>
      </c>
      <c r="BO12" s="2"/>
      <c r="BP12" s="2"/>
      <c r="BQ12" s="2"/>
      <c r="BR12" s="2"/>
      <c r="BS12" s="2">
        <v>24167</v>
      </c>
      <c r="BT12" s="2">
        <v>24962</v>
      </c>
      <c r="BU12" s="2">
        <v>22154</v>
      </c>
      <c r="BV12" s="32"/>
      <c r="BW12" s="2">
        <v>25670</v>
      </c>
      <c r="BX12" s="2">
        <v>20563</v>
      </c>
      <c r="BY12" s="2">
        <v>19998</v>
      </c>
      <c r="BZ12" s="2">
        <v>24777</v>
      </c>
      <c r="CA12" s="2"/>
      <c r="CB12" s="32"/>
      <c r="CC12" s="32"/>
      <c r="CD12" s="2">
        <v>25614</v>
      </c>
      <c r="CE12" s="2">
        <v>25463</v>
      </c>
      <c r="CF12" s="2">
        <v>24450</v>
      </c>
      <c r="CG12" s="2">
        <v>27193</v>
      </c>
      <c r="CH12" s="2">
        <v>10476</v>
      </c>
      <c r="CI12" s="2">
        <v>24243</v>
      </c>
      <c r="CJ12" s="2">
        <v>29180</v>
      </c>
      <c r="CK12" s="2">
        <v>21059</v>
      </c>
      <c r="CL12" s="2">
        <v>24243</v>
      </c>
      <c r="CM12" s="2"/>
      <c r="CN12" s="2"/>
      <c r="CO12" s="2"/>
      <c r="CP12" s="2"/>
      <c r="CQ12" s="2">
        <v>23234</v>
      </c>
      <c r="CR12" s="2">
        <v>17465</v>
      </c>
      <c r="CS12" s="2"/>
      <c r="CT12" s="2">
        <v>31072</v>
      </c>
      <c r="CU12" s="2">
        <v>23178</v>
      </c>
      <c r="CV12" s="2">
        <v>37765</v>
      </c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</row>
    <row r="13" spans="1:119" x14ac:dyDescent="0.55000000000000004">
      <c r="G13" s="2" t="s">
        <v>5</v>
      </c>
      <c r="H13" s="2">
        <f t="shared" ref="H13:AW13" si="21">$C$8*H12*0.04/0.002*100</f>
        <v>2.8212299999999999</v>
      </c>
      <c r="I13" s="22">
        <f t="shared" si="21"/>
        <v>1.7029575000000001</v>
      </c>
      <c r="J13" s="2">
        <f t="shared" si="21"/>
        <v>2.493045</v>
      </c>
      <c r="K13" s="22">
        <f t="shared" si="21"/>
        <v>1.5048450000000002</v>
      </c>
      <c r="L13" s="2">
        <f t="shared" si="21"/>
        <v>2.2730625</v>
      </c>
      <c r="M13" s="22">
        <f t="shared" si="21"/>
        <v>1.2750075000000001</v>
      </c>
      <c r="N13" s="2">
        <f t="shared" si="21"/>
        <v>1.5973199999999996</v>
      </c>
      <c r="O13" s="22">
        <f t="shared" si="21"/>
        <v>0.58016250000000003</v>
      </c>
      <c r="P13" s="22">
        <f t="shared" si="21"/>
        <v>1.7446049999999997</v>
      </c>
      <c r="Q13" s="2">
        <f t="shared" si="21"/>
        <v>2.9536650000000004</v>
      </c>
      <c r="R13" s="22">
        <f t="shared" si="21"/>
        <v>1.8454500000000003</v>
      </c>
      <c r="S13" s="2">
        <f t="shared" si="21"/>
        <v>4.3168274999999996</v>
      </c>
      <c r="T13" s="22">
        <f t="shared" si="21"/>
        <v>1.7456850000000004</v>
      </c>
      <c r="U13" s="22">
        <f t="shared" si="21"/>
        <v>1.7575650000000003</v>
      </c>
      <c r="V13" s="22">
        <f t="shared" si="21"/>
        <v>1.6635375000000001</v>
      </c>
      <c r="W13" s="27">
        <f t="shared" si="21"/>
        <v>3.4188750000000003</v>
      </c>
      <c r="X13" s="22">
        <f t="shared" si="21"/>
        <v>1.6964774999999999</v>
      </c>
      <c r="Y13" s="22">
        <f t="shared" si="21"/>
        <v>1.7973225000000002</v>
      </c>
      <c r="Z13" s="22">
        <f t="shared" si="21"/>
        <v>2.8433024999999996</v>
      </c>
      <c r="AA13" s="22">
        <f t="shared" si="21"/>
        <v>1.8567900000000002</v>
      </c>
      <c r="AB13" s="22">
        <f t="shared" si="21"/>
        <v>1.8654975</v>
      </c>
      <c r="AC13" s="22">
        <f t="shared" si="21"/>
        <v>1.5632325000000002</v>
      </c>
      <c r="AD13" s="22">
        <f t="shared" si="21"/>
        <v>1.8430875000000002</v>
      </c>
      <c r="AE13" s="22">
        <f t="shared" si="21"/>
        <v>1.8029924999999998</v>
      </c>
      <c r="AF13" s="22">
        <f t="shared" si="21"/>
        <v>1.8060300000000002</v>
      </c>
      <c r="AG13" s="22">
        <f t="shared" si="21"/>
        <v>1.7275949999999998</v>
      </c>
      <c r="AH13" s="31">
        <f t="shared" si="21"/>
        <v>1.3691024999999999</v>
      </c>
      <c r="AI13" s="31">
        <f t="shared" si="21"/>
        <v>0</v>
      </c>
      <c r="AJ13" s="31">
        <f t="shared" si="21"/>
        <v>1.1352149999999999</v>
      </c>
      <c r="AK13" s="22">
        <f t="shared" si="21"/>
        <v>1.3153724999999998</v>
      </c>
      <c r="AL13" s="31">
        <f t="shared" si="21"/>
        <v>0</v>
      </c>
      <c r="AM13" s="31">
        <f t="shared" si="21"/>
        <v>4.3528725000000001</v>
      </c>
      <c r="AN13" s="31">
        <f t="shared" si="21"/>
        <v>1.6748099999999999</v>
      </c>
      <c r="AO13" s="22">
        <f t="shared" si="21"/>
        <v>1.5871949999999999</v>
      </c>
      <c r="AP13" s="22">
        <f t="shared" si="21"/>
        <v>1.3354874999999999</v>
      </c>
      <c r="AQ13" s="22">
        <f t="shared" si="21"/>
        <v>1.6524000000000001</v>
      </c>
      <c r="AR13" s="22">
        <f t="shared" si="21"/>
        <v>1.4354549999999999</v>
      </c>
      <c r="AS13" s="22">
        <f t="shared" si="21"/>
        <v>1.7622225000000002</v>
      </c>
      <c r="AT13" s="31">
        <f t="shared" si="21"/>
        <v>1.6627949999999998</v>
      </c>
      <c r="AU13" s="31">
        <f t="shared" si="21"/>
        <v>8.8773975000000007</v>
      </c>
      <c r="AV13" s="22">
        <f t="shared" si="21"/>
        <v>1.9319175000000002</v>
      </c>
      <c r="AW13" s="22">
        <f t="shared" si="21"/>
        <v>1.7228025</v>
      </c>
      <c r="AX13" s="31">
        <f>$C$8*AX12*0.04/0.002*100</f>
        <v>43.902742500000002</v>
      </c>
      <c r="AY13" s="31">
        <f>$C$8*AY12*0.04/0.002*100</f>
        <v>0</v>
      </c>
      <c r="AZ13" s="31">
        <f>$C$8*AZ12*0.04/0.002*100</f>
        <v>1.9014750000000005</v>
      </c>
      <c r="BA13" s="31">
        <f t="shared" ref="BA13:BI13" si="22">$C$8*BA12*0.04/0.002*100</f>
        <v>3.3430050000000002</v>
      </c>
      <c r="BB13" s="31">
        <f t="shared" si="22"/>
        <v>1.9016099999999998</v>
      </c>
      <c r="BC13" s="31">
        <f t="shared" si="22"/>
        <v>1.9016774999999999</v>
      </c>
      <c r="BD13" s="2">
        <f t="shared" si="22"/>
        <v>1.8255375</v>
      </c>
      <c r="BE13" s="2">
        <f t="shared" si="22"/>
        <v>2.8071225000000002</v>
      </c>
      <c r="BF13" s="2">
        <f t="shared" si="22"/>
        <v>2.3459625000000002</v>
      </c>
      <c r="BG13" s="55">
        <f t="shared" si="22"/>
        <v>2.2807575000000004</v>
      </c>
      <c r="BH13" s="31">
        <f t="shared" si="22"/>
        <v>2.9479275000000005</v>
      </c>
      <c r="BI13" s="2">
        <f t="shared" si="22"/>
        <v>1.66428</v>
      </c>
      <c r="BJ13" s="2">
        <f t="shared" ref="BJ13:BS13" si="23">$C$8*BJ12*0.04/0.002*100</f>
        <v>1.6791975000000001</v>
      </c>
      <c r="BK13" s="2">
        <f t="shared" si="23"/>
        <v>2.7420525000000002</v>
      </c>
      <c r="BL13" s="2">
        <f t="shared" si="23"/>
        <v>1.7758575000000003</v>
      </c>
      <c r="BM13" s="31">
        <f t="shared" si="23"/>
        <v>2.9625075000000005</v>
      </c>
      <c r="BN13" s="2">
        <f t="shared" si="23"/>
        <v>1.5379874999999998</v>
      </c>
      <c r="BO13" s="2">
        <f t="shared" si="23"/>
        <v>0</v>
      </c>
      <c r="BP13" s="2">
        <f t="shared" si="23"/>
        <v>0</v>
      </c>
      <c r="BQ13" s="2">
        <f t="shared" si="23"/>
        <v>0</v>
      </c>
      <c r="BR13" s="2">
        <f t="shared" si="23"/>
        <v>0</v>
      </c>
      <c r="BS13" s="2">
        <f t="shared" si="23"/>
        <v>1.6312725000000001</v>
      </c>
      <c r="BT13" s="2">
        <f t="shared" ref="BT13:CG13" si="24">$C$8*BT12*0.04/0.002*100</f>
        <v>1.6849350000000003</v>
      </c>
      <c r="BU13" s="2">
        <f t="shared" si="24"/>
        <v>1.495395</v>
      </c>
      <c r="BV13" s="32">
        <f t="shared" si="24"/>
        <v>0</v>
      </c>
      <c r="BW13" s="2">
        <f t="shared" si="24"/>
        <v>1.7327250000000003</v>
      </c>
      <c r="BX13" s="2">
        <f t="shared" si="24"/>
        <v>1.3880025</v>
      </c>
      <c r="BY13" s="2">
        <f t="shared" si="24"/>
        <v>1.3498649999999999</v>
      </c>
      <c r="BZ13" s="2">
        <f t="shared" si="24"/>
        <v>1.6724474999999999</v>
      </c>
      <c r="CA13" s="2">
        <f t="shared" si="24"/>
        <v>0</v>
      </c>
      <c r="CB13" s="32">
        <f t="shared" si="24"/>
        <v>0</v>
      </c>
      <c r="CC13" s="32">
        <f t="shared" si="24"/>
        <v>0</v>
      </c>
      <c r="CD13" s="2">
        <f t="shared" si="24"/>
        <v>1.7289450000000002</v>
      </c>
      <c r="CE13" s="2">
        <f t="shared" si="24"/>
        <v>1.7187524999999999</v>
      </c>
      <c r="CF13" s="2">
        <f t="shared" si="24"/>
        <v>1.6503750000000001</v>
      </c>
      <c r="CG13" s="2">
        <f t="shared" si="24"/>
        <v>1.8355275</v>
      </c>
      <c r="CH13" s="2">
        <f>$C$8*CH12*0.04/0.002*100</f>
        <v>0.70713000000000004</v>
      </c>
      <c r="CI13" s="2">
        <f>$C$8*CI12*0.04/0.002*100</f>
        <v>1.6364025</v>
      </c>
      <c r="CJ13" s="2">
        <f>$C$8*CJ12*0.04/0.002*100</f>
        <v>1.9696499999999999</v>
      </c>
      <c r="CK13" s="2">
        <f>$C$8*CK12*0.04/0.002*100</f>
        <v>1.4214825000000002</v>
      </c>
      <c r="CL13" s="2">
        <f t="shared" ref="CL13:DE13" si="25">$C$8*CL12*0.04/0.002*100</f>
        <v>1.6364025</v>
      </c>
      <c r="CM13" s="2">
        <f t="shared" si="25"/>
        <v>0</v>
      </c>
      <c r="CN13" s="2">
        <f t="shared" si="25"/>
        <v>0</v>
      </c>
      <c r="CO13" s="2">
        <f t="shared" si="25"/>
        <v>0</v>
      </c>
      <c r="CP13" s="2">
        <f t="shared" si="25"/>
        <v>0</v>
      </c>
      <c r="CQ13" s="2">
        <f t="shared" si="25"/>
        <v>1.568295</v>
      </c>
      <c r="CR13" s="2">
        <f t="shared" si="25"/>
        <v>1.1788874999999999</v>
      </c>
      <c r="CS13" s="2">
        <f t="shared" si="25"/>
        <v>0</v>
      </c>
      <c r="CT13" s="2">
        <f t="shared" si="25"/>
        <v>2.0973599999999997</v>
      </c>
      <c r="CU13" s="2">
        <f t="shared" si="25"/>
        <v>1.5645150000000001</v>
      </c>
      <c r="CV13" s="2">
        <f t="shared" si="25"/>
        <v>2.5491375000000005</v>
      </c>
      <c r="CW13" s="2">
        <f t="shared" si="25"/>
        <v>0</v>
      </c>
      <c r="CX13" s="2">
        <f t="shared" si="25"/>
        <v>0</v>
      </c>
      <c r="CY13" s="2">
        <f t="shared" si="25"/>
        <v>0</v>
      </c>
      <c r="CZ13" s="2">
        <f t="shared" si="25"/>
        <v>0</v>
      </c>
      <c r="DA13" s="2">
        <f t="shared" si="25"/>
        <v>0</v>
      </c>
      <c r="DB13" s="2">
        <f t="shared" si="25"/>
        <v>0</v>
      </c>
      <c r="DC13" s="2">
        <f t="shared" si="25"/>
        <v>0</v>
      </c>
      <c r="DD13" s="2">
        <f t="shared" si="25"/>
        <v>0</v>
      </c>
      <c r="DE13" s="2">
        <f t="shared" si="25"/>
        <v>0</v>
      </c>
      <c r="DF13" s="2"/>
      <c r="DG13" s="2"/>
      <c r="DH13" s="2"/>
      <c r="DI13" s="2"/>
      <c r="DJ13" s="2"/>
      <c r="DK13" s="2"/>
      <c r="DL13" s="2"/>
      <c r="DM13" s="2"/>
      <c r="DN13" s="2"/>
      <c r="DO13" s="2"/>
    </row>
    <row r="14" spans="1:119" x14ac:dyDescent="0.55000000000000004">
      <c r="D14" t="s">
        <v>6</v>
      </c>
      <c r="E14" t="s">
        <v>13</v>
      </c>
      <c r="F14" s="3" t="s">
        <v>12</v>
      </c>
      <c r="G14" s="2" t="s">
        <v>4</v>
      </c>
      <c r="H14" s="2">
        <v>97835</v>
      </c>
      <c r="I14" s="22">
        <v>18319</v>
      </c>
      <c r="J14" s="2">
        <v>26589</v>
      </c>
      <c r="K14" s="22">
        <v>10461</v>
      </c>
      <c r="L14" s="2">
        <v>258419</v>
      </c>
      <c r="M14" s="22">
        <v>41229</v>
      </c>
      <c r="N14" s="2">
        <v>218504</v>
      </c>
      <c r="O14" s="22">
        <v>27318</v>
      </c>
      <c r="P14" s="22">
        <v>9789</v>
      </c>
      <c r="Q14" s="2">
        <v>33998</v>
      </c>
      <c r="R14" s="22">
        <v>139157</v>
      </c>
      <c r="S14" s="2">
        <v>140219</v>
      </c>
      <c r="T14" s="22">
        <v>16438</v>
      </c>
      <c r="U14" s="22">
        <v>14919</v>
      </c>
      <c r="V14" s="22">
        <v>19692</v>
      </c>
      <c r="W14" s="27">
        <v>96940</v>
      </c>
      <c r="X14" s="22">
        <v>21237</v>
      </c>
      <c r="Y14" s="22">
        <v>17446</v>
      </c>
      <c r="Z14" s="22">
        <v>71674</v>
      </c>
      <c r="AA14" s="22">
        <v>18776</v>
      </c>
      <c r="AB14" s="22">
        <v>11105</v>
      </c>
      <c r="AC14" s="22">
        <v>30299</v>
      </c>
      <c r="AD14" s="22">
        <v>15587</v>
      </c>
      <c r="AE14" s="22">
        <v>9544</v>
      </c>
      <c r="AF14" s="22">
        <v>7493</v>
      </c>
      <c r="AG14" s="22">
        <v>6013</v>
      </c>
      <c r="AH14" s="31">
        <v>24618</v>
      </c>
      <c r="AI14" s="31"/>
      <c r="AJ14" s="31">
        <v>14825</v>
      </c>
      <c r="AK14" s="22">
        <v>25600</v>
      </c>
      <c r="AL14" s="31"/>
      <c r="AM14" s="31"/>
      <c r="AN14" s="31">
        <v>8684</v>
      </c>
      <c r="AO14" s="22">
        <v>16181</v>
      </c>
      <c r="AP14" s="22">
        <v>39102</v>
      </c>
      <c r="AQ14" s="22">
        <v>11912</v>
      </c>
      <c r="AR14" s="22">
        <v>4704</v>
      </c>
      <c r="AS14" s="22">
        <v>21730</v>
      </c>
      <c r="AT14" s="31">
        <v>18181</v>
      </c>
      <c r="AU14" s="31"/>
      <c r="AV14" s="22">
        <v>6683</v>
      </c>
      <c r="AW14" s="22">
        <v>17807</v>
      </c>
      <c r="AX14" s="31"/>
      <c r="AY14" s="31"/>
      <c r="AZ14" s="2">
        <v>3940</v>
      </c>
      <c r="BA14" s="2"/>
      <c r="BB14" s="2"/>
      <c r="BC14" s="2"/>
      <c r="BD14" s="2">
        <v>19711</v>
      </c>
      <c r="BE14" s="2">
        <v>63927</v>
      </c>
      <c r="BF14" s="2">
        <v>310250</v>
      </c>
      <c r="BG14" s="55">
        <v>299531</v>
      </c>
      <c r="BH14" s="2"/>
      <c r="BI14" s="2">
        <v>13790</v>
      </c>
      <c r="BJ14" s="2">
        <v>12486</v>
      </c>
      <c r="BK14" s="2">
        <v>66343</v>
      </c>
      <c r="BL14" s="2">
        <v>11837</v>
      </c>
      <c r="BM14" s="2"/>
      <c r="BN14" s="2">
        <v>8578</v>
      </c>
      <c r="BO14" s="2"/>
      <c r="BP14" s="2"/>
      <c r="BQ14" s="2"/>
      <c r="BR14" s="2"/>
      <c r="BS14" s="2">
        <v>15647</v>
      </c>
      <c r="BT14" s="2">
        <v>42378</v>
      </c>
      <c r="BU14" s="2">
        <v>6347</v>
      </c>
      <c r="BV14" s="32"/>
      <c r="BW14" s="2">
        <v>8294</v>
      </c>
      <c r="BX14" s="2">
        <v>3803</v>
      </c>
      <c r="BY14" s="2">
        <v>5976</v>
      </c>
      <c r="BZ14" s="2">
        <v>7324</v>
      </c>
      <c r="CA14" s="2"/>
      <c r="CB14" s="32"/>
      <c r="CC14" s="32"/>
      <c r="CD14" s="2">
        <f>8416+4880+852</f>
        <v>14148</v>
      </c>
      <c r="CE14" s="2">
        <f>155669+10685</f>
        <v>166354</v>
      </c>
      <c r="CF14" s="2">
        <f>58186+111477+52452+7000</f>
        <v>229115</v>
      </c>
      <c r="CG14" s="2">
        <v>15896</v>
      </c>
      <c r="CH14" s="2">
        <v>28407</v>
      </c>
      <c r="CI14" s="2">
        <v>12495</v>
      </c>
      <c r="CJ14" s="2">
        <v>3089</v>
      </c>
      <c r="CK14" s="2">
        <v>6000</v>
      </c>
      <c r="CL14" s="2">
        <v>7300</v>
      </c>
      <c r="CM14" s="2"/>
      <c r="CN14" s="2"/>
      <c r="CO14" s="2"/>
      <c r="CP14" s="2"/>
      <c r="CQ14" s="2"/>
      <c r="CR14" s="2">
        <v>13483</v>
      </c>
      <c r="CS14" s="2"/>
      <c r="CT14" s="2">
        <v>10331</v>
      </c>
      <c r="CU14" s="2">
        <v>6503</v>
      </c>
      <c r="CV14" s="2">
        <v>347000</v>
      </c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</row>
    <row r="15" spans="1:119" x14ac:dyDescent="0.55000000000000004">
      <c r="E15" s="5" t="s">
        <v>23</v>
      </c>
      <c r="G15" s="2" t="s">
        <v>5</v>
      </c>
      <c r="H15" s="2">
        <f>$C$3*H14*0.04/0.002*100</f>
        <v>3.6727258999999997</v>
      </c>
      <c r="I15" s="22">
        <f>$C$3*I14*0.04/0.002*100</f>
        <v>0.68769525999999992</v>
      </c>
      <c r="J15" s="2">
        <f t="shared" ref="J15:AW15" si="26">$C$3*J14*0.04/0.002*100</f>
        <v>0.99815105999999987</v>
      </c>
      <c r="K15" s="22">
        <f t="shared" si="26"/>
        <v>0.39270593999999992</v>
      </c>
      <c r="L15" s="2">
        <f>$C$3*L14*0.04/0.002*100</f>
        <v>9.7010492599999978</v>
      </c>
      <c r="M15" s="22">
        <f t="shared" si="26"/>
        <v>1.5477366599999998</v>
      </c>
      <c r="N15" s="2">
        <f t="shared" si="26"/>
        <v>8.2026401600000014</v>
      </c>
      <c r="O15" s="22">
        <f t="shared" si="26"/>
        <v>1.0255177199999999</v>
      </c>
      <c r="P15" s="22">
        <f t="shared" si="26"/>
        <v>0.36747905999999997</v>
      </c>
      <c r="Q15" s="2">
        <f t="shared" si="26"/>
        <v>1.2762849199999999</v>
      </c>
      <c r="R15" s="22">
        <f t="shared" si="26"/>
        <v>5.2239537799999995</v>
      </c>
      <c r="S15" s="2">
        <f t="shared" si="26"/>
        <v>5.2638212600000003</v>
      </c>
      <c r="T15" s="22">
        <f t="shared" si="26"/>
        <v>0.61708252000000008</v>
      </c>
      <c r="U15" s="22">
        <f t="shared" si="26"/>
        <v>0.56005925999999995</v>
      </c>
      <c r="V15" s="22">
        <f t="shared" si="26"/>
        <v>0.7392376799999999</v>
      </c>
      <c r="W15" s="27">
        <f t="shared" si="26"/>
        <v>3.6391276000000001</v>
      </c>
      <c r="X15" s="22">
        <f t="shared" si="26"/>
        <v>0.79723697999999998</v>
      </c>
      <c r="Y15" s="22">
        <f t="shared" si="26"/>
        <v>0.6549228399999999</v>
      </c>
      <c r="Z15" s="22">
        <f t="shared" si="26"/>
        <v>2.6906419599999998</v>
      </c>
      <c r="AA15" s="22">
        <f t="shared" si="26"/>
        <v>0.70485103999999998</v>
      </c>
      <c r="AB15" s="22">
        <f t="shared" si="26"/>
        <v>0.41688169999999991</v>
      </c>
      <c r="AC15" s="22">
        <f t="shared" si="26"/>
        <v>1.1374244599999999</v>
      </c>
      <c r="AD15" s="22">
        <f t="shared" si="26"/>
        <v>0.58513597999999989</v>
      </c>
      <c r="AE15" s="22">
        <f t="shared" si="26"/>
        <v>0.35828175999999995</v>
      </c>
      <c r="AF15" s="22">
        <f t="shared" si="26"/>
        <v>0.28128721999999995</v>
      </c>
      <c r="AG15" s="22">
        <f t="shared" si="26"/>
        <v>0.22572802</v>
      </c>
      <c r="AH15" s="31">
        <f t="shared" si="26"/>
        <v>0.92415972000000002</v>
      </c>
      <c r="AI15" s="31">
        <f t="shared" si="26"/>
        <v>0</v>
      </c>
      <c r="AJ15" s="31">
        <f t="shared" si="26"/>
        <v>0.55653049999999993</v>
      </c>
      <c r="AK15" s="22">
        <f t="shared" si="26"/>
        <v>0.96102399999999988</v>
      </c>
      <c r="AL15" s="31">
        <f t="shared" si="26"/>
        <v>0</v>
      </c>
      <c r="AM15" s="22">
        <f t="shared" si="26"/>
        <v>0</v>
      </c>
      <c r="AN15" s="31">
        <f t="shared" si="26"/>
        <v>0.32599736000000001</v>
      </c>
      <c r="AO15" s="22">
        <f t="shared" si="26"/>
        <v>0.60743473999999997</v>
      </c>
      <c r="AP15" s="22">
        <f t="shared" si="26"/>
        <v>1.46788908</v>
      </c>
      <c r="AQ15" s="22">
        <f t="shared" si="26"/>
        <v>0.44717647999999988</v>
      </c>
      <c r="AR15" s="22">
        <f t="shared" si="26"/>
        <v>0.17658815999999999</v>
      </c>
      <c r="AS15" s="22">
        <f t="shared" si="26"/>
        <v>0.81574419999999992</v>
      </c>
      <c r="AT15" s="31">
        <f t="shared" si="26"/>
        <v>0.6825147399999999</v>
      </c>
      <c r="AU15" s="22">
        <f t="shared" si="26"/>
        <v>0</v>
      </c>
      <c r="AV15" s="22">
        <f t="shared" si="26"/>
        <v>0.25087981999999998</v>
      </c>
      <c r="AW15" s="22">
        <f t="shared" si="26"/>
        <v>0.66847477999999994</v>
      </c>
      <c r="AX15" s="22">
        <f>$C$3*AX14*0.04/0.002*100</f>
        <v>0</v>
      </c>
      <c r="AY15" s="22">
        <f>$C$3*AY14*0.04/0.002*100</f>
        <v>0</v>
      </c>
      <c r="AZ15" s="22">
        <f>$C$3*AZ14*0.04/0.002*100</f>
        <v>0.1479076</v>
      </c>
      <c r="BA15" s="22">
        <f t="shared" ref="BA15:BI15" si="27">$C$3*BA14*0.04/0.002*100</f>
        <v>0</v>
      </c>
      <c r="BB15" s="22">
        <f t="shared" si="27"/>
        <v>0</v>
      </c>
      <c r="BC15" s="22">
        <f t="shared" si="27"/>
        <v>0</v>
      </c>
      <c r="BD15" s="22">
        <f t="shared" si="27"/>
        <v>0.73995094000000006</v>
      </c>
      <c r="BE15" s="22">
        <f t="shared" si="27"/>
        <v>2.39981958</v>
      </c>
      <c r="BF15" s="22">
        <f t="shared" si="27"/>
        <v>11.646784999999999</v>
      </c>
      <c r="BG15" s="55">
        <f t="shared" si="27"/>
        <v>11.24439374</v>
      </c>
      <c r="BH15" s="22">
        <f t="shared" si="27"/>
        <v>0</v>
      </c>
      <c r="BI15" s="22">
        <f t="shared" si="27"/>
        <v>0.51767660000000004</v>
      </c>
      <c r="BJ15" s="22">
        <f t="shared" ref="BJ15:BS15" si="28">$C$3*BJ14*0.04/0.002*100</f>
        <v>0.46872443999999996</v>
      </c>
      <c r="BK15" s="22">
        <f t="shared" si="28"/>
        <v>2.4905162199999999</v>
      </c>
      <c r="BL15" s="22">
        <f t="shared" si="28"/>
        <v>0.44436097999999996</v>
      </c>
      <c r="BM15" s="22">
        <f t="shared" si="28"/>
        <v>0</v>
      </c>
      <c r="BN15" s="22">
        <f t="shared" si="28"/>
        <v>0.32201812000000002</v>
      </c>
      <c r="BO15" s="22">
        <f t="shared" si="28"/>
        <v>0</v>
      </c>
      <c r="BP15" s="22">
        <f t="shared" si="28"/>
        <v>0</v>
      </c>
      <c r="BQ15" s="22">
        <f t="shared" si="28"/>
        <v>0</v>
      </c>
      <c r="BR15" s="22">
        <f t="shared" si="28"/>
        <v>0</v>
      </c>
      <c r="BS15" s="22">
        <f t="shared" si="28"/>
        <v>0.58738838000000004</v>
      </c>
      <c r="BT15" s="22">
        <f t="shared" ref="BT15:CG15" si="29">$C$3*BT14*0.04/0.002*100</f>
        <v>1.5908701199999997</v>
      </c>
      <c r="BU15" s="22">
        <f t="shared" si="29"/>
        <v>0.23826637999999994</v>
      </c>
      <c r="BV15" s="32">
        <f t="shared" si="29"/>
        <v>0</v>
      </c>
      <c r="BW15" s="22">
        <f t="shared" si="29"/>
        <v>0.31135676000000001</v>
      </c>
      <c r="BX15" s="22">
        <f t="shared" si="29"/>
        <v>0.14276461999999998</v>
      </c>
      <c r="BY15" s="22">
        <f t="shared" si="29"/>
        <v>0.22433903999999999</v>
      </c>
      <c r="BZ15" s="22">
        <f t="shared" si="29"/>
        <v>0.27494295999999996</v>
      </c>
      <c r="CA15" s="22">
        <f t="shared" si="29"/>
        <v>0</v>
      </c>
      <c r="CB15" s="32">
        <f t="shared" si="29"/>
        <v>0</v>
      </c>
      <c r="CC15" s="32">
        <f t="shared" si="29"/>
        <v>0</v>
      </c>
      <c r="CD15" s="22">
        <f t="shared" si="29"/>
        <v>0.53111592000000007</v>
      </c>
      <c r="CE15" s="22">
        <f t="shared" si="29"/>
        <v>6.2449291600000008</v>
      </c>
      <c r="CF15" s="22">
        <f t="shared" si="29"/>
        <v>8.6009770999999979</v>
      </c>
      <c r="CG15" s="22">
        <f t="shared" si="29"/>
        <v>0.59673583999999991</v>
      </c>
      <c r="CH15" s="22">
        <f>$C$3*CH14*0.04/0.002*100</f>
        <v>1.0663987800000001</v>
      </c>
      <c r="CI15" s="22">
        <f>$C$3*CI14*0.04/0.002*100</f>
        <v>0.46906229999999999</v>
      </c>
      <c r="CJ15" s="22">
        <f>$C$3*CJ14*0.04/0.002*100</f>
        <v>0.11596105999999999</v>
      </c>
      <c r="CK15" s="22">
        <f>$C$3*CK14*0.04/0.002*100</f>
        <v>0.22524</v>
      </c>
      <c r="CL15" s="22">
        <f t="shared" ref="CL15:DE15" si="30">$C$3*CL14*0.04/0.002*100</f>
        <v>0.27404200000000001</v>
      </c>
      <c r="CM15" s="22">
        <f t="shared" si="30"/>
        <v>0</v>
      </c>
      <c r="CN15" s="22">
        <f t="shared" si="30"/>
        <v>0</v>
      </c>
      <c r="CO15" s="22">
        <f t="shared" si="30"/>
        <v>0</v>
      </c>
      <c r="CP15" s="22">
        <f t="shared" si="30"/>
        <v>0</v>
      </c>
      <c r="CQ15" s="22">
        <f t="shared" si="30"/>
        <v>0</v>
      </c>
      <c r="CR15" s="22">
        <f t="shared" si="30"/>
        <v>0.50615182000000003</v>
      </c>
      <c r="CS15" s="22">
        <f t="shared" si="30"/>
        <v>0</v>
      </c>
      <c r="CT15" s="22">
        <f t="shared" si="30"/>
        <v>0.38782574000000003</v>
      </c>
      <c r="CU15" s="22">
        <f t="shared" si="30"/>
        <v>0.24412261999999996</v>
      </c>
      <c r="CV15" s="22">
        <f>$C$3*CV14*0.04/0.002*100</f>
        <v>13.026379999999998</v>
      </c>
      <c r="CW15" s="22">
        <f t="shared" si="30"/>
        <v>0</v>
      </c>
      <c r="CX15" s="22">
        <f t="shared" si="30"/>
        <v>0</v>
      </c>
      <c r="CY15" s="22">
        <f t="shared" si="30"/>
        <v>0</v>
      </c>
      <c r="CZ15" s="22">
        <f t="shared" si="30"/>
        <v>0</v>
      </c>
      <c r="DA15" s="22">
        <f t="shared" si="30"/>
        <v>0</v>
      </c>
      <c r="DB15" s="22">
        <f t="shared" si="30"/>
        <v>0</v>
      </c>
      <c r="DC15" s="22">
        <f t="shared" si="30"/>
        <v>0</v>
      </c>
      <c r="DD15" s="22">
        <f t="shared" si="30"/>
        <v>0</v>
      </c>
      <c r="DE15" s="22">
        <f t="shared" si="30"/>
        <v>0</v>
      </c>
      <c r="DF15" s="2"/>
      <c r="DG15" s="2"/>
      <c r="DH15" s="2"/>
      <c r="DI15" s="2"/>
      <c r="DJ15" s="2"/>
      <c r="DK15" s="2"/>
      <c r="DL15" s="2"/>
      <c r="DM15" s="2"/>
      <c r="DN15" s="2"/>
      <c r="DO15" s="2"/>
    </row>
    <row r="16" spans="1:119" x14ac:dyDescent="0.55000000000000004">
      <c r="E16">
        <v>71.7</v>
      </c>
      <c r="F16" s="3" t="s">
        <v>22</v>
      </c>
      <c r="G16" s="2" t="s">
        <v>4</v>
      </c>
      <c r="H16" s="2">
        <v>11676</v>
      </c>
      <c r="I16" s="22">
        <v>7699</v>
      </c>
      <c r="J16" s="2">
        <v>15232</v>
      </c>
      <c r="K16" s="22">
        <v>7598</v>
      </c>
      <c r="L16" s="2">
        <v>8162</v>
      </c>
      <c r="M16" s="22">
        <v>3766</v>
      </c>
      <c r="N16" s="2">
        <v>5903</v>
      </c>
      <c r="O16" s="22">
        <v>2643</v>
      </c>
      <c r="P16" s="22">
        <v>12049</v>
      </c>
      <c r="Q16" s="2">
        <v>15571</v>
      </c>
      <c r="R16" s="22">
        <v>10860</v>
      </c>
      <c r="S16" s="2">
        <v>19453</v>
      </c>
      <c r="T16" s="22">
        <v>8765</v>
      </c>
      <c r="U16" s="22">
        <v>7730</v>
      </c>
      <c r="V16" s="22">
        <v>5574</v>
      </c>
      <c r="W16" s="27">
        <v>11620</v>
      </c>
      <c r="X16" s="22">
        <v>7443</v>
      </c>
      <c r="Y16" s="22">
        <v>6663</v>
      </c>
      <c r="Z16" s="22">
        <v>9179</v>
      </c>
      <c r="AA16" s="22">
        <v>8467</v>
      </c>
      <c r="AB16" s="22">
        <v>9496</v>
      </c>
      <c r="AC16" s="22">
        <v>7367</v>
      </c>
      <c r="AD16" s="22">
        <v>7275</v>
      </c>
      <c r="AE16" s="22">
        <v>11437</v>
      </c>
      <c r="AF16" s="22">
        <v>15723</v>
      </c>
      <c r="AG16" s="22">
        <v>17053</v>
      </c>
      <c r="AH16" s="31">
        <v>6425</v>
      </c>
      <c r="AI16" s="31"/>
      <c r="AJ16" s="31">
        <v>9388</v>
      </c>
      <c r="AK16" s="22">
        <v>6537</v>
      </c>
      <c r="AL16" s="31"/>
      <c r="AM16" s="22">
        <v>12002</v>
      </c>
      <c r="AN16" s="31">
        <v>7384</v>
      </c>
      <c r="AO16" s="22">
        <v>7698</v>
      </c>
      <c r="AP16" s="22">
        <v>5058</v>
      </c>
      <c r="AQ16" s="22">
        <v>11860</v>
      </c>
      <c r="AR16" s="22">
        <v>28914</v>
      </c>
      <c r="AS16" s="22">
        <v>8416</v>
      </c>
      <c r="AT16" s="31">
        <v>7755</v>
      </c>
      <c r="AU16" s="22">
        <v>23262</v>
      </c>
      <c r="AV16" s="22">
        <v>14411</v>
      </c>
      <c r="AW16" s="22">
        <v>6674</v>
      </c>
      <c r="AX16" s="22">
        <v>30682</v>
      </c>
      <c r="AY16" s="2">
        <v>5369</v>
      </c>
      <c r="AZ16" s="2">
        <v>19214</v>
      </c>
      <c r="BA16" s="2">
        <v>19466</v>
      </c>
      <c r="BB16" s="2">
        <v>19216</v>
      </c>
      <c r="BC16" s="2">
        <v>39498</v>
      </c>
      <c r="BD16" s="2">
        <v>6185</v>
      </c>
      <c r="BE16" s="2">
        <v>9405</v>
      </c>
      <c r="BF16" s="2">
        <v>6352</v>
      </c>
      <c r="BG16" s="55">
        <v>6499</v>
      </c>
      <c r="BH16" s="2">
        <v>17646</v>
      </c>
      <c r="BI16" s="2">
        <v>9348</v>
      </c>
      <c r="BJ16" s="2">
        <v>7019</v>
      </c>
      <c r="BK16" s="2">
        <v>11935</v>
      </c>
      <c r="BL16" s="2">
        <v>8553</v>
      </c>
      <c r="BM16" s="2">
        <v>8099</v>
      </c>
      <c r="BN16" s="2">
        <v>5706</v>
      </c>
      <c r="BO16" s="2"/>
      <c r="BP16" s="2"/>
      <c r="BQ16" s="2"/>
      <c r="BR16" s="2"/>
      <c r="BS16" s="2">
        <v>5753</v>
      </c>
      <c r="BT16" s="2">
        <v>4303</v>
      </c>
      <c r="BU16" s="2">
        <v>20093</v>
      </c>
      <c r="BV16" s="32"/>
      <c r="BW16" s="2">
        <v>9970</v>
      </c>
      <c r="BX16" s="2">
        <v>19601</v>
      </c>
      <c r="BY16" s="2">
        <v>26685</v>
      </c>
      <c r="BZ16" s="2">
        <v>13703</v>
      </c>
      <c r="CA16" s="2"/>
      <c r="CB16" s="32"/>
      <c r="CC16" s="32"/>
      <c r="CD16" s="2">
        <v>8325</v>
      </c>
      <c r="CE16" s="2">
        <v>4604</v>
      </c>
      <c r="CF16" s="2">
        <v>6225</v>
      </c>
      <c r="CG16" s="2">
        <v>6885</v>
      </c>
      <c r="CH16" s="2">
        <v>3027</v>
      </c>
      <c r="CI16" s="2">
        <v>21611</v>
      </c>
      <c r="CJ16" s="2">
        <v>19077</v>
      </c>
      <c r="CK16" s="2">
        <v>15306</v>
      </c>
      <c r="CL16" s="2">
        <v>16601</v>
      </c>
      <c r="CM16" s="2"/>
      <c r="CN16" s="2"/>
      <c r="CO16" s="2"/>
      <c r="CP16" s="2"/>
      <c r="CQ16" s="2">
        <v>8156</v>
      </c>
      <c r="CR16" s="2">
        <v>19004</v>
      </c>
      <c r="CS16" s="2"/>
      <c r="CT16" s="2">
        <v>15344</v>
      </c>
      <c r="CU16" s="2">
        <v>13906</v>
      </c>
      <c r="CV16" s="2">
        <v>8469</v>
      </c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</row>
    <row r="17" spans="5:119" x14ac:dyDescent="0.55000000000000004">
      <c r="G17" s="2" t="s">
        <v>5</v>
      </c>
      <c r="H17" s="2">
        <f>$C$10*H16*0.04/0.002*100</f>
        <v>1.1506725581102364</v>
      </c>
      <c r="I17" s="22">
        <f t="shared" ref="I17:AW17" si="31">$C$10*I16*0.04/0.002*100</f>
        <v>0.75873826866141736</v>
      </c>
      <c r="J17" s="2">
        <f t="shared" si="31"/>
        <v>1.5011171981102363</v>
      </c>
      <c r="K17" s="22">
        <f t="shared" si="31"/>
        <v>0.74878469480314969</v>
      </c>
      <c r="L17" s="2">
        <f t="shared" si="31"/>
        <v>0.80436702803149618</v>
      </c>
      <c r="M17" s="22">
        <f t="shared" si="31"/>
        <v>0.37114018960629924</v>
      </c>
      <c r="N17" s="2">
        <f t="shared" si="31"/>
        <v>0.58174204440944888</v>
      </c>
      <c r="O17" s="22">
        <f t="shared" si="31"/>
        <v>0.26046827433070863</v>
      </c>
      <c r="P17" s="22">
        <f t="shared" si="31"/>
        <v>1.1874317962204723</v>
      </c>
      <c r="Q17" s="2">
        <f t="shared" si="31"/>
        <v>1.5345257281889766</v>
      </c>
      <c r="R17" s="22">
        <f t="shared" si="31"/>
        <v>1.0702555653543309</v>
      </c>
      <c r="S17" s="2">
        <f t="shared" si="31"/>
        <v>1.9170977451968507</v>
      </c>
      <c r="T17" s="22">
        <f t="shared" si="31"/>
        <v>0.86379282047244088</v>
      </c>
      <c r="U17" s="22">
        <f t="shared" si="31"/>
        <v>0.76179332598425198</v>
      </c>
      <c r="V17" s="22">
        <f t="shared" si="31"/>
        <v>0.54931901669291339</v>
      </c>
      <c r="W17" s="27">
        <f t="shared" si="31"/>
        <v>1.1451537448818898</v>
      </c>
      <c r="X17" s="22">
        <f t="shared" si="31"/>
        <v>0.73350940818897647</v>
      </c>
      <c r="Y17" s="22">
        <f t="shared" si="31"/>
        <v>0.65664022393700794</v>
      </c>
      <c r="Z17" s="22">
        <f t="shared" si="31"/>
        <v>0.90459261826771664</v>
      </c>
      <c r="AA17" s="22">
        <f t="shared" si="31"/>
        <v>0.83442485007874012</v>
      </c>
      <c r="AB17" s="22">
        <f t="shared" si="31"/>
        <v>0.93583304314960625</v>
      </c>
      <c r="AC17" s="22">
        <f t="shared" si="31"/>
        <v>0.72601959023622042</v>
      </c>
      <c r="AD17" s="22">
        <f t="shared" si="31"/>
        <v>0.71695296850393708</v>
      </c>
      <c r="AE17" s="22">
        <f t="shared" si="31"/>
        <v>1.1271190516535432</v>
      </c>
      <c r="AF17" s="22">
        <f t="shared" si="31"/>
        <v>1.5495053640944882</v>
      </c>
      <c r="AG17" s="22">
        <f t="shared" si="31"/>
        <v>1.6805771782677166</v>
      </c>
      <c r="AH17" s="31">
        <f t="shared" si="31"/>
        <v>0.63318526771653549</v>
      </c>
      <c r="AI17" s="31">
        <f t="shared" si="31"/>
        <v>0</v>
      </c>
      <c r="AJ17" s="31">
        <f t="shared" si="31"/>
        <v>0.9251896176377955</v>
      </c>
      <c r="AK17" s="22">
        <f t="shared" si="31"/>
        <v>0.64422289417322842</v>
      </c>
      <c r="AL17" s="31">
        <f t="shared" si="31"/>
        <v>0</v>
      </c>
      <c r="AM17" s="22">
        <f t="shared" si="31"/>
        <v>1.1827999351181104</v>
      </c>
      <c r="AN17" s="31">
        <f t="shared" si="31"/>
        <v>0.72769494425196868</v>
      </c>
      <c r="AO17" s="22">
        <f t="shared" si="31"/>
        <v>0.75863971842519695</v>
      </c>
      <c r="AP17" s="22">
        <f t="shared" si="31"/>
        <v>0.49846709480314971</v>
      </c>
      <c r="AQ17" s="22">
        <f t="shared" si="31"/>
        <v>1.1688058015748033</v>
      </c>
      <c r="AR17" s="22">
        <f t="shared" si="31"/>
        <v>2.8494815300787404</v>
      </c>
      <c r="AS17" s="22">
        <f t="shared" si="31"/>
        <v>0.82939878803149625</v>
      </c>
      <c r="AT17" s="31">
        <f t="shared" si="31"/>
        <v>0.76425708188976371</v>
      </c>
      <c r="AU17" s="22">
        <f t="shared" si="31"/>
        <v>2.2924755949606306</v>
      </c>
      <c r="AV17" s="22">
        <f t="shared" si="31"/>
        <v>1.4202074541732284</v>
      </c>
      <c r="AW17" s="22">
        <f t="shared" si="31"/>
        <v>0.65772427653543319</v>
      </c>
      <c r="AX17" s="22">
        <f>$C$10*AX16*0.04/0.002*100</f>
        <v>3.0237183477165357</v>
      </c>
      <c r="AY17" s="22">
        <f>$C$10*AY16*0.04/0.002*100</f>
        <v>0.5291162182677166</v>
      </c>
      <c r="AZ17" s="22">
        <f>$C$10*AZ16*0.04/0.002*100</f>
        <v>1.8935442387401575</v>
      </c>
      <c r="BA17" s="22">
        <f t="shared" ref="BA17:BI17" si="32">$C$10*BA16*0.04/0.002*100</f>
        <v>1.9183788982677166</v>
      </c>
      <c r="BB17" s="35">
        <f t="shared" si="32"/>
        <v>1.8937413392125984</v>
      </c>
      <c r="BC17" s="22">
        <f t="shared" si="32"/>
        <v>3.8925372302362211</v>
      </c>
      <c r="BD17" s="22">
        <f t="shared" si="32"/>
        <v>0.60953321102362212</v>
      </c>
      <c r="BE17" s="22">
        <f t="shared" si="32"/>
        <v>0.92686497165354342</v>
      </c>
      <c r="BF17" s="22">
        <f t="shared" si="32"/>
        <v>0.625991100472441</v>
      </c>
      <c r="BG17" s="55">
        <f t="shared" si="32"/>
        <v>0.6404779851968504</v>
      </c>
      <c r="BH17" s="22">
        <f t="shared" si="32"/>
        <v>1.7390174683464568</v>
      </c>
      <c r="BI17" s="22">
        <f t="shared" si="32"/>
        <v>0.92124760818897644</v>
      </c>
      <c r="BJ17" s="22">
        <f t="shared" ref="BJ17:BS17" si="33">$C$10*BJ16*0.04/0.002*100</f>
        <v>0.69172410803149609</v>
      </c>
      <c r="BK17" s="22">
        <f t="shared" si="33"/>
        <v>1.1761970692913386</v>
      </c>
      <c r="BL17" s="22">
        <f t="shared" si="33"/>
        <v>0.8429001703937008</v>
      </c>
      <c r="BM17" s="36">
        <f t="shared" si="33"/>
        <v>0.79815836314960642</v>
      </c>
      <c r="BN17" s="36">
        <f t="shared" si="33"/>
        <v>0.56232764787401579</v>
      </c>
      <c r="BO17" s="22">
        <f t="shared" si="33"/>
        <v>0</v>
      </c>
      <c r="BP17" s="22">
        <f t="shared" si="33"/>
        <v>0</v>
      </c>
      <c r="BQ17" s="22">
        <f t="shared" si="33"/>
        <v>0</v>
      </c>
      <c r="BR17" s="22">
        <f t="shared" si="33"/>
        <v>0</v>
      </c>
      <c r="BS17" s="22">
        <f t="shared" si="33"/>
        <v>0.56695950897637803</v>
      </c>
      <c r="BT17" s="22">
        <f t="shared" ref="BT17:CG17" si="34">$C$10*BT16*0.04/0.002*100</f>
        <v>0.42406166645669291</v>
      </c>
      <c r="BU17" s="22">
        <f t="shared" si="34"/>
        <v>1.9801698963779528</v>
      </c>
      <c r="BV17" s="32">
        <f t="shared" si="34"/>
        <v>0</v>
      </c>
      <c r="BW17" s="22">
        <f t="shared" si="34"/>
        <v>0.98254585511811032</v>
      </c>
      <c r="BX17" s="22">
        <f t="shared" si="34"/>
        <v>1.9316831801574805</v>
      </c>
      <c r="BY17" s="22">
        <f t="shared" si="34"/>
        <v>2.6298130535433071</v>
      </c>
      <c r="BZ17" s="22">
        <f t="shared" si="34"/>
        <v>1.3504338869291339</v>
      </c>
      <c r="CA17" s="22">
        <f t="shared" si="34"/>
        <v>0</v>
      </c>
      <c r="CB17" s="32">
        <f t="shared" si="34"/>
        <v>0</v>
      </c>
      <c r="CC17" s="32">
        <f t="shared" si="34"/>
        <v>0</v>
      </c>
      <c r="CD17" s="22">
        <f t="shared" si="34"/>
        <v>0.82043071653543298</v>
      </c>
      <c r="CE17" s="22">
        <f t="shared" si="34"/>
        <v>0.45372528755905511</v>
      </c>
      <c r="CF17" s="22">
        <f t="shared" si="34"/>
        <v>0.61347522047244107</v>
      </c>
      <c r="CG17" s="22">
        <f t="shared" si="34"/>
        <v>0.67851837637795276</v>
      </c>
      <c r="CH17" s="22">
        <f>$C$10*CH16*0.04/0.002*100</f>
        <v>0.29831156503937006</v>
      </c>
      <c r="CI17" s="22">
        <f>$C$10*CI16*0.04/0.002*100</f>
        <v>2.1297691549606297</v>
      </c>
      <c r="CJ17" s="22">
        <f>$C$10*CJ16*0.04/0.002*100</f>
        <v>1.8800428563779528</v>
      </c>
      <c r="CK17" s="22">
        <f>$C$10*CK16*0.04/0.002*100</f>
        <v>1.5084099155905513</v>
      </c>
      <c r="CL17" s="22">
        <f t="shared" ref="CL17:DE17" si="35">$C$10*CL16*0.04/0.002*100</f>
        <v>1.6360324714960632</v>
      </c>
      <c r="CM17" s="22">
        <f>$C$10*CM16*0.04/0.002*100</f>
        <v>0</v>
      </c>
      <c r="CN17" s="22">
        <f t="shared" si="35"/>
        <v>0</v>
      </c>
      <c r="CO17" s="22">
        <f t="shared" si="35"/>
        <v>0</v>
      </c>
      <c r="CP17" s="22">
        <f t="shared" si="35"/>
        <v>0</v>
      </c>
      <c r="CQ17" s="22">
        <f t="shared" si="35"/>
        <v>0.80377572661417329</v>
      </c>
      <c r="CR17" s="22">
        <f t="shared" si="35"/>
        <v>1.8728486891338585</v>
      </c>
      <c r="CS17" s="22">
        <f t="shared" si="35"/>
        <v>0</v>
      </c>
      <c r="CT17" s="22">
        <f t="shared" si="35"/>
        <v>1.5121548245669292</v>
      </c>
      <c r="CU17" s="22">
        <f t="shared" si="35"/>
        <v>1.3704395848818898</v>
      </c>
      <c r="CV17" s="22">
        <f t="shared" si="35"/>
        <v>0.83462195055118127</v>
      </c>
      <c r="CW17" s="22">
        <f t="shared" si="35"/>
        <v>0</v>
      </c>
      <c r="CX17" s="22">
        <f t="shared" si="35"/>
        <v>0</v>
      </c>
      <c r="CY17" s="22">
        <f t="shared" si="35"/>
        <v>0</v>
      </c>
      <c r="CZ17" s="22">
        <f t="shared" si="35"/>
        <v>0</v>
      </c>
      <c r="DA17" s="22">
        <f t="shared" si="35"/>
        <v>0</v>
      </c>
      <c r="DB17" s="22">
        <f t="shared" si="35"/>
        <v>0</v>
      </c>
      <c r="DC17" s="22">
        <f t="shared" si="35"/>
        <v>0</v>
      </c>
      <c r="DD17" s="22">
        <f t="shared" si="35"/>
        <v>0</v>
      </c>
      <c r="DE17" s="22">
        <f t="shared" si="35"/>
        <v>0</v>
      </c>
      <c r="DF17" s="2"/>
      <c r="DG17" s="2"/>
      <c r="DH17" s="2"/>
      <c r="DI17" s="2"/>
      <c r="DJ17" s="2"/>
      <c r="DK17" s="2"/>
      <c r="DL17" s="2"/>
      <c r="DM17" s="2"/>
      <c r="DN17" s="2"/>
      <c r="DO17" s="2"/>
    </row>
    <row r="18" spans="5:119" x14ac:dyDescent="0.55000000000000004">
      <c r="E18" s="28" t="s">
        <v>10</v>
      </c>
      <c r="F18" s="28">
        <f>$E$19*F19*0.04*166.14</f>
        <v>2.9516752983743996E-2</v>
      </c>
      <c r="G18" s="2"/>
      <c r="H18" s="2"/>
      <c r="I18" s="2"/>
      <c r="J18" s="2"/>
      <c r="K18" s="2"/>
      <c r="L18" s="2"/>
      <c r="M18" s="2"/>
      <c r="N18" s="2"/>
      <c r="O18" s="2"/>
      <c r="AH18" s="30"/>
      <c r="AI18" s="30"/>
      <c r="AJ18" s="30"/>
      <c r="AL18" s="30"/>
      <c r="AN18" s="30"/>
      <c r="AT18" s="30"/>
    </row>
    <row r="19" spans="5:119" x14ac:dyDescent="0.55000000000000004">
      <c r="E19" s="28">
        <v>2.953E-8</v>
      </c>
      <c r="F19" s="28">
        <v>150408</v>
      </c>
      <c r="G19" s="2"/>
      <c r="H19" s="2"/>
      <c r="I19" s="2"/>
      <c r="J19" s="2"/>
      <c r="K19" s="2"/>
      <c r="L19" s="2"/>
      <c r="M19" s="2"/>
      <c r="N19" s="2"/>
      <c r="O19" s="2"/>
      <c r="AL19" s="30"/>
      <c r="AN19" s="30"/>
    </row>
    <row r="20" spans="5:119" x14ac:dyDescent="0.55000000000000004">
      <c r="E20" s="28">
        <v>6.6168999999999994E-11</v>
      </c>
      <c r="F20" s="28">
        <v>69982346</v>
      </c>
      <c r="G20" s="2" t="s">
        <v>20</v>
      </c>
      <c r="H20" s="2">
        <f>H5+H9+H11+H13+H15+H17</f>
        <v>56.157756158110224</v>
      </c>
      <c r="I20" s="2">
        <f t="shared" ref="I20:AW20" si="36">I5+I9+I11+I13+I15+I17+I19</f>
        <v>17.549132248661415</v>
      </c>
      <c r="J20" s="2">
        <f t="shared" si="36"/>
        <v>71.162894558110239</v>
      </c>
      <c r="K20" s="2">
        <f t="shared" si="36"/>
        <v>18.959315894803147</v>
      </c>
      <c r="L20" s="2">
        <f t="shared" si="36"/>
        <v>35.467056268031492</v>
      </c>
      <c r="M20" s="2">
        <f t="shared" si="36"/>
        <v>7.9290864896062994</v>
      </c>
      <c r="N20" s="2">
        <f t="shared" si="36"/>
        <v>16.992793644409449</v>
      </c>
      <c r="O20" s="2">
        <f t="shared" si="36"/>
        <v>3.2036323543307086</v>
      </c>
      <c r="P20" s="2">
        <f t="shared" si="36"/>
        <v>25.442200856220474</v>
      </c>
      <c r="Q20" s="2">
        <f t="shared" si="36"/>
        <v>75.086734288188978</v>
      </c>
      <c r="R20" s="2">
        <f t="shared" si="36"/>
        <v>23.608291525354328</v>
      </c>
      <c r="S20" s="2">
        <f t="shared" si="36"/>
        <v>76.821286045196871</v>
      </c>
      <c r="T20" s="2">
        <f t="shared" si="36"/>
        <v>17.508641100472438</v>
      </c>
      <c r="U20" s="2">
        <f t="shared" si="36"/>
        <v>18.480567385984251</v>
      </c>
      <c r="V20" s="2">
        <f t="shared" si="36"/>
        <v>14.722998536692913</v>
      </c>
      <c r="W20" s="2">
        <f t="shared" si="36"/>
        <v>66.038125204881894</v>
      </c>
      <c r="X20" s="2">
        <f t="shared" si="36"/>
        <v>15.676423648188976</v>
      </c>
      <c r="Y20" s="2">
        <f t="shared" si="36"/>
        <v>17.593534243937007</v>
      </c>
      <c r="Z20" s="2">
        <f t="shared" si="36"/>
        <v>28.73141799826772</v>
      </c>
      <c r="AA20" s="2">
        <f t="shared" si="36"/>
        <v>16.356444590078741</v>
      </c>
      <c r="AB20" s="2">
        <f t="shared" si="36"/>
        <v>23.549301143149613</v>
      </c>
      <c r="AC20" s="2">
        <f t="shared" si="36"/>
        <v>12.678563850236221</v>
      </c>
      <c r="AD20" s="2">
        <f t="shared" si="36"/>
        <v>19.376883908503935</v>
      </c>
      <c r="AE20" s="2">
        <f t="shared" si="36"/>
        <v>29.052142411653545</v>
      </c>
      <c r="AF20" s="2">
        <f t="shared" si="36"/>
        <v>40.768627204094486</v>
      </c>
      <c r="AG20" s="2">
        <f t="shared" si="36"/>
        <v>47.689045838267717</v>
      </c>
      <c r="AH20" s="2">
        <f t="shared" si="36"/>
        <v>9.4171177677165367</v>
      </c>
      <c r="AI20" s="2">
        <f t="shared" si="36"/>
        <v>0.70375500000000002</v>
      </c>
      <c r="AJ20" s="2">
        <f t="shared" si="36"/>
        <v>26.461508197637794</v>
      </c>
      <c r="AK20" s="2">
        <f t="shared" si="36"/>
        <v>9.4388498741732292</v>
      </c>
      <c r="AL20" s="2">
        <f t="shared" si="36"/>
        <v>0</v>
      </c>
      <c r="AM20" s="2">
        <f t="shared" si="36"/>
        <v>33.193132255118115</v>
      </c>
      <c r="AN20" s="31">
        <f t="shared" si="36"/>
        <v>24.452062704251972</v>
      </c>
      <c r="AO20" s="2">
        <f t="shared" si="36"/>
        <v>25.730626338425196</v>
      </c>
      <c r="AP20" s="2">
        <f t="shared" si="36"/>
        <v>7.5982354548031505</v>
      </c>
      <c r="AQ20" s="2">
        <f t="shared" si="36"/>
        <v>23.0094885815748</v>
      </c>
      <c r="AR20" s="2">
        <f t="shared" si="36"/>
        <v>52.183109630078746</v>
      </c>
      <c r="AS20" s="2">
        <f t="shared" si="36"/>
        <v>19.590810548031499</v>
      </c>
      <c r="AT20" s="2">
        <f t="shared" si="36"/>
        <v>23.945481601889764</v>
      </c>
      <c r="AU20" s="2">
        <f t="shared" si="36"/>
        <v>46.680394494960623</v>
      </c>
      <c r="AV20" s="2">
        <f t="shared" si="36"/>
        <v>36.407957074173225</v>
      </c>
      <c r="AW20" s="2">
        <f t="shared" si="36"/>
        <v>16.467021416535434</v>
      </c>
      <c r="AX20" s="2">
        <f>AX5+AX9+AX11+AX13+AX15+AX17+AX19</f>
        <v>98.518808767716536</v>
      </c>
      <c r="AY20" s="2">
        <f>AY5+AY9+AY11+AY13+AY15+AY17+AY19</f>
        <v>12.302776198267717</v>
      </c>
      <c r="AZ20" s="2">
        <f>AZ5+AZ9+AZ11+AZ13+AZ15+AZ17+AZ19</f>
        <v>41.629566718740165</v>
      </c>
      <c r="BA20" s="2">
        <f t="shared" ref="BA20:BI20" si="37">BA5+BA9+BA11+BA13+BA15+BA17+BA19</f>
        <v>42.497705598267721</v>
      </c>
      <c r="BB20" s="2">
        <f t="shared" si="37"/>
        <v>44.225494899212599</v>
      </c>
      <c r="BC20" s="2">
        <f t="shared" si="37"/>
        <v>46.01471093023622</v>
      </c>
      <c r="BD20" s="2">
        <f t="shared" si="37"/>
        <v>19.253866411023619</v>
      </c>
      <c r="BE20" s="2">
        <f t="shared" si="37"/>
        <v>56.269795891653544</v>
      </c>
      <c r="BF20" s="2">
        <f t="shared" si="37"/>
        <v>29.866012880472439</v>
      </c>
      <c r="BG20" s="2">
        <f t="shared" si="37"/>
        <v>22.120382305196848</v>
      </c>
      <c r="BH20" s="2">
        <f t="shared" si="37"/>
        <v>33.703771908346454</v>
      </c>
      <c r="BI20" s="2">
        <f t="shared" si="37"/>
        <v>24.433014588188982</v>
      </c>
      <c r="BJ20" s="2">
        <f t="shared" ref="BJ20:CG20" si="38">BJ5+BJ9+BJ11+BJ13+BJ15+BJ17+BJ19</f>
        <v>23.954615068031497</v>
      </c>
      <c r="BK20" s="2">
        <f t="shared" si="38"/>
        <v>34.155297829291342</v>
      </c>
      <c r="BL20" s="2">
        <f t="shared" si="38"/>
        <v>25.673762570393702</v>
      </c>
      <c r="BM20" s="2">
        <f t="shared" si="38"/>
        <v>18.264837943149608</v>
      </c>
      <c r="BN20" s="2">
        <f t="shared" si="38"/>
        <v>15.370393507874017</v>
      </c>
      <c r="BO20" s="2">
        <f t="shared" si="38"/>
        <v>1.0930949999999999</v>
      </c>
      <c r="BP20" s="2">
        <f t="shared" si="38"/>
        <v>0.59028749999999997</v>
      </c>
      <c r="BQ20" s="2">
        <f t="shared" si="38"/>
        <v>16.363620000000001</v>
      </c>
      <c r="BR20" s="2">
        <f t="shared" si="38"/>
        <v>7.00542</v>
      </c>
      <c r="BS20" s="2">
        <f t="shared" si="38"/>
        <v>18.604365028976378</v>
      </c>
      <c r="BT20" s="2">
        <f t="shared" si="38"/>
        <v>10.609827826456693</v>
      </c>
      <c r="BU20" s="2">
        <f t="shared" si="38"/>
        <v>50.573040276377952</v>
      </c>
      <c r="BV20" s="2">
        <f t="shared" si="38"/>
        <v>13.699867500000002</v>
      </c>
      <c r="BW20" s="2">
        <f t="shared" si="38"/>
        <v>32.315168135118107</v>
      </c>
      <c r="BX20" s="2">
        <f t="shared" si="38"/>
        <v>49.491805600157484</v>
      </c>
      <c r="BY20" s="2">
        <f t="shared" si="38"/>
        <v>59.26006379354331</v>
      </c>
      <c r="BZ20" s="2">
        <f t="shared" si="38"/>
        <v>40.395851326929126</v>
      </c>
      <c r="CA20" s="2">
        <f t="shared" si="38"/>
        <v>39.150945</v>
      </c>
      <c r="CB20" s="2">
        <f t="shared" si="38"/>
        <v>5.6808675000000006</v>
      </c>
      <c r="CC20" s="2">
        <f t="shared" si="38"/>
        <v>29.965544999999999</v>
      </c>
      <c r="CD20" s="2">
        <f t="shared" si="38"/>
        <v>18.487582316535438</v>
      </c>
      <c r="CE20" s="2">
        <f t="shared" si="38"/>
        <v>30.659066327559064</v>
      </c>
      <c r="CF20" s="2">
        <f t="shared" si="38"/>
        <v>19.514384040472439</v>
      </c>
      <c r="CG20" s="2">
        <f t="shared" si="38"/>
        <v>18.903891756377952</v>
      </c>
      <c r="CH20" s="2">
        <f t="shared" ref="CH20:DC20" si="39">CH5+CH9+CH11+CH13+CH15+CH17+CH19</f>
        <v>3.89168012503937</v>
      </c>
      <c r="CI20" s="2">
        <f t="shared" si="39"/>
        <v>42.96019137496063</v>
      </c>
      <c r="CJ20" s="2">
        <f t="shared" si="39"/>
        <v>42.446361256377955</v>
      </c>
      <c r="CK20" s="2">
        <f t="shared" si="39"/>
        <v>39.599473795590555</v>
      </c>
      <c r="CL20" s="2">
        <f t="shared" si="39"/>
        <v>40.555033571496075</v>
      </c>
      <c r="CM20" s="2">
        <f t="shared" si="39"/>
        <v>1.5319125</v>
      </c>
      <c r="CN20" s="2">
        <f t="shared" si="39"/>
        <v>44.794012500000001</v>
      </c>
      <c r="CO20" s="2">
        <f t="shared" si="39"/>
        <v>31.777244999999997</v>
      </c>
      <c r="CP20" s="2">
        <f t="shared" si="39"/>
        <v>14.83812</v>
      </c>
      <c r="CQ20" s="2">
        <f t="shared" si="39"/>
        <v>17.695799046614173</v>
      </c>
      <c r="CR20" s="2">
        <f t="shared" si="39"/>
        <v>49.564544729133871</v>
      </c>
      <c r="CS20" s="2">
        <f t="shared" si="39"/>
        <v>12.409672500000001</v>
      </c>
      <c r="CT20" s="2">
        <f t="shared" si="39"/>
        <v>33.211904864566925</v>
      </c>
      <c r="CU20" s="2">
        <f t="shared" si="39"/>
        <v>42.588943904881887</v>
      </c>
      <c r="CV20" s="2">
        <f t="shared" si="39"/>
        <v>32.69596831055118</v>
      </c>
      <c r="CW20" s="2">
        <f t="shared" si="39"/>
        <v>30.714997500000003</v>
      </c>
      <c r="CX20" s="2">
        <f t="shared" si="39"/>
        <v>18.308767500000002</v>
      </c>
      <c r="CY20" s="2">
        <f t="shared" si="39"/>
        <v>28.316925000000005</v>
      </c>
      <c r="CZ20" s="2">
        <f t="shared" si="39"/>
        <v>28.316992500000005</v>
      </c>
      <c r="DA20" s="2">
        <f t="shared" si="39"/>
        <v>28.317059999999998</v>
      </c>
      <c r="DB20" s="2">
        <f t="shared" si="39"/>
        <v>28.317127500000002</v>
      </c>
      <c r="DC20" s="2">
        <f t="shared" si="39"/>
        <v>28.317195000000002</v>
      </c>
    </row>
    <row r="21" spans="5:119" x14ac:dyDescent="0.55000000000000004">
      <c r="E21" s="28"/>
      <c r="F21" s="28">
        <f>$E$20*F20*0.04*166.14</f>
        <v>3.077352640680121E-2</v>
      </c>
      <c r="G21" s="2" t="s">
        <v>21</v>
      </c>
      <c r="H21" s="2">
        <f>H3-H20</f>
        <v>25.1694043357166</v>
      </c>
      <c r="I21" s="2">
        <f t="shared" ref="I21:AW21" si="40">I3-I20</f>
        <v>9.1792628130672327</v>
      </c>
      <c r="J21" s="2">
        <f t="shared" si="40"/>
        <v>23.837105441889904</v>
      </c>
      <c r="K21" s="2">
        <f t="shared" si="40"/>
        <v>11.411054475567219</v>
      </c>
      <c r="L21" s="2">
        <f t="shared" si="40"/>
        <v>19.069980769005689</v>
      </c>
      <c r="M21" s="2">
        <f t="shared" si="40"/>
        <v>10.003012275825732</v>
      </c>
      <c r="N21" s="2">
        <f t="shared" si="40"/>
        <v>27.822021170405694</v>
      </c>
      <c r="O21" s="2">
        <f t="shared" si="40"/>
        <v>10.469207151842127</v>
      </c>
      <c r="P21" s="2">
        <f t="shared" si="40"/>
        <v>11.810885563533013</v>
      </c>
      <c r="Q21" s="2">
        <f t="shared" si="40"/>
        <v>20.191043489588836</v>
      </c>
      <c r="R21" s="2">
        <f t="shared" si="40"/>
        <v>6.7003504499544455</v>
      </c>
      <c r="S21" s="2">
        <f t="shared" si="40"/>
        <v>17.931800374556389</v>
      </c>
      <c r="T21" s="2">
        <f t="shared" si="40"/>
        <v>9.6518527266884107</v>
      </c>
      <c r="U21" s="2">
        <f t="shared" si="40"/>
        <v>9.1737536016698229</v>
      </c>
      <c r="V21" s="2">
        <f t="shared" si="40"/>
        <v>6.6967545497268617</v>
      </c>
      <c r="W21" s="2">
        <f t="shared" si="40"/>
        <v>7.2985906229249053E-2</v>
      </c>
      <c r="X21" s="2">
        <f t="shared" si="40"/>
        <v>8.3667862283541687</v>
      </c>
      <c r="Y21" s="2">
        <f t="shared" si="40"/>
        <v>6.8509102005075349</v>
      </c>
      <c r="Z21" s="2">
        <f t="shared" si="40"/>
        <v>7.8735202733374869</v>
      </c>
      <c r="AA21" s="2">
        <f t="shared" si="40"/>
        <v>11.143555409921358</v>
      </c>
      <c r="AB21" s="2">
        <f t="shared" si="40"/>
        <v>10.030945770430826</v>
      </c>
      <c r="AC21" s="2">
        <f t="shared" si="40"/>
        <v>9.6671151621095053</v>
      </c>
      <c r="AD21" s="2">
        <f t="shared" si="40"/>
        <v>8.8947210297681707</v>
      </c>
      <c r="AE21" s="2">
        <f t="shared" si="40"/>
        <v>6.0713143784703369</v>
      </c>
      <c r="AF21" s="2">
        <f t="shared" si="40"/>
        <v>8.3980394625718091</v>
      </c>
      <c r="AG21" s="2">
        <f t="shared" si="40"/>
        <v>11.755398606176399</v>
      </c>
      <c r="AH21" s="2">
        <f t="shared" si="40"/>
        <v>-9.4171177677165367</v>
      </c>
      <c r="AI21" s="2">
        <f t="shared" si="40"/>
        <v>9.7283437654319602</v>
      </c>
      <c r="AJ21" s="2">
        <f t="shared" si="40"/>
        <v>5.9150350122384516</v>
      </c>
      <c r="AK21" s="2">
        <f t="shared" si="40"/>
        <v>8.2771995085426937</v>
      </c>
      <c r="AL21" s="2">
        <f t="shared" si="40"/>
        <v>34.38271604938268</v>
      </c>
      <c r="AM21" s="2">
        <f t="shared" si="40"/>
        <v>-11.372144600796943</v>
      </c>
      <c r="AN21" s="2">
        <f>AN3-AN20</f>
        <v>11.936826184636587</v>
      </c>
      <c r="AO21" s="2">
        <f t="shared" si="40"/>
        <v>6.9545588467600794</v>
      </c>
      <c r="AP21" s="2">
        <f t="shared" si="40"/>
        <v>11.66102380445623</v>
      </c>
      <c r="AQ21" s="2">
        <f>AQ3-AQ20</f>
        <v>13.379400307313759</v>
      </c>
      <c r="AR21" s="2">
        <f t="shared" si="40"/>
        <v>33.279853332884102</v>
      </c>
      <c r="AS21" s="2">
        <f t="shared" si="40"/>
        <v>13.49560920505462</v>
      </c>
      <c r="AT21" s="2">
        <f t="shared" si="40"/>
        <v>7.3199504968757658</v>
      </c>
      <c r="AU21" s="2">
        <f t="shared" si="40"/>
        <v>11.745531430965698</v>
      </c>
      <c r="AV21" s="2">
        <f t="shared" si="40"/>
        <v>12.511796012246599</v>
      </c>
      <c r="AW21" s="2">
        <f t="shared" si="40"/>
        <v>8.4712501884028875</v>
      </c>
      <c r="AX21" s="2">
        <f>AX3-AX20</f>
        <v>-24.074364323271737</v>
      </c>
      <c r="AY21" s="2">
        <f>AY3-AY20</f>
        <v>11.555248493090138</v>
      </c>
      <c r="AZ21" s="2">
        <f>AZ3-AZ20</f>
        <v>17.69142093558078</v>
      </c>
      <c r="BA21" s="2" t="e">
        <f>#REF!-BA20</f>
        <v>#REF!</v>
      </c>
      <c r="BB21" s="2">
        <f>BA3-BB20</f>
        <v>15.373270532886025</v>
      </c>
      <c r="BC21" s="2">
        <f>BB3-BC20</f>
        <v>26.300103884578974</v>
      </c>
      <c r="BD21" s="2">
        <f t="shared" ref="BD21:BI21" si="41">BD3-BD20</f>
        <v>7.8140348235442936</v>
      </c>
      <c r="BE21" s="2">
        <f t="shared" si="41"/>
        <v>-56.269795891653544</v>
      </c>
      <c r="BF21" s="2">
        <f t="shared" si="41"/>
        <v>-29.866012880472439</v>
      </c>
      <c r="BG21" s="2">
        <f t="shared" si="41"/>
        <v>-22.120382305196848</v>
      </c>
      <c r="BH21" s="2">
        <f t="shared" si="41"/>
        <v>16.172771301530126</v>
      </c>
      <c r="BI21" s="2">
        <f t="shared" si="41"/>
        <v>-2.0564713783124517</v>
      </c>
      <c r="BJ21" s="2">
        <f t="shared" ref="BJ21:CG21" si="42">BJ3-BJ20</f>
        <v>7.619459006043062</v>
      </c>
      <c r="BK21" s="2">
        <f t="shared" si="42"/>
        <v>6.6163071089801377</v>
      </c>
      <c r="BL21" s="2">
        <f t="shared" si="42"/>
        <v>11.332410269112355</v>
      </c>
      <c r="BM21" s="2">
        <f t="shared" si="42"/>
        <v>8.833927488949108</v>
      </c>
      <c r="BN21" s="2">
        <f t="shared" si="42"/>
        <v>9.3518287143482119</v>
      </c>
      <c r="BO21" s="2">
        <f t="shared" si="42"/>
        <v>17.271102530864219</v>
      </c>
      <c r="BP21" s="2">
        <f t="shared" si="42"/>
        <v>11.261564351851691</v>
      </c>
      <c r="BQ21" s="2">
        <f t="shared" si="42"/>
        <v>12.617861481481423</v>
      </c>
      <c r="BR21" s="2">
        <f t="shared" si="42"/>
        <v>27.377296049382679</v>
      </c>
      <c r="BS21" s="2">
        <f t="shared" si="42"/>
        <v>6.9511905265794347</v>
      </c>
      <c r="BT21" s="2">
        <f t="shared" si="42"/>
        <v>14.94572772909912</v>
      </c>
      <c r="BU21" s="2">
        <f t="shared" si="42"/>
        <v>11.247947377942651</v>
      </c>
      <c r="BV21" s="2">
        <f t="shared" si="42"/>
        <v>14.417416450617049</v>
      </c>
      <c r="BW21" s="2">
        <f t="shared" si="42"/>
        <v>13.672486185869552</v>
      </c>
      <c r="BX21" s="2">
        <f t="shared" si="42"/>
        <v>24.736589461570908</v>
      </c>
      <c r="BY21" s="2">
        <f t="shared" si="42"/>
        <v>25.77080040398755</v>
      </c>
      <c r="BZ21" s="2">
        <f t="shared" si="42"/>
        <v>10.560938796527374</v>
      </c>
      <c r="CA21" s="2">
        <f t="shared" si="42"/>
        <v>-13.595389444444187</v>
      </c>
      <c r="CB21" s="2">
        <f t="shared" si="42"/>
        <v>19.874688055555811</v>
      </c>
      <c r="CC21" s="2">
        <f t="shared" si="42"/>
        <v>-4.4099894444441858</v>
      </c>
      <c r="CD21" s="2">
        <f t="shared" si="42"/>
        <v>13.456862127909005</v>
      </c>
      <c r="CE21" s="2">
        <f t="shared" si="42"/>
        <v>-9.3010416362008677</v>
      </c>
      <c r="CF21" s="2">
        <f t="shared" si="42"/>
        <v>22.923887564466309</v>
      </c>
      <c r="CG21" s="2">
        <f t="shared" si="42"/>
        <v>35.417095897943035</v>
      </c>
      <c r="CH21" s="2">
        <f t="shared" ref="CH21:DC21" si="43">CH3-CH20</f>
        <v>49.62683839347914</v>
      </c>
      <c r="CI21" s="2">
        <f t="shared" si="43"/>
        <v>18.397833316396991</v>
      </c>
      <c r="CJ21" s="2">
        <f t="shared" si="43"/>
        <v>14.714132570782596</v>
      </c>
      <c r="CK21" s="2">
        <f t="shared" si="43"/>
        <v>12.962254599470988</v>
      </c>
      <c r="CL21" s="2">
        <f t="shared" si="43"/>
        <v>11.389410872948524</v>
      </c>
      <c r="CM21" s="2">
        <f t="shared" si="43"/>
        <v>19.826112191358195</v>
      </c>
      <c r="CN21" s="2">
        <f t="shared" si="43"/>
        <v>-23.435987808641805</v>
      </c>
      <c r="CO21" s="2">
        <f t="shared" si="43"/>
        <v>-10.419220308641801</v>
      </c>
      <c r="CP21" s="2">
        <f t="shared" si="43"/>
        <v>6.5199046913581959</v>
      </c>
      <c r="CQ21" s="2">
        <f t="shared" si="43"/>
        <v>10.421484904003432</v>
      </c>
      <c r="CR21" s="2">
        <f t="shared" si="43"/>
        <v>-28.206520037775675</v>
      </c>
      <c r="CS21" s="2">
        <f t="shared" si="43"/>
        <v>8.9483521913581949</v>
      </c>
      <c r="CT21" s="2">
        <f t="shared" si="43"/>
        <v>-11.853880173208729</v>
      </c>
      <c r="CU21" s="2">
        <f t="shared" si="43"/>
        <v>-21.230919213523691</v>
      </c>
      <c r="CV21" s="2">
        <f t="shared" si="43"/>
        <v>31.254648973399867</v>
      </c>
      <c r="CW21" s="2">
        <f t="shared" si="43"/>
        <v>-9.3569728086418067</v>
      </c>
      <c r="CX21" s="2">
        <f t="shared" si="43"/>
        <v>3.0492571913581941</v>
      </c>
      <c r="CY21" s="2">
        <f t="shared" si="43"/>
        <v>-6.9589003086418089</v>
      </c>
      <c r="CZ21" s="2">
        <f t="shared" si="43"/>
        <v>-6.958967808641809</v>
      </c>
      <c r="DA21" s="2">
        <f t="shared" si="43"/>
        <v>-6.959035308641802</v>
      </c>
      <c r="DB21" s="2">
        <f t="shared" si="43"/>
        <v>-6.9591028086418056</v>
      </c>
      <c r="DC21" s="2">
        <f t="shared" si="43"/>
        <v>-6.9591703086418057</v>
      </c>
    </row>
    <row r="22" spans="5:119" x14ac:dyDescent="0.55000000000000004">
      <c r="E22" s="28"/>
      <c r="F22" s="28"/>
      <c r="G22" s="2" t="s">
        <v>9</v>
      </c>
      <c r="H22" s="2"/>
      <c r="I22" s="2" t="s">
        <v>10</v>
      </c>
      <c r="J22" s="2"/>
      <c r="K22" s="2" t="s">
        <v>19</v>
      </c>
      <c r="L22" s="2"/>
      <c r="M22" s="2" t="s">
        <v>11</v>
      </c>
      <c r="N22" s="2"/>
      <c r="O22" t="s">
        <v>32</v>
      </c>
      <c r="Q22" t="s">
        <v>40</v>
      </c>
      <c r="S22" t="s">
        <v>41</v>
      </c>
      <c r="T22" t="s">
        <v>44</v>
      </c>
      <c r="U22" t="s">
        <v>49</v>
      </c>
      <c r="V22" t="s">
        <v>49</v>
      </c>
      <c r="W22" t="s">
        <v>47</v>
      </c>
      <c r="X22" t="s">
        <v>52</v>
      </c>
      <c r="Z22" t="s">
        <v>54</v>
      </c>
      <c r="AA22" t="s">
        <v>57</v>
      </c>
      <c r="AB22" t="s">
        <v>69</v>
      </c>
      <c r="AC22" t="s">
        <v>60</v>
      </c>
      <c r="AD22" t="s">
        <v>70</v>
      </c>
      <c r="AE22" t="s">
        <v>72</v>
      </c>
      <c r="AF22" t="s">
        <v>73</v>
      </c>
      <c r="AG22" t="s">
        <v>75</v>
      </c>
      <c r="AH22" t="s">
        <v>76</v>
      </c>
      <c r="AI22" t="s">
        <v>79</v>
      </c>
      <c r="AJ22" t="s">
        <v>77</v>
      </c>
      <c r="AK22" t="s">
        <v>78</v>
      </c>
      <c r="AL22" t="s">
        <v>80</v>
      </c>
      <c r="AM22" t="s">
        <v>113</v>
      </c>
      <c r="AN22" t="s">
        <v>90</v>
      </c>
      <c r="AO22" t="s">
        <v>111</v>
      </c>
      <c r="AP22" t="s">
        <v>132</v>
      </c>
      <c r="AQ22" t="s">
        <v>129</v>
      </c>
      <c r="AR22" t="s">
        <v>130</v>
      </c>
      <c r="AS22" s="30" t="s">
        <v>90</v>
      </c>
      <c r="AT22" t="s">
        <v>148</v>
      </c>
      <c r="AU22" t="s">
        <v>153</v>
      </c>
      <c r="AV22" t="s">
        <v>162</v>
      </c>
      <c r="AW22" t="s">
        <v>163</v>
      </c>
      <c r="AX22" t="s">
        <v>189</v>
      </c>
      <c r="AY22" t="s">
        <v>192</v>
      </c>
      <c r="AZ22" t="s">
        <v>197</v>
      </c>
      <c r="BA22" t="s">
        <v>198</v>
      </c>
      <c r="BB22" t="s">
        <v>199</v>
      </c>
      <c r="BC22" t="s">
        <v>200</v>
      </c>
      <c r="BD22" s="34" t="s">
        <v>9</v>
      </c>
      <c r="BE22" s="34" t="s">
        <v>201</v>
      </c>
      <c r="BF22" t="s">
        <v>206</v>
      </c>
      <c r="BG22" t="s">
        <v>207</v>
      </c>
      <c r="BH22" t="s">
        <v>208</v>
      </c>
      <c r="BI22" t="s">
        <v>209</v>
      </c>
      <c r="BJ22" t="s">
        <v>210</v>
      </c>
      <c r="BK22" t="s">
        <v>211</v>
      </c>
      <c r="BL22" t="s">
        <v>212</v>
      </c>
      <c r="BM22" t="s">
        <v>213</v>
      </c>
      <c r="BN22" t="s">
        <v>215</v>
      </c>
      <c r="BR22" t="s">
        <v>235</v>
      </c>
    </row>
    <row r="23" spans="5:119" x14ac:dyDescent="0.55000000000000004">
      <c r="E23" s="28"/>
      <c r="F23" s="28"/>
      <c r="G23" s="2" t="s">
        <v>16</v>
      </c>
      <c r="H23" s="2" t="s">
        <v>17</v>
      </c>
      <c r="I23" s="2" t="s">
        <v>16</v>
      </c>
      <c r="J23" s="2" t="s">
        <v>17</v>
      </c>
      <c r="K23" s="2" t="s">
        <v>16</v>
      </c>
      <c r="L23" s="2" t="s">
        <v>17</v>
      </c>
      <c r="M23" s="2" t="s">
        <v>16</v>
      </c>
      <c r="N23" s="2" t="s">
        <v>17</v>
      </c>
      <c r="O23" s="2" t="s">
        <v>16</v>
      </c>
      <c r="P23" s="2" t="s">
        <v>17</v>
      </c>
      <c r="Q23" s="2" t="s">
        <v>16</v>
      </c>
      <c r="R23" s="2" t="s">
        <v>17</v>
      </c>
      <c r="S23" s="2" t="s">
        <v>17</v>
      </c>
      <c r="T23" s="2" t="s">
        <v>17</v>
      </c>
      <c r="U23" s="2" t="s">
        <v>46</v>
      </c>
      <c r="V23" s="2" t="s">
        <v>46</v>
      </c>
      <c r="W23" s="2" t="s">
        <v>46</v>
      </c>
      <c r="X23" s="2" t="s">
        <v>46</v>
      </c>
      <c r="Z23" s="2" t="s">
        <v>46</v>
      </c>
      <c r="AA23" s="2" t="s">
        <v>46</v>
      </c>
    </row>
    <row r="24" spans="5:119" x14ac:dyDescent="0.55000000000000004">
      <c r="F24" t="s">
        <v>18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v>94.753086419753259</v>
      </c>
      <c r="R24" s="2"/>
      <c r="S24" s="2"/>
      <c r="T24" s="2">
        <v>27.654320987654074</v>
      </c>
      <c r="U24" s="2"/>
      <c r="V24" s="2"/>
      <c r="W24" s="2"/>
      <c r="X24" s="2"/>
      <c r="Y24" s="2">
        <f>Z3</f>
        <v>36.604938271605207</v>
      </c>
      <c r="Z24" s="2">
        <v>27.500000000000099</v>
      </c>
      <c r="AA24" s="2">
        <v>33.580246913580439</v>
      </c>
      <c r="AB24" s="2">
        <v>22.345679012345727</v>
      </c>
      <c r="AC24" s="2">
        <v>28.271604938272105</v>
      </c>
      <c r="AD24" s="2">
        <f t="shared" ref="AD24:AK24" si="44">AE3</f>
        <v>35.123456790123882</v>
      </c>
      <c r="AE24" s="2">
        <f t="shared" si="44"/>
        <v>49.166666666666295</v>
      </c>
      <c r="AF24" s="2">
        <v>59.444444444444116</v>
      </c>
      <c r="AG24" s="2">
        <f t="shared" si="44"/>
        <v>0</v>
      </c>
      <c r="AH24" s="2">
        <f t="shared" si="44"/>
        <v>10.432098765431959</v>
      </c>
      <c r="AI24" s="2">
        <f t="shared" si="44"/>
        <v>32.376543209876246</v>
      </c>
      <c r="AJ24" s="2">
        <v>17.716049382715923</v>
      </c>
      <c r="AK24" s="2">
        <f t="shared" si="44"/>
        <v>34.38271604938268</v>
      </c>
      <c r="AL24" s="2">
        <f>AM3</f>
        <v>21.820987654321172</v>
      </c>
      <c r="AM24" s="2">
        <v>36.388888888888559</v>
      </c>
      <c r="AN24" s="2">
        <v>32.685185185185276</v>
      </c>
      <c r="AO24" s="2">
        <v>19.25925925925938</v>
      </c>
      <c r="AP24" s="2">
        <v>36.388888888888559</v>
      </c>
      <c r="AQ24" s="2">
        <v>85.462962962962848</v>
      </c>
      <c r="AR24" s="2">
        <v>33.086419753086119</v>
      </c>
      <c r="AS24" s="2">
        <v>31.26543209876553</v>
      </c>
      <c r="AT24" s="2">
        <f>AU3</f>
        <v>58.425925925926322</v>
      </c>
      <c r="AU24" s="2">
        <f>AV3</f>
        <v>48.919753086419824</v>
      </c>
      <c r="AV24" s="2">
        <f>AW3</f>
        <v>24.938271604938322</v>
      </c>
      <c r="AW24" s="2">
        <f>AX3</f>
        <v>74.444444444444798</v>
      </c>
      <c r="AX24" s="2">
        <f>AY3</f>
        <v>23.858024691357855</v>
      </c>
      <c r="AY24" s="2">
        <v>59.320987654320945</v>
      </c>
      <c r="AZ24" s="2">
        <v>59.598765432098624</v>
      </c>
      <c r="BA24" s="2">
        <v>72.314814814815193</v>
      </c>
      <c r="BB24" s="2">
        <v>76.851851851852075</v>
      </c>
      <c r="BC24" s="2">
        <v>27.067901234567913</v>
      </c>
      <c r="BD24" s="2">
        <v>0</v>
      </c>
      <c r="BE24" s="2">
        <v>0</v>
      </c>
      <c r="BF24" s="2">
        <v>0</v>
      </c>
      <c r="BG24" s="2">
        <v>49.87654320987658</v>
      </c>
      <c r="BH24" s="2">
        <v>22.37654320987653</v>
      </c>
      <c r="BI24" s="2">
        <v>31.574074074074559</v>
      </c>
      <c r="BJ24" s="2">
        <v>40.77160493827148</v>
      </c>
      <c r="BK24" s="2">
        <v>37.006172839506057</v>
      </c>
      <c r="BL24" s="2">
        <v>27.098765432098716</v>
      </c>
      <c r="BM24" s="2">
        <v>25.555555555555259</v>
      </c>
      <c r="BN24" s="2">
        <f t="shared" ref="BN24:BY24" si="45">BO3</f>
        <v>18.364197530864217</v>
      </c>
      <c r="BO24" s="2">
        <f t="shared" si="45"/>
        <v>11.851851851851691</v>
      </c>
      <c r="BP24" s="2">
        <f t="shared" si="45"/>
        <v>28.981481481481424</v>
      </c>
      <c r="BQ24" s="2">
        <f t="shared" si="45"/>
        <v>34.38271604938268</v>
      </c>
      <c r="BR24" s="2">
        <f t="shared" si="45"/>
        <v>25.555555555555813</v>
      </c>
      <c r="BS24" s="2">
        <f t="shared" si="45"/>
        <v>25.555555555555813</v>
      </c>
      <c r="BT24" s="2">
        <f t="shared" si="45"/>
        <v>61.820987654320604</v>
      </c>
      <c r="BU24" s="2">
        <f t="shared" si="45"/>
        <v>28.11728395061705</v>
      </c>
      <c r="BV24" s="2">
        <f t="shared" si="45"/>
        <v>45.987654320987659</v>
      </c>
      <c r="BW24" s="2">
        <f t="shared" si="45"/>
        <v>74.228395061728392</v>
      </c>
      <c r="BX24" s="2">
        <f t="shared" si="45"/>
        <v>85.03086419753086</v>
      </c>
      <c r="BY24" s="2">
        <f t="shared" si="45"/>
        <v>50.9567901234565</v>
      </c>
      <c r="BZ24" s="2">
        <f>CA3</f>
        <v>25.555555555555813</v>
      </c>
      <c r="CA24" s="2">
        <f>CB3</f>
        <v>25.555555555555813</v>
      </c>
      <c r="CB24" s="2">
        <f>CC3</f>
        <v>25.555555555555813</v>
      </c>
      <c r="CC24" s="2">
        <f>CD3</f>
        <v>31.944444444444443</v>
      </c>
      <c r="CD24" s="2">
        <f>CE3</f>
        <v>21.358024691358196</v>
      </c>
      <c r="CE24" s="2">
        <v>42.438271604938748</v>
      </c>
      <c r="CF24" s="2">
        <f t="shared" ref="CF24:CW24" si="46">CG3</f>
        <v>54.320987654320987</v>
      </c>
      <c r="CG24" s="2">
        <f t="shared" si="46"/>
        <v>53.518518518518512</v>
      </c>
      <c r="CH24" s="2">
        <f t="shared" si="46"/>
        <v>61.35802469135762</v>
      </c>
      <c r="CI24" s="2">
        <f t="shared" si="46"/>
        <v>57.16049382716055</v>
      </c>
      <c r="CJ24" s="2">
        <f t="shared" si="46"/>
        <v>52.561728395061543</v>
      </c>
      <c r="CK24" s="2">
        <f t="shared" si="46"/>
        <v>51.944444444444599</v>
      </c>
      <c r="CL24" s="2">
        <f t="shared" si="46"/>
        <v>21.358024691358196</v>
      </c>
      <c r="CM24" s="2">
        <f t="shared" si="46"/>
        <v>21.358024691358196</v>
      </c>
      <c r="CN24" s="2">
        <f t="shared" si="46"/>
        <v>21.358024691358196</v>
      </c>
      <c r="CO24" s="2">
        <f t="shared" si="46"/>
        <v>21.358024691358196</v>
      </c>
      <c r="CP24" s="2">
        <f t="shared" si="46"/>
        <v>28.117283950617605</v>
      </c>
      <c r="CQ24" s="2">
        <f t="shared" si="46"/>
        <v>21.358024691358196</v>
      </c>
      <c r="CR24" s="2">
        <f t="shared" si="46"/>
        <v>21.358024691358196</v>
      </c>
      <c r="CS24" s="2">
        <f t="shared" si="46"/>
        <v>21.358024691358196</v>
      </c>
      <c r="CT24" s="2">
        <f t="shared" si="46"/>
        <v>21.358024691358196</v>
      </c>
      <c r="CU24" s="2">
        <f t="shared" si="46"/>
        <v>63.950617283951047</v>
      </c>
      <c r="CV24" s="2">
        <f t="shared" si="46"/>
        <v>21.358024691358196</v>
      </c>
      <c r="CW24" s="2">
        <f t="shared" si="46"/>
        <v>21.358024691358196</v>
      </c>
    </row>
    <row r="25" spans="5:119" x14ac:dyDescent="0.55000000000000004">
      <c r="F25" t="s">
        <v>2</v>
      </c>
      <c r="G25" s="2">
        <v>39.331642499999994</v>
      </c>
      <c r="H25" s="2">
        <v>11.449282499999999</v>
      </c>
      <c r="I25" s="2">
        <v>55.038622500000002</v>
      </c>
      <c r="J25" s="2">
        <v>13.284067499999999</v>
      </c>
      <c r="K25" s="2">
        <v>17.790030000000002</v>
      </c>
      <c r="L25" s="2">
        <v>3.4493175000000003</v>
      </c>
      <c r="M25" s="2">
        <v>4.2933375000000007</v>
      </c>
      <c r="N25" s="2">
        <v>0.6969375000000001</v>
      </c>
      <c r="O25" s="2">
        <v>57.471254999999999</v>
      </c>
      <c r="P25" s="2">
        <v>18.013455</v>
      </c>
      <c r="Q25" s="2">
        <v>51.882592500000015</v>
      </c>
      <c r="R25" s="2">
        <v>11.530552500000001</v>
      </c>
      <c r="S25" s="2">
        <v>11.165849999999999</v>
      </c>
      <c r="T25" s="2">
        <v>12.377745000000001</v>
      </c>
      <c r="U25" s="2">
        <v>8.7356475000000007</v>
      </c>
      <c r="V25" s="2">
        <v>47.937622499999996</v>
      </c>
      <c r="W25" s="2">
        <v>9.7463250000000006</v>
      </c>
      <c r="X25" s="2">
        <v>11.798730000000001</v>
      </c>
      <c r="Y25" s="2">
        <v>18.651870000000002</v>
      </c>
      <c r="Z25" s="2">
        <v>10.519807500000001</v>
      </c>
      <c r="AA25" s="2">
        <v>16.624912500000004</v>
      </c>
      <c r="AB25" s="2">
        <v>6.8025825000000015</v>
      </c>
      <c r="AC25" s="2">
        <v>13.358722500000001</v>
      </c>
      <c r="AD25" s="2">
        <v>21.166852500000001</v>
      </c>
      <c r="AE25" s="2">
        <v>30.598357500000002</v>
      </c>
      <c r="AF25" s="2">
        <v>36.053505000000001</v>
      </c>
      <c r="AG25" s="2">
        <v>4.3799400000000004</v>
      </c>
      <c r="AH25" s="2">
        <f>AI5</f>
        <v>0.70375500000000002</v>
      </c>
      <c r="AI25" s="2">
        <f>AJ5</f>
        <v>19.962585000000001</v>
      </c>
      <c r="AJ25" s="2">
        <v>4.1843250000000003</v>
      </c>
      <c r="AK25" s="2">
        <f>AL5</f>
        <v>0</v>
      </c>
      <c r="AL25" s="2">
        <f>AM5</f>
        <v>22.5195525</v>
      </c>
      <c r="AM25" s="2">
        <v>18.155205000000002</v>
      </c>
      <c r="AN25" s="2">
        <v>12.493304999999999</v>
      </c>
      <c r="AO25" s="2">
        <v>3.3001425000000002</v>
      </c>
      <c r="AP25" s="2">
        <v>15.648592499999999</v>
      </c>
      <c r="AQ25" s="2">
        <v>35.909797500000003</v>
      </c>
      <c r="AR25" s="2">
        <v>12.4278975</v>
      </c>
      <c r="AS25" s="2">
        <v>10.9875825</v>
      </c>
      <c r="AT25" s="2">
        <f>AU5</f>
        <v>28.509435</v>
      </c>
      <c r="AU25" s="2">
        <v>27.798862499999998</v>
      </c>
      <c r="AV25" s="2">
        <v>10.8543375</v>
      </c>
      <c r="AW25" s="2">
        <f>AX5</f>
        <v>39.259349999999998</v>
      </c>
      <c r="AX25" s="2">
        <v>9.2736225000000001</v>
      </c>
      <c r="AY25" s="2">
        <v>30.652290000000004</v>
      </c>
      <c r="AZ25" s="2">
        <v>26.485447500000003</v>
      </c>
      <c r="BA25" s="2">
        <v>24.090209999999999</v>
      </c>
      <c r="BB25" s="2">
        <v>21.176369999999999</v>
      </c>
      <c r="BC25" s="2">
        <v>12.65868</v>
      </c>
      <c r="BD25" s="2">
        <v>41.090220000000002</v>
      </c>
      <c r="BE25" s="2">
        <v>10.930005</v>
      </c>
      <c r="BF25" s="2">
        <v>7.5529125000000006</v>
      </c>
      <c r="BG25" s="2">
        <v>20.519797499999999</v>
      </c>
      <c r="BH25" s="2">
        <v>17.688307500000001</v>
      </c>
      <c r="BI25" s="2">
        <v>17.671432500000002</v>
      </c>
      <c r="BJ25" s="2">
        <v>22.940145000000005</v>
      </c>
      <c r="BK25" s="2">
        <v>18.583155000000001</v>
      </c>
      <c r="BL25" s="2">
        <v>10.917585000000001</v>
      </c>
      <c r="BM25" s="2">
        <v>9.1196550000000016</v>
      </c>
      <c r="BN25" s="2">
        <f t="shared" ref="BN25:BY25" si="47">BO5</f>
        <v>1.0930949999999999</v>
      </c>
      <c r="BO25" s="2">
        <f t="shared" si="47"/>
        <v>0.59028749999999997</v>
      </c>
      <c r="BP25" s="2">
        <f t="shared" si="47"/>
        <v>16.363620000000001</v>
      </c>
      <c r="BQ25" s="2">
        <f t="shared" si="47"/>
        <v>7.00542</v>
      </c>
      <c r="BR25" s="2">
        <f t="shared" si="47"/>
        <v>13.293315</v>
      </c>
      <c r="BS25" s="2">
        <f t="shared" si="47"/>
        <v>5.4079649999999999</v>
      </c>
      <c r="BT25" s="2">
        <f t="shared" si="47"/>
        <v>38.295450000000002</v>
      </c>
      <c r="BU25" s="2">
        <f t="shared" si="47"/>
        <v>13.699867500000002</v>
      </c>
      <c r="BV25" s="2">
        <f t="shared" si="47"/>
        <v>24.836895000000002</v>
      </c>
      <c r="BW25" s="2">
        <f t="shared" si="47"/>
        <v>37.787377500000005</v>
      </c>
      <c r="BX25" s="2">
        <f t="shared" si="47"/>
        <v>43.950667500000002</v>
      </c>
      <c r="BY25" s="2">
        <f t="shared" si="47"/>
        <v>30.725257500000001</v>
      </c>
      <c r="BZ25" s="2">
        <f>CA5</f>
        <v>39.150945</v>
      </c>
      <c r="CA25" s="2">
        <f>CB5</f>
        <v>5.6808675000000006</v>
      </c>
      <c r="CB25" s="2">
        <f>CC5</f>
        <v>29.965544999999999</v>
      </c>
      <c r="CC25" s="2">
        <f>CD5</f>
        <v>12.829320000000003</v>
      </c>
      <c r="CD25" s="2">
        <f>CE5</f>
        <v>8.945707500000001</v>
      </c>
      <c r="CE25" s="2">
        <v>4.9593600000000002</v>
      </c>
      <c r="CF25" s="2">
        <f t="shared" ref="CF25:CW25" si="48">CG5</f>
        <v>12.968910000000001</v>
      </c>
      <c r="CG25" s="2">
        <f t="shared" si="48"/>
        <v>0.81614249999999999</v>
      </c>
      <c r="CH25" s="2">
        <f t="shared" si="48"/>
        <v>22.153972499999998</v>
      </c>
      <c r="CI25" s="2">
        <f t="shared" si="48"/>
        <v>27.8702775</v>
      </c>
      <c r="CJ25" s="2">
        <f t="shared" si="48"/>
        <v>28.619932500000001</v>
      </c>
      <c r="CK25" s="2">
        <f t="shared" si="48"/>
        <v>26.669520000000002</v>
      </c>
      <c r="CL25" s="2">
        <f t="shared" si="48"/>
        <v>1.5319125</v>
      </c>
      <c r="CM25" s="2">
        <f t="shared" si="48"/>
        <v>44.794012500000001</v>
      </c>
      <c r="CN25" s="2">
        <f t="shared" si="48"/>
        <v>31.777244999999997</v>
      </c>
      <c r="CO25" s="2">
        <f t="shared" si="48"/>
        <v>14.83812</v>
      </c>
      <c r="CP25" s="2">
        <f t="shared" si="48"/>
        <v>11.318670000000001</v>
      </c>
      <c r="CQ25" s="2">
        <f t="shared" si="48"/>
        <v>34.696080000000009</v>
      </c>
      <c r="CR25" s="2">
        <f t="shared" si="48"/>
        <v>12.409672500000001</v>
      </c>
      <c r="CS25" s="2">
        <f t="shared" si="48"/>
        <v>20.549497500000001</v>
      </c>
      <c r="CT25" s="2">
        <f t="shared" si="48"/>
        <v>32.976382499999993</v>
      </c>
      <c r="CU25" s="2">
        <f t="shared" si="48"/>
        <v>10.241167500000001</v>
      </c>
      <c r="CV25" s="2">
        <f t="shared" si="48"/>
        <v>30.714997500000003</v>
      </c>
      <c r="CW25" s="2">
        <f t="shared" si="48"/>
        <v>18.308767500000002</v>
      </c>
    </row>
    <row r="26" spans="5:119" x14ac:dyDescent="0.55000000000000004">
      <c r="F26" t="s">
        <v>12</v>
      </c>
      <c r="G26" s="2">
        <v>3.6727258999999997</v>
      </c>
      <c r="H26" s="2">
        <v>0.68769525999999992</v>
      </c>
      <c r="I26" s="2">
        <v>0.99815105999999987</v>
      </c>
      <c r="J26" s="2">
        <v>0.39270593999999992</v>
      </c>
      <c r="K26" s="2">
        <v>9.7010492599999978</v>
      </c>
      <c r="L26" s="2">
        <v>1.5477366599999998</v>
      </c>
      <c r="M26" s="2">
        <v>8.2026401600000014</v>
      </c>
      <c r="N26" s="2">
        <v>1.0255177199999999</v>
      </c>
      <c r="O26" s="2">
        <v>1.2762849199999999</v>
      </c>
      <c r="P26" s="2">
        <v>0.36747905999999997</v>
      </c>
      <c r="Q26" s="2">
        <v>5.2638212600000003</v>
      </c>
      <c r="R26" s="2">
        <v>5.2239537799999995</v>
      </c>
      <c r="S26" s="2">
        <v>0.61708252000000008</v>
      </c>
      <c r="T26" s="2">
        <v>0.56005925999999995</v>
      </c>
      <c r="U26" s="2">
        <v>0.7392376799999999</v>
      </c>
      <c r="V26" s="2">
        <v>3.6391276000000001</v>
      </c>
      <c r="W26" s="2">
        <v>0.79723697999999998</v>
      </c>
      <c r="X26" s="2">
        <v>0.6549228399999999</v>
      </c>
      <c r="Y26" s="2">
        <v>2.6906419599999998</v>
      </c>
      <c r="Z26" s="2">
        <v>0.70485103999999998</v>
      </c>
      <c r="AA26" s="2">
        <v>0.41688169999999991</v>
      </c>
      <c r="AB26" s="2">
        <v>1.1374244599999999</v>
      </c>
      <c r="AC26" s="2">
        <v>0.58513597999999989</v>
      </c>
      <c r="AD26" s="2">
        <v>0.35828175999999995</v>
      </c>
      <c r="AE26" s="2">
        <v>0.28128721999999995</v>
      </c>
      <c r="AF26" s="2">
        <v>0.22572802</v>
      </c>
      <c r="AG26" s="2">
        <v>0.92415972000000002</v>
      </c>
      <c r="AH26" s="2">
        <f>AI15</f>
        <v>0</v>
      </c>
      <c r="AI26" s="2">
        <f>AJ15</f>
        <v>0.55653049999999993</v>
      </c>
      <c r="AJ26" s="2">
        <v>0.96102399999999988</v>
      </c>
      <c r="AK26" s="2">
        <f>AL15</f>
        <v>0</v>
      </c>
      <c r="AL26" s="2">
        <f>AM15</f>
        <v>0</v>
      </c>
      <c r="AM26" s="2">
        <v>0.32599736000000001</v>
      </c>
      <c r="AN26" s="2">
        <v>0.60743473999999997</v>
      </c>
      <c r="AO26" s="2">
        <v>1.46788908</v>
      </c>
      <c r="AP26" s="2">
        <v>0.44717647999999988</v>
      </c>
      <c r="AQ26" s="2">
        <v>0.17658815999999999</v>
      </c>
      <c r="AR26" s="2">
        <v>0.81574419999999992</v>
      </c>
      <c r="AS26" s="2">
        <v>0.6825147399999999</v>
      </c>
      <c r="AT26" s="2">
        <f>AU15</f>
        <v>0</v>
      </c>
      <c r="AU26" s="2">
        <v>0.25087981999999998</v>
      </c>
      <c r="AV26" s="2">
        <v>0.66847477999999994</v>
      </c>
      <c r="AW26" s="2">
        <f>AX15</f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0.73995094000000006</v>
      </c>
      <c r="BD26" s="2">
        <v>2.39981958</v>
      </c>
      <c r="BE26" s="2">
        <v>11.646784999999999</v>
      </c>
      <c r="BF26" s="2">
        <v>11.24439374</v>
      </c>
      <c r="BG26" s="2">
        <v>0</v>
      </c>
      <c r="BH26" s="2">
        <v>0.51767660000000004</v>
      </c>
      <c r="BI26" s="2">
        <v>0.46872443999999996</v>
      </c>
      <c r="BJ26" s="2">
        <v>2.4905162199999999</v>
      </c>
      <c r="BK26" s="2">
        <v>0.44436097999999996</v>
      </c>
      <c r="BL26" s="2">
        <v>0</v>
      </c>
      <c r="BM26" s="2">
        <v>0.32201812000000002</v>
      </c>
      <c r="BN26" s="2">
        <f t="shared" ref="BN26:BY26" si="49">BO15</f>
        <v>0</v>
      </c>
      <c r="BO26" s="2">
        <f t="shared" si="49"/>
        <v>0</v>
      </c>
      <c r="BP26" s="2">
        <f t="shared" si="49"/>
        <v>0</v>
      </c>
      <c r="BQ26" s="2">
        <f t="shared" si="49"/>
        <v>0</v>
      </c>
      <c r="BR26" s="2">
        <f t="shared" si="49"/>
        <v>0.58738838000000004</v>
      </c>
      <c r="BS26" s="2">
        <f t="shared" si="49"/>
        <v>1.5908701199999997</v>
      </c>
      <c r="BT26" s="2">
        <f t="shared" si="49"/>
        <v>0.23826637999999994</v>
      </c>
      <c r="BU26" s="2">
        <f t="shared" si="49"/>
        <v>0</v>
      </c>
      <c r="BV26" s="2">
        <f t="shared" si="49"/>
        <v>0.31135676000000001</v>
      </c>
      <c r="BW26" s="2">
        <f t="shared" si="49"/>
        <v>0.14276461999999998</v>
      </c>
      <c r="BX26" s="2">
        <f t="shared" si="49"/>
        <v>0.22433903999999999</v>
      </c>
      <c r="BY26" s="2">
        <f t="shared" si="49"/>
        <v>0.27494295999999996</v>
      </c>
      <c r="BZ26" s="2">
        <f>CA15</f>
        <v>0</v>
      </c>
      <c r="CA26" s="2">
        <f>CB15</f>
        <v>0</v>
      </c>
      <c r="CB26" s="2">
        <f>CC15</f>
        <v>0</v>
      </c>
      <c r="CC26" s="2">
        <f>CD15</f>
        <v>0.53111592000000007</v>
      </c>
      <c r="CD26" s="2">
        <f>CE15</f>
        <v>6.2449291600000008</v>
      </c>
      <c r="CE26" s="2">
        <v>8.6009770999999979</v>
      </c>
      <c r="CF26" s="2">
        <f t="shared" ref="CF26:CW26" si="50">CG15</f>
        <v>0.59673583999999991</v>
      </c>
      <c r="CG26" s="2">
        <f t="shared" si="50"/>
        <v>1.0663987800000001</v>
      </c>
      <c r="CH26" s="2">
        <f t="shared" si="50"/>
        <v>0.46906229999999999</v>
      </c>
      <c r="CI26" s="2">
        <f t="shared" si="50"/>
        <v>0.11596105999999999</v>
      </c>
      <c r="CJ26" s="2">
        <f t="shared" si="50"/>
        <v>0.22524</v>
      </c>
      <c r="CK26" s="2">
        <f t="shared" si="50"/>
        <v>0.27404200000000001</v>
      </c>
      <c r="CL26" s="2">
        <f t="shared" si="50"/>
        <v>0</v>
      </c>
      <c r="CM26" s="2">
        <f t="shared" si="50"/>
        <v>0</v>
      </c>
      <c r="CN26" s="2">
        <f t="shared" si="50"/>
        <v>0</v>
      </c>
      <c r="CO26" s="2">
        <f t="shared" si="50"/>
        <v>0</v>
      </c>
      <c r="CP26" s="2">
        <f t="shared" si="50"/>
        <v>0</v>
      </c>
      <c r="CQ26" s="2">
        <f t="shared" si="50"/>
        <v>0.50615182000000003</v>
      </c>
      <c r="CR26" s="2">
        <f t="shared" si="50"/>
        <v>0</v>
      </c>
      <c r="CS26" s="2">
        <f t="shared" si="50"/>
        <v>0.38782574000000003</v>
      </c>
      <c r="CT26" s="2">
        <f t="shared" si="50"/>
        <v>0.24412261999999996</v>
      </c>
      <c r="CU26" s="2">
        <f t="shared" si="50"/>
        <v>13.026379999999998</v>
      </c>
      <c r="CV26" s="2">
        <f t="shared" si="50"/>
        <v>0</v>
      </c>
      <c r="CW26" s="2">
        <f t="shared" si="50"/>
        <v>0</v>
      </c>
    </row>
    <row r="27" spans="5:119" x14ac:dyDescent="0.55000000000000004">
      <c r="F27" t="s">
        <v>24</v>
      </c>
      <c r="G27" s="2">
        <v>2.8212299999999999</v>
      </c>
      <c r="H27" s="2">
        <v>1.7029575000000001</v>
      </c>
      <c r="I27" s="2">
        <v>2.493045</v>
      </c>
      <c r="J27" s="2">
        <v>1.5048450000000002</v>
      </c>
      <c r="K27" s="2">
        <v>2.2730625</v>
      </c>
      <c r="L27" s="2">
        <v>1.2750075000000001</v>
      </c>
      <c r="M27" s="2">
        <v>1.5973199999999996</v>
      </c>
      <c r="N27" s="2">
        <v>0.58016250000000003</v>
      </c>
      <c r="O27" s="2">
        <v>2.9536650000000004</v>
      </c>
      <c r="P27" s="2">
        <v>1.7446049999999997</v>
      </c>
      <c r="Q27" s="2">
        <v>4.3168274999999996</v>
      </c>
      <c r="R27" s="2">
        <v>1.8454500000000003</v>
      </c>
      <c r="S27" s="2">
        <v>1.7456850000000004</v>
      </c>
      <c r="T27" s="2">
        <v>0.76179332598425198</v>
      </c>
      <c r="U27" s="2">
        <v>1.6635375000000001</v>
      </c>
      <c r="V27" s="2">
        <v>3.4188750000000003</v>
      </c>
      <c r="W27" s="2">
        <v>1.6964774999999999</v>
      </c>
      <c r="X27" s="2">
        <v>1.7973225000000002</v>
      </c>
      <c r="Y27" s="2">
        <v>2.8433024999999996</v>
      </c>
      <c r="Z27" s="2">
        <v>1.8567900000000002</v>
      </c>
      <c r="AA27" s="2">
        <v>1.8654975</v>
      </c>
      <c r="AB27" s="2">
        <v>1.5632325000000002</v>
      </c>
      <c r="AC27" s="2">
        <v>1.8430875000000002</v>
      </c>
      <c r="AD27" s="2">
        <v>1.8029924999999998</v>
      </c>
      <c r="AE27" s="2">
        <v>1.8060300000000002</v>
      </c>
      <c r="AF27" s="2">
        <v>1.7275949999999998</v>
      </c>
      <c r="AG27" s="2">
        <v>1.3691024999999999</v>
      </c>
      <c r="AH27" s="2">
        <f>AI13</f>
        <v>0</v>
      </c>
      <c r="AI27" s="2">
        <f>AJ13</f>
        <v>1.1352149999999999</v>
      </c>
      <c r="AJ27" s="2">
        <v>1.3153724999999998</v>
      </c>
      <c r="AK27" s="2">
        <f>AL13</f>
        <v>0</v>
      </c>
      <c r="AL27" s="2">
        <f>AM13</f>
        <v>4.3528725000000001</v>
      </c>
      <c r="AM27" s="2">
        <v>1.6748099999999999</v>
      </c>
      <c r="AN27" s="2">
        <v>1.5871949999999999</v>
      </c>
      <c r="AO27" s="2">
        <v>1.3354874999999999</v>
      </c>
      <c r="AP27" s="2">
        <v>1.6524000000000001</v>
      </c>
      <c r="AQ27" s="2">
        <v>1.4354549999999999</v>
      </c>
      <c r="AR27" s="2">
        <v>1.7622225000000002</v>
      </c>
      <c r="AS27" s="2">
        <v>1.6627949999999998</v>
      </c>
      <c r="AT27" s="2">
        <f>AU13</f>
        <v>8.8773975000000007</v>
      </c>
      <c r="AU27" s="2">
        <v>1.9319175000000002</v>
      </c>
      <c r="AV27" s="2">
        <v>1.7228025</v>
      </c>
      <c r="AW27" s="2">
        <f>AX13</f>
        <v>43.902742500000002</v>
      </c>
      <c r="AX27" s="2">
        <v>0</v>
      </c>
      <c r="AY27" s="2">
        <v>1.9014750000000005</v>
      </c>
      <c r="AZ27" s="2">
        <v>3.3430050000000002</v>
      </c>
      <c r="BA27" s="2">
        <v>1.9016099999999998</v>
      </c>
      <c r="BB27" s="2">
        <v>1.9016774999999999</v>
      </c>
      <c r="BC27" s="2">
        <v>1.8255375</v>
      </c>
      <c r="BD27" s="2">
        <v>2.8071225000000002</v>
      </c>
      <c r="BE27" s="2">
        <v>2.3459625000000002</v>
      </c>
      <c r="BF27" s="2">
        <v>2.2807575000000004</v>
      </c>
      <c r="BG27" s="2">
        <v>2.9479275000000005</v>
      </c>
      <c r="BH27" s="2">
        <v>1.66428</v>
      </c>
      <c r="BI27" s="2">
        <v>1.6791975000000001</v>
      </c>
      <c r="BJ27" s="2">
        <v>2.7420525000000002</v>
      </c>
      <c r="BK27" s="2">
        <v>1.7758575000000003</v>
      </c>
      <c r="BL27" s="2">
        <v>2.9625075000000005</v>
      </c>
      <c r="BM27" s="2">
        <v>1.5379874999999998</v>
      </c>
      <c r="BN27" s="2">
        <f t="shared" ref="BN27:BY27" si="51">BO13</f>
        <v>0</v>
      </c>
      <c r="BO27" s="2">
        <f t="shared" si="51"/>
        <v>0</v>
      </c>
      <c r="BP27" s="2">
        <f t="shared" si="51"/>
        <v>0</v>
      </c>
      <c r="BQ27" s="2">
        <f t="shared" si="51"/>
        <v>0</v>
      </c>
      <c r="BR27" s="2">
        <f t="shared" si="51"/>
        <v>1.6312725000000001</v>
      </c>
      <c r="BS27" s="2">
        <f t="shared" si="51"/>
        <v>1.6849350000000003</v>
      </c>
      <c r="BT27" s="2">
        <f t="shared" si="51"/>
        <v>1.495395</v>
      </c>
      <c r="BU27" s="2">
        <f t="shared" si="51"/>
        <v>0</v>
      </c>
      <c r="BV27" s="2">
        <f t="shared" si="51"/>
        <v>1.7327250000000003</v>
      </c>
      <c r="BW27" s="2">
        <f t="shared" si="51"/>
        <v>1.3880025</v>
      </c>
      <c r="BX27" s="2">
        <f t="shared" si="51"/>
        <v>1.3498649999999999</v>
      </c>
      <c r="BY27" s="2">
        <f t="shared" si="51"/>
        <v>1.6724474999999999</v>
      </c>
      <c r="BZ27" s="2">
        <f>CA13</f>
        <v>0</v>
      </c>
      <c r="CA27" s="2">
        <f>CB13</f>
        <v>0</v>
      </c>
      <c r="CB27" s="2">
        <f>CC13</f>
        <v>0</v>
      </c>
      <c r="CC27" s="2">
        <f>CD13</f>
        <v>1.7289450000000002</v>
      </c>
      <c r="CD27" s="2">
        <f>CE13</f>
        <v>1.7187524999999999</v>
      </c>
      <c r="CE27" s="2">
        <v>1.6503750000000001</v>
      </c>
      <c r="CF27" s="2">
        <f t="shared" ref="CF27:CW27" si="52">CG13</f>
        <v>1.8355275</v>
      </c>
      <c r="CG27" s="2">
        <f t="shared" si="52"/>
        <v>0.70713000000000004</v>
      </c>
      <c r="CH27" s="2">
        <f t="shared" si="52"/>
        <v>1.6364025</v>
      </c>
      <c r="CI27" s="2">
        <f t="shared" si="52"/>
        <v>1.9696499999999999</v>
      </c>
      <c r="CJ27" s="2">
        <f t="shared" si="52"/>
        <v>1.4214825000000002</v>
      </c>
      <c r="CK27" s="2">
        <f t="shared" si="52"/>
        <v>1.6364025</v>
      </c>
      <c r="CL27" s="2">
        <f t="shared" si="52"/>
        <v>0</v>
      </c>
      <c r="CM27" s="2">
        <f t="shared" si="52"/>
        <v>0</v>
      </c>
      <c r="CN27" s="2">
        <f t="shared" si="52"/>
        <v>0</v>
      </c>
      <c r="CO27" s="2">
        <f t="shared" si="52"/>
        <v>0</v>
      </c>
      <c r="CP27" s="2">
        <f t="shared" si="52"/>
        <v>1.568295</v>
      </c>
      <c r="CQ27" s="2">
        <f t="shared" si="52"/>
        <v>1.1788874999999999</v>
      </c>
      <c r="CR27" s="2">
        <f t="shared" si="52"/>
        <v>0</v>
      </c>
      <c r="CS27" s="2">
        <f t="shared" si="52"/>
        <v>2.0973599999999997</v>
      </c>
      <c r="CT27" s="2">
        <f t="shared" si="52"/>
        <v>1.5645150000000001</v>
      </c>
      <c r="CU27" s="2">
        <f t="shared" si="52"/>
        <v>2.5491375000000005</v>
      </c>
      <c r="CV27" s="2">
        <f t="shared" si="52"/>
        <v>0</v>
      </c>
      <c r="CW27" s="2">
        <f t="shared" si="52"/>
        <v>0</v>
      </c>
    </row>
    <row r="28" spans="5:119" x14ac:dyDescent="0.55000000000000004">
      <c r="F28" t="s">
        <v>7</v>
      </c>
      <c r="G28" s="2">
        <v>5.8741935200000004</v>
      </c>
      <c r="H28" s="2">
        <v>1.9667284000000003</v>
      </c>
      <c r="I28" s="2">
        <v>7.3866582400000009</v>
      </c>
      <c r="J28" s="2">
        <v>2.0049775200000006</v>
      </c>
      <c r="K28" s="2">
        <v>3.5463136800000004</v>
      </c>
      <c r="L28" s="2">
        <v>0.82590040000000009</v>
      </c>
      <c r="M28" s="2">
        <v>2.0420452</v>
      </c>
      <c r="N28" s="2">
        <v>0.41771288000000006</v>
      </c>
      <c r="O28" s="2">
        <v>7.5813743200000001</v>
      </c>
      <c r="P28" s="2">
        <v>2.7258036000000003</v>
      </c>
      <c r="Q28" s="2">
        <v>9.0030896800000004</v>
      </c>
      <c r="R28" s="2">
        <v>2.7410884800000002</v>
      </c>
      <c r="S28" s="2">
        <v>2.13641272</v>
      </c>
      <c r="T28" s="2">
        <v>1.9802411200000001</v>
      </c>
      <c r="U28" s="2">
        <v>1.4268103200000002</v>
      </c>
      <c r="V28" s="2">
        <v>6.0337617600000009</v>
      </c>
      <c r="W28" s="2">
        <v>1.81328888</v>
      </c>
      <c r="X28" s="2">
        <v>1.6836258400000002</v>
      </c>
      <c r="Y28" s="2">
        <v>2.22767896</v>
      </c>
      <c r="Z28" s="2">
        <v>1.3864198400000003</v>
      </c>
      <c r="AA28" s="2">
        <v>2.3055801599999999</v>
      </c>
      <c r="AB28" s="2">
        <v>1.6382142400000002</v>
      </c>
      <c r="AC28" s="2">
        <v>1.71611544</v>
      </c>
      <c r="AD28" s="2">
        <v>3.0800140800000002</v>
      </c>
      <c r="AE28" s="2">
        <v>4.6122679199999999</v>
      </c>
      <c r="AF28" s="2">
        <v>5.80227336</v>
      </c>
      <c r="AG28" s="2">
        <v>1.5299647999999999</v>
      </c>
      <c r="AH28" s="2">
        <f>AI9</f>
        <v>0</v>
      </c>
      <c r="AI28" s="2">
        <f>AJ9</f>
        <v>2.48205776</v>
      </c>
      <c r="AJ28" s="2">
        <v>1.8104091200000001</v>
      </c>
      <c r="AK28" s="2">
        <f>AL9</f>
        <v>0</v>
      </c>
      <c r="AL28" s="2">
        <f>AM9</f>
        <v>3.47468888</v>
      </c>
      <c r="AM28" s="2">
        <v>2.2439237600000004</v>
      </c>
      <c r="AN28" s="2">
        <v>2.1152944800000002</v>
      </c>
      <c r="AO28" s="2">
        <v>0.99624928000000001</v>
      </c>
      <c r="AP28" s="2">
        <v>2.64805008</v>
      </c>
      <c r="AQ28" s="2">
        <v>8.6348496000000008</v>
      </c>
      <c r="AR28" s="2">
        <v>2.3911607199999998</v>
      </c>
      <c r="AS28" s="2">
        <v>1.9547663200000003</v>
      </c>
      <c r="AT28" s="2">
        <f>AU9</f>
        <v>4.9843476799999991</v>
      </c>
      <c r="AU28" s="2">
        <v>4.2531840000000001</v>
      </c>
      <c r="AV28" s="2">
        <v>1.4681607200000002</v>
      </c>
      <c r="AW28" s="2">
        <f>AX9</f>
        <v>9.3315300000000025</v>
      </c>
      <c r="AX28" s="2">
        <v>1.5646695999999998</v>
      </c>
      <c r="AY28" s="2">
        <v>4.6883969600000004</v>
      </c>
      <c r="AZ28" s="2">
        <v>8.1472102400000015</v>
      </c>
      <c r="BA28" s="2">
        <v>13.031726240000003</v>
      </c>
      <c r="BB28" s="2">
        <v>15.787361200000003</v>
      </c>
      <c r="BC28" s="2">
        <v>2.1649888000000006</v>
      </c>
      <c r="BD28" s="2">
        <v>5.678960560000001</v>
      </c>
      <c r="BE28" s="2">
        <v>3.0285476</v>
      </c>
      <c r="BF28" s="2">
        <v>2.7591054400000004</v>
      </c>
      <c r="BG28" s="2">
        <v>6.2362310400000007</v>
      </c>
      <c r="BH28" s="2">
        <v>2.3081645600000003</v>
      </c>
      <c r="BI28" s="2">
        <v>2.1605584000000002</v>
      </c>
      <c r="BJ28" s="2">
        <v>3.20052096</v>
      </c>
      <c r="BK28" s="2">
        <v>2.5330812000000003</v>
      </c>
      <c r="BL28" s="2">
        <v>2.5728071200000002</v>
      </c>
      <c r="BM28" s="2">
        <v>2.6015308800000003</v>
      </c>
      <c r="BN28" s="2">
        <f t="shared" ref="BN28:BY28" si="53">BO9</f>
        <v>0</v>
      </c>
      <c r="BO28" s="2">
        <f t="shared" si="53"/>
        <v>0</v>
      </c>
      <c r="BP28" s="2">
        <f t="shared" si="53"/>
        <v>0</v>
      </c>
      <c r="BQ28" s="2">
        <f t="shared" si="53"/>
        <v>0</v>
      </c>
      <c r="BR28" s="2">
        <f t="shared" si="53"/>
        <v>1.5672540000000001</v>
      </c>
      <c r="BS28" s="2">
        <f t="shared" si="53"/>
        <v>0.91989871999999995</v>
      </c>
      <c r="BT28" s="2">
        <f t="shared" si="53"/>
        <v>6.5712431200000001</v>
      </c>
      <c r="BU28" s="2">
        <f t="shared" si="53"/>
        <v>0</v>
      </c>
      <c r="BV28" s="2">
        <f t="shared" si="53"/>
        <v>2.9250239200000006</v>
      </c>
      <c r="BW28" s="2">
        <f t="shared" si="53"/>
        <v>6.2970752000000001</v>
      </c>
      <c r="BX28" s="2">
        <f t="shared" si="53"/>
        <v>8.8410847200000013</v>
      </c>
      <c r="BY28" s="2">
        <f t="shared" si="53"/>
        <v>4.52026328</v>
      </c>
      <c r="BZ28" s="2">
        <f>CA9</f>
        <v>0</v>
      </c>
      <c r="CA28" s="2">
        <f>CB9</f>
        <v>0</v>
      </c>
      <c r="CB28" s="2">
        <f>CC9</f>
        <v>0</v>
      </c>
      <c r="CC28" s="2">
        <f>CD9</f>
        <v>1.5981191200000002</v>
      </c>
      <c r="CD28" s="2">
        <f>CE9</f>
        <v>12.401871040000003</v>
      </c>
      <c r="CE28" s="2">
        <v>2.6750016800000003</v>
      </c>
      <c r="CF28" s="2">
        <f t="shared" ref="CF28:CW28" si="54">CG9</f>
        <v>1.7508202400000001</v>
      </c>
      <c r="CG28" s="2">
        <f t="shared" si="54"/>
        <v>0.61080448000000009</v>
      </c>
      <c r="CH28" s="2">
        <f t="shared" si="54"/>
        <v>14.41681696</v>
      </c>
      <c r="CI28" s="2">
        <f t="shared" si="54"/>
        <v>8.237590400000002</v>
      </c>
      <c r="CJ28" s="2">
        <f t="shared" si="54"/>
        <v>6.1750915200000005</v>
      </c>
      <c r="CK28" s="2">
        <f t="shared" si="54"/>
        <v>8.1848686400000012</v>
      </c>
      <c r="CL28" s="2">
        <f t="shared" si="54"/>
        <v>0</v>
      </c>
      <c r="CM28" s="2">
        <f t="shared" si="54"/>
        <v>0</v>
      </c>
      <c r="CN28" s="2">
        <f t="shared" si="54"/>
        <v>0</v>
      </c>
      <c r="CO28" s="2">
        <f t="shared" si="54"/>
        <v>0</v>
      </c>
      <c r="CP28" s="2">
        <f t="shared" si="54"/>
        <v>2.7419745600000005</v>
      </c>
      <c r="CQ28" s="2">
        <f t="shared" si="54"/>
        <v>9.1927846399999993</v>
      </c>
      <c r="CR28" s="2">
        <f t="shared" si="54"/>
        <v>0</v>
      </c>
      <c r="CS28" s="2">
        <f t="shared" si="54"/>
        <v>6.59605336</v>
      </c>
      <c r="CT28" s="2">
        <f t="shared" si="54"/>
        <v>4.8070578399999997</v>
      </c>
      <c r="CU28" s="2">
        <f t="shared" si="54"/>
        <v>4.32325816</v>
      </c>
      <c r="CV28" s="2">
        <f t="shared" si="54"/>
        <v>0</v>
      </c>
      <c r="CW28" s="2">
        <f t="shared" si="54"/>
        <v>0</v>
      </c>
    </row>
    <row r="29" spans="5:119" x14ac:dyDescent="0.55000000000000004">
      <c r="F29" t="s">
        <v>8</v>
      </c>
      <c r="G29" s="2">
        <v>3.3072916799999996</v>
      </c>
      <c r="H29" s="2">
        <v>0.98373031999999994</v>
      </c>
      <c r="I29" s="2">
        <v>3.74530056</v>
      </c>
      <c r="J29" s="2">
        <v>1.0239352400000001</v>
      </c>
      <c r="K29" s="2">
        <v>1.3522337999999998</v>
      </c>
      <c r="L29" s="2">
        <v>0.45998423999999999</v>
      </c>
      <c r="M29" s="2">
        <v>1.1196612400000001</v>
      </c>
      <c r="N29" s="2">
        <v>0.22283348</v>
      </c>
      <c r="O29" s="2">
        <v>4.2696293200000008</v>
      </c>
      <c r="P29" s="2">
        <v>1.4034263999999999</v>
      </c>
      <c r="Q29" s="2">
        <v>4.4378573600000006</v>
      </c>
      <c r="R29" s="2">
        <v>1.1969911999999998</v>
      </c>
      <c r="S29" s="2">
        <v>0.97981804000000006</v>
      </c>
      <c r="T29" s="2">
        <v>1.0431636799999999</v>
      </c>
      <c r="U29" s="2">
        <v>1.6084465199999998</v>
      </c>
      <c r="V29" s="2">
        <v>3.8635846000000003</v>
      </c>
      <c r="W29" s="2">
        <v>0.88958587999999994</v>
      </c>
      <c r="X29" s="2">
        <v>1.00229284</v>
      </c>
      <c r="Y29" s="2">
        <v>1.4133319599999998</v>
      </c>
      <c r="Z29" s="2">
        <v>1.0541513600000001</v>
      </c>
      <c r="AA29" s="2">
        <v>1.40059624</v>
      </c>
      <c r="AB29" s="2">
        <v>0.8110905599999999</v>
      </c>
      <c r="AC29" s="2">
        <v>1.1568695199999999</v>
      </c>
      <c r="AD29" s="2">
        <v>1.51688252</v>
      </c>
      <c r="AE29" s="2">
        <v>1.9211791999999999</v>
      </c>
      <c r="AF29" s="2">
        <v>2.1993672799999997</v>
      </c>
      <c r="AG29" s="2">
        <v>0.58076548000000006</v>
      </c>
      <c r="AH29" s="2">
        <f>AI11</f>
        <v>0</v>
      </c>
      <c r="AI29" s="2">
        <f>AJ11</f>
        <v>1.39993032</v>
      </c>
      <c r="AJ29" s="2">
        <v>0.52349635999999999</v>
      </c>
      <c r="AK29" s="2">
        <f>AL11</f>
        <v>0</v>
      </c>
      <c r="AL29" s="2">
        <f>AM11</f>
        <v>1.6632184400000001</v>
      </c>
      <c r="AM29" s="2">
        <v>1.32443164</v>
      </c>
      <c r="AN29" s="2">
        <v>8.1687573999999987</v>
      </c>
      <c r="AO29" s="2">
        <v>0</v>
      </c>
      <c r="AP29" s="2">
        <v>1.4444637199999999</v>
      </c>
      <c r="AQ29" s="2">
        <v>3.1769378399999999</v>
      </c>
      <c r="AR29" s="2">
        <v>1.3643868399999999</v>
      </c>
      <c r="AS29" s="2">
        <v>7.8935659600000001</v>
      </c>
      <c r="AT29" s="2">
        <f>AU11</f>
        <v>2.0167387200000002</v>
      </c>
      <c r="AU29" s="2">
        <v>0.75290579999999996</v>
      </c>
      <c r="AV29" s="2">
        <v>1.0955216400000001</v>
      </c>
      <c r="AW29" s="2">
        <f>AX11</f>
        <v>3.0014679200000001</v>
      </c>
      <c r="AX29" s="2">
        <v>0.93536787999999993</v>
      </c>
      <c r="AY29" s="2">
        <v>2.3459529199999998</v>
      </c>
      <c r="AZ29" s="2">
        <v>2.60366396</v>
      </c>
      <c r="BA29" s="2">
        <v>3.3082073199999993</v>
      </c>
      <c r="BB29" s="2">
        <v>3.2567649999999997</v>
      </c>
      <c r="BC29" s="2">
        <v>1.2551759600000001</v>
      </c>
      <c r="BD29" s="2">
        <v>3.3668082799999999</v>
      </c>
      <c r="BE29" s="2">
        <v>1.2887216799999999</v>
      </c>
      <c r="BF29" s="2">
        <v>1.2224626399999998</v>
      </c>
      <c r="BG29" s="2">
        <v>2.2607983999999997</v>
      </c>
      <c r="BH29" s="2">
        <v>1.33333832</v>
      </c>
      <c r="BI29" s="2">
        <v>1.2829781199999999</v>
      </c>
      <c r="BJ29" s="2">
        <v>1.60586608</v>
      </c>
      <c r="BK29" s="2">
        <v>1.4944077199999997</v>
      </c>
      <c r="BL29" s="2">
        <v>1.0137799599999999</v>
      </c>
      <c r="BM29" s="2">
        <v>1.2268743599999998</v>
      </c>
      <c r="BN29" s="2">
        <f t="shared" ref="BN29:BY29" si="55">BO11</f>
        <v>0</v>
      </c>
      <c r="BO29" s="2">
        <f t="shared" si="55"/>
        <v>0</v>
      </c>
      <c r="BP29" s="2">
        <f t="shared" si="55"/>
        <v>0</v>
      </c>
      <c r="BQ29" s="2">
        <f t="shared" si="55"/>
        <v>0</v>
      </c>
      <c r="BR29" s="2">
        <f t="shared" si="55"/>
        <v>0.95817563999999988</v>
      </c>
      <c r="BS29" s="2">
        <f t="shared" si="55"/>
        <v>0.58209732000000003</v>
      </c>
      <c r="BT29" s="2">
        <f t="shared" si="55"/>
        <v>1.9925158799999998</v>
      </c>
      <c r="BU29" s="2">
        <f t="shared" si="55"/>
        <v>0</v>
      </c>
      <c r="BV29" s="2">
        <f t="shared" si="55"/>
        <v>1.5266215999999999</v>
      </c>
      <c r="BW29" s="2">
        <f t="shared" si="55"/>
        <v>1.9449025999999998</v>
      </c>
      <c r="BX29" s="2">
        <f t="shared" si="55"/>
        <v>2.2642944799999998</v>
      </c>
      <c r="BY29" s="2">
        <f t="shared" si="55"/>
        <v>1.8525061999999999</v>
      </c>
      <c r="BZ29" s="2">
        <f>CA11</f>
        <v>0</v>
      </c>
      <c r="CA29" s="2">
        <f>CB11</f>
        <v>0</v>
      </c>
      <c r="CB29" s="2">
        <f>CC11</f>
        <v>0</v>
      </c>
      <c r="CC29" s="2">
        <f>CD11</f>
        <v>0.97965155999999998</v>
      </c>
      <c r="CD29" s="2">
        <f>CE11</f>
        <v>0.89408083999999999</v>
      </c>
      <c r="CE29" s="2">
        <v>1.01519504</v>
      </c>
      <c r="CF29" s="2">
        <f t="shared" ref="CF29:CW29" si="56">CG11</f>
        <v>1.0733797999999999</v>
      </c>
      <c r="CG29" s="2">
        <f t="shared" si="56"/>
        <v>0.39289279999999999</v>
      </c>
      <c r="CH29" s="2">
        <f t="shared" si="56"/>
        <v>2.1541679599999997</v>
      </c>
      <c r="CI29" s="2">
        <f t="shared" si="56"/>
        <v>2.3728394399999999</v>
      </c>
      <c r="CJ29" s="2">
        <f t="shared" si="56"/>
        <v>1.6493173599999997</v>
      </c>
      <c r="CK29" s="2">
        <f t="shared" si="56"/>
        <v>2.1541679599999997</v>
      </c>
      <c r="CL29" s="2">
        <f t="shared" si="56"/>
        <v>0</v>
      </c>
      <c r="CM29" s="2">
        <f t="shared" si="56"/>
        <v>0</v>
      </c>
      <c r="CN29" s="2">
        <f t="shared" si="56"/>
        <v>0</v>
      </c>
      <c r="CO29" s="2">
        <f t="shared" si="56"/>
        <v>0</v>
      </c>
      <c r="CP29" s="2">
        <f t="shared" si="56"/>
        <v>1.2630837599999998</v>
      </c>
      <c r="CQ29" s="2">
        <f t="shared" si="56"/>
        <v>2.1177920800000001</v>
      </c>
      <c r="CR29" s="2">
        <f t="shared" si="56"/>
        <v>0</v>
      </c>
      <c r="CS29" s="2">
        <f t="shared" si="56"/>
        <v>2.0690134399999995</v>
      </c>
      <c r="CT29" s="2">
        <f t="shared" si="56"/>
        <v>1.62642636</v>
      </c>
      <c r="CU29" s="2">
        <f t="shared" si="56"/>
        <v>1.7214031999999997</v>
      </c>
      <c r="CV29" s="2">
        <f t="shared" si="56"/>
        <v>0</v>
      </c>
      <c r="CW29" s="2">
        <f t="shared" si="56"/>
        <v>0</v>
      </c>
    </row>
    <row r="30" spans="5:119" x14ac:dyDescent="0.55000000000000004">
      <c r="F30" t="s">
        <v>22</v>
      </c>
      <c r="G30" s="2">
        <v>1.1506725581102364</v>
      </c>
      <c r="H30" s="2">
        <v>0.75873826866141736</v>
      </c>
      <c r="I30" s="2">
        <v>1.5011171981102363</v>
      </c>
      <c r="J30" s="2">
        <v>0.74878469480314969</v>
      </c>
      <c r="K30" s="2">
        <v>0.80436702803149618</v>
      </c>
      <c r="L30" s="2">
        <v>0.37114018960629924</v>
      </c>
      <c r="M30" s="2">
        <v>0.58174204440944888</v>
      </c>
      <c r="N30" s="2">
        <v>0.26046827433070863</v>
      </c>
      <c r="O30" s="2">
        <v>1.5345257281889766</v>
      </c>
      <c r="P30" s="2">
        <v>1.1874317962204723</v>
      </c>
      <c r="Q30" s="2">
        <v>1.9170977451968507</v>
      </c>
      <c r="R30" s="2">
        <v>1.0702555653543309</v>
      </c>
      <c r="S30" s="2">
        <v>0.86379282047244088</v>
      </c>
      <c r="T30" s="2">
        <v>0.76179332598425198</v>
      </c>
      <c r="U30" s="2">
        <v>0.54931901669291339</v>
      </c>
      <c r="V30" s="2">
        <v>1.1451537448818898</v>
      </c>
      <c r="W30" s="2">
        <v>0.73350940818897647</v>
      </c>
      <c r="X30" s="2">
        <v>0.65664022393700794</v>
      </c>
      <c r="Y30" s="2">
        <v>0.90459261826771664</v>
      </c>
      <c r="Z30" s="2">
        <v>0.83442485007874012</v>
      </c>
      <c r="AA30" s="2">
        <v>0.93583304314960625</v>
      </c>
      <c r="AB30" s="2">
        <v>0.72601959023622042</v>
      </c>
      <c r="AC30" s="2">
        <v>0.71695296850393708</v>
      </c>
      <c r="AD30" s="2">
        <v>1.1271190516535432</v>
      </c>
      <c r="AE30" s="2">
        <v>1.5495053640944882</v>
      </c>
      <c r="AF30" s="2">
        <v>1.6805771782677166</v>
      </c>
      <c r="AG30" s="2">
        <v>0.63318526771653549</v>
      </c>
      <c r="AH30" s="2">
        <f>AI17</f>
        <v>0</v>
      </c>
      <c r="AI30" s="2">
        <f>AJ17</f>
        <v>0.9251896176377955</v>
      </c>
      <c r="AJ30" s="2">
        <v>0.64422289417322842</v>
      </c>
      <c r="AK30" s="2">
        <f>AL17</f>
        <v>0</v>
      </c>
      <c r="AL30" s="2">
        <f>AM17</f>
        <v>1.1827999351181104</v>
      </c>
      <c r="AM30" s="2">
        <v>0.72769494425196868</v>
      </c>
      <c r="AN30" s="2">
        <v>0.75863971842519695</v>
      </c>
      <c r="AO30" s="2">
        <v>0.49846709480314971</v>
      </c>
      <c r="AP30" s="2">
        <v>1.1688058015748033</v>
      </c>
      <c r="AQ30" s="2">
        <v>2.8494815300787404</v>
      </c>
      <c r="AR30" s="2">
        <v>0.82939878803149625</v>
      </c>
      <c r="AS30" s="2">
        <v>0.76425708188976371</v>
      </c>
      <c r="AT30" s="2">
        <f>AU17</f>
        <v>2.2924755949606306</v>
      </c>
      <c r="AU30" s="2">
        <v>1.4202074541732284</v>
      </c>
      <c r="AV30" s="2">
        <v>0.65772427653543319</v>
      </c>
      <c r="AW30" s="2">
        <f>AX17</f>
        <v>3.0237183477165357</v>
      </c>
      <c r="AX30" s="2">
        <v>0.5291162182677166</v>
      </c>
      <c r="AY30" s="2">
        <v>1.8935442387401575</v>
      </c>
      <c r="AZ30" s="2">
        <v>1.9183788982677166</v>
      </c>
      <c r="BA30" s="2">
        <v>1.8937413392125984</v>
      </c>
      <c r="BB30" s="2">
        <v>3.8925372302362211</v>
      </c>
      <c r="BC30" s="2">
        <v>0.60953321102362212</v>
      </c>
      <c r="BD30" s="2">
        <v>0.92686497165354342</v>
      </c>
      <c r="BE30" s="2">
        <v>0.625991100472441</v>
      </c>
      <c r="BF30" s="2">
        <v>0.6404779851968504</v>
      </c>
      <c r="BG30" s="2">
        <v>1.7390174683464568</v>
      </c>
      <c r="BH30" s="2">
        <v>0.92124760818897644</v>
      </c>
      <c r="BI30" s="2">
        <v>0.69172410803149609</v>
      </c>
      <c r="BJ30" s="2">
        <v>1.1761970692913386</v>
      </c>
      <c r="BK30" s="2">
        <v>0.8429001703937008</v>
      </c>
      <c r="BL30" s="2">
        <v>0.79815836314960642</v>
      </c>
      <c r="BM30" s="2">
        <v>0</v>
      </c>
      <c r="BN30" s="2">
        <f t="shared" ref="BN30:BY30" si="57">BO17</f>
        <v>0</v>
      </c>
      <c r="BO30" s="2">
        <f t="shared" si="57"/>
        <v>0</v>
      </c>
      <c r="BP30" s="2">
        <f t="shared" si="57"/>
        <v>0</v>
      </c>
      <c r="BQ30" s="2">
        <f t="shared" si="57"/>
        <v>0</v>
      </c>
      <c r="BR30" s="2">
        <f t="shared" si="57"/>
        <v>0.56695950897637803</v>
      </c>
      <c r="BS30" s="2">
        <f t="shared" si="57"/>
        <v>0.42406166645669291</v>
      </c>
      <c r="BT30" s="2">
        <f t="shared" si="57"/>
        <v>1.9801698963779528</v>
      </c>
      <c r="BU30" s="2">
        <f t="shared" si="57"/>
        <v>0</v>
      </c>
      <c r="BV30" s="2">
        <f t="shared" si="57"/>
        <v>0.98254585511811032</v>
      </c>
      <c r="BW30" s="2">
        <f t="shared" si="57"/>
        <v>1.9316831801574805</v>
      </c>
      <c r="BX30" s="2">
        <f t="shared" si="57"/>
        <v>2.6298130535433071</v>
      </c>
      <c r="BY30" s="2">
        <f t="shared" si="57"/>
        <v>1.3504338869291339</v>
      </c>
      <c r="BZ30" s="2">
        <f>CA17</f>
        <v>0</v>
      </c>
      <c r="CA30" s="2">
        <f>CB17</f>
        <v>0</v>
      </c>
      <c r="CB30" s="2">
        <f>CC17</f>
        <v>0</v>
      </c>
      <c r="CC30" s="2">
        <f>CD17</f>
        <v>0.82043071653543298</v>
      </c>
      <c r="CD30" s="2">
        <f>CE17</f>
        <v>0.45372528755905511</v>
      </c>
      <c r="CE30" s="2">
        <v>0.61347522047244107</v>
      </c>
      <c r="CF30" s="2">
        <f t="shared" ref="CF30:CW30" si="58">CG17</f>
        <v>0.67851837637795276</v>
      </c>
      <c r="CG30" s="2">
        <f t="shared" si="58"/>
        <v>0.29831156503937006</v>
      </c>
      <c r="CH30" s="2">
        <f t="shared" si="58"/>
        <v>2.1297691549606297</v>
      </c>
      <c r="CI30" s="2">
        <f t="shared" si="58"/>
        <v>1.8800428563779528</v>
      </c>
      <c r="CJ30" s="2">
        <f t="shared" si="58"/>
        <v>1.5084099155905513</v>
      </c>
      <c r="CK30" s="2">
        <f t="shared" si="58"/>
        <v>1.6360324714960632</v>
      </c>
      <c r="CL30" s="2">
        <f t="shared" si="58"/>
        <v>0</v>
      </c>
      <c r="CM30" s="2">
        <f t="shared" si="58"/>
        <v>0</v>
      </c>
      <c r="CN30" s="2">
        <f t="shared" si="58"/>
        <v>0</v>
      </c>
      <c r="CO30" s="2">
        <f t="shared" si="58"/>
        <v>0</v>
      </c>
      <c r="CP30" s="2">
        <f t="shared" si="58"/>
        <v>0.80377572661417329</v>
      </c>
      <c r="CQ30" s="2">
        <f t="shared" si="58"/>
        <v>1.8728486891338585</v>
      </c>
      <c r="CR30" s="2">
        <f t="shared" si="58"/>
        <v>0</v>
      </c>
      <c r="CS30" s="2">
        <f t="shared" si="58"/>
        <v>1.5121548245669292</v>
      </c>
      <c r="CT30" s="2">
        <f t="shared" si="58"/>
        <v>1.3704395848818898</v>
      </c>
      <c r="CU30" s="2">
        <f t="shared" si="58"/>
        <v>0.83462195055118127</v>
      </c>
      <c r="CV30" s="2">
        <f t="shared" si="58"/>
        <v>0</v>
      </c>
      <c r="CW30" s="2">
        <f t="shared" si="58"/>
        <v>0</v>
      </c>
    </row>
    <row r="31" spans="5:119" x14ac:dyDescent="0.55000000000000004">
      <c r="F31" t="s">
        <v>21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v>17.931800374556389</v>
      </c>
      <c r="R31" s="2"/>
      <c r="S31" s="2"/>
      <c r="T31" s="2">
        <v>9.1737536016698229</v>
      </c>
      <c r="U31" s="2"/>
      <c r="V31" s="2"/>
      <c r="W31" s="2"/>
      <c r="X31" s="2"/>
      <c r="Y31" s="2">
        <f>Z21</f>
        <v>7.8735202733374869</v>
      </c>
      <c r="Z31" s="2">
        <v>11.143555409921358</v>
      </c>
      <c r="AA31" s="2">
        <v>10.030945770430826</v>
      </c>
      <c r="AB31" s="2">
        <v>9.6671151621095053</v>
      </c>
      <c r="AC31" s="2">
        <v>8.8947210297681707</v>
      </c>
      <c r="AD31" s="2">
        <v>6.0713143784703369</v>
      </c>
      <c r="AE31" s="2">
        <f t="shared" ref="AE31:AK31" si="59">AF21</f>
        <v>8.3980394625718091</v>
      </c>
      <c r="AF31" s="2">
        <v>11.755398606176399</v>
      </c>
      <c r="AG31" s="2">
        <f t="shared" si="59"/>
        <v>-9.4171177677165367</v>
      </c>
      <c r="AH31" s="2">
        <f t="shared" si="59"/>
        <v>9.7283437654319602</v>
      </c>
      <c r="AI31" s="2">
        <f t="shared" si="59"/>
        <v>5.9150350122384516</v>
      </c>
      <c r="AJ31" s="2">
        <v>8.2771995085426937</v>
      </c>
      <c r="AK31" s="2">
        <f t="shared" si="59"/>
        <v>34.38271604938268</v>
      </c>
      <c r="AL31" s="2">
        <f>AM21</f>
        <v>-11.372144600796943</v>
      </c>
      <c r="AM31" s="2">
        <v>11.936826184636587</v>
      </c>
      <c r="AN31" s="2">
        <v>6.9545588467600794</v>
      </c>
      <c r="AO31" s="2">
        <v>11.66102380445623</v>
      </c>
      <c r="AP31" s="2">
        <v>13.379400307313759</v>
      </c>
      <c r="AQ31" s="2">
        <v>33.279853332884102</v>
      </c>
      <c r="AR31" s="2">
        <v>13.49560920505462</v>
      </c>
      <c r="AS31" s="2">
        <v>7.3199504968757658</v>
      </c>
      <c r="AT31" s="2">
        <f>AU21</f>
        <v>11.745531430965698</v>
      </c>
      <c r="AU31" s="2">
        <f>AV21</f>
        <v>12.511796012246599</v>
      </c>
      <c r="AV31" s="2">
        <f>AW21</f>
        <v>8.4712501884028875</v>
      </c>
      <c r="AW31" s="2">
        <f>AX21</f>
        <v>-24.074364323271737</v>
      </c>
      <c r="AX31" s="2">
        <f>AY21</f>
        <v>11.555248493090138</v>
      </c>
      <c r="AY31" s="2">
        <v>17.839328535580783</v>
      </c>
      <c r="AZ31" s="2"/>
      <c r="BA31" s="2">
        <v>15.373270532886025</v>
      </c>
      <c r="BB31" s="2">
        <v>26.300103884578974</v>
      </c>
      <c r="BC31" s="2">
        <v>7.8140348235442936</v>
      </c>
      <c r="BD31" s="2">
        <v>-56.269795891653544</v>
      </c>
      <c r="BE31" s="2">
        <v>-29.866012880472439</v>
      </c>
      <c r="BF31" s="2">
        <v>-25.700109805196849</v>
      </c>
      <c r="BG31" s="2">
        <v>16.172771301530126</v>
      </c>
      <c r="BH31" s="2">
        <v>-2.0564713783124517</v>
      </c>
      <c r="BI31" s="2">
        <v>7.619459006043062</v>
      </c>
      <c r="BJ31" s="2">
        <v>6.6163071089801377</v>
      </c>
      <c r="BK31" s="2">
        <v>11.332410269112355</v>
      </c>
      <c r="BL31" s="2">
        <v>8.833927488949108</v>
      </c>
      <c r="BM31" s="2">
        <v>0</v>
      </c>
      <c r="BN31" s="2">
        <f t="shared" ref="BN31:BY31" si="60">BO21</f>
        <v>17.271102530864219</v>
      </c>
      <c r="BO31" s="2">
        <f t="shared" si="60"/>
        <v>11.261564351851691</v>
      </c>
      <c r="BP31" s="2">
        <f t="shared" si="60"/>
        <v>12.617861481481423</v>
      </c>
      <c r="BQ31" s="2">
        <f t="shared" si="60"/>
        <v>27.377296049382679</v>
      </c>
      <c r="BR31" s="2">
        <f t="shared" si="60"/>
        <v>6.9511905265794347</v>
      </c>
      <c r="BS31" s="2">
        <f t="shared" si="60"/>
        <v>14.94572772909912</v>
      </c>
      <c r="BT31" s="2">
        <f t="shared" si="60"/>
        <v>11.247947377942651</v>
      </c>
      <c r="BU31" s="2">
        <f t="shared" si="60"/>
        <v>14.417416450617049</v>
      </c>
      <c r="BV31" s="2">
        <f t="shared" si="60"/>
        <v>13.672486185869552</v>
      </c>
      <c r="BW31" s="2">
        <f t="shared" si="60"/>
        <v>24.736589461570908</v>
      </c>
      <c r="BX31" s="2">
        <f t="shared" si="60"/>
        <v>25.77080040398755</v>
      </c>
      <c r="BY31" s="2">
        <f t="shared" si="60"/>
        <v>10.560938796527374</v>
      </c>
      <c r="BZ31" s="2">
        <f>CA21</f>
        <v>-13.595389444444187</v>
      </c>
      <c r="CA31" s="2">
        <f>CB21</f>
        <v>19.874688055555811</v>
      </c>
      <c r="CB31" s="2">
        <f>CC21</f>
        <v>-4.4099894444441858</v>
      </c>
      <c r="CC31" s="2">
        <f>CD21</f>
        <v>13.456862127909005</v>
      </c>
      <c r="CD31" s="2">
        <f>CE21</f>
        <v>-9.3010416362008677</v>
      </c>
      <c r="CE31" s="2">
        <v>22.923887564466309</v>
      </c>
      <c r="CF31" s="2">
        <f t="shared" ref="CF31:CW31" si="61">CG21</f>
        <v>35.417095897943035</v>
      </c>
      <c r="CG31" s="2">
        <f t="shared" si="61"/>
        <v>49.62683839347914</v>
      </c>
      <c r="CH31" s="2">
        <f t="shared" si="61"/>
        <v>18.397833316396991</v>
      </c>
      <c r="CI31" s="2">
        <f t="shared" si="61"/>
        <v>14.714132570782596</v>
      </c>
      <c r="CJ31" s="2">
        <f t="shared" si="61"/>
        <v>12.962254599470988</v>
      </c>
      <c r="CK31" s="2">
        <f t="shared" si="61"/>
        <v>11.389410872948524</v>
      </c>
      <c r="CL31" s="2">
        <f t="shared" si="61"/>
        <v>19.826112191358195</v>
      </c>
      <c r="CM31" s="2">
        <f t="shared" si="61"/>
        <v>-23.435987808641805</v>
      </c>
      <c r="CN31" s="2">
        <f t="shared" si="61"/>
        <v>-10.419220308641801</v>
      </c>
      <c r="CO31" s="2">
        <f t="shared" si="61"/>
        <v>6.5199046913581959</v>
      </c>
      <c r="CP31" s="2">
        <f t="shared" si="61"/>
        <v>10.421484904003432</v>
      </c>
      <c r="CQ31" s="2">
        <f t="shared" si="61"/>
        <v>-28.206520037775675</v>
      </c>
      <c r="CR31" s="2">
        <f t="shared" si="61"/>
        <v>8.9483521913581949</v>
      </c>
      <c r="CS31" s="2">
        <f t="shared" si="61"/>
        <v>-11.853880173208729</v>
      </c>
      <c r="CT31" s="2">
        <f t="shared" si="61"/>
        <v>-21.230919213523691</v>
      </c>
      <c r="CU31" s="2">
        <f t="shared" si="61"/>
        <v>31.254648973399867</v>
      </c>
      <c r="CV31" s="2">
        <f t="shared" si="61"/>
        <v>-9.3569728086418067</v>
      </c>
      <c r="CW31" s="2">
        <f t="shared" si="61"/>
        <v>3.0492571913581941</v>
      </c>
    </row>
    <row r="32" spans="5:119" x14ac:dyDescent="0.55000000000000004">
      <c r="G32" t="s">
        <v>18</v>
      </c>
      <c r="H32" t="s">
        <v>2</v>
      </c>
      <c r="I32" t="s">
        <v>12</v>
      </c>
      <c r="J32" t="s">
        <v>24</v>
      </c>
      <c r="K32" t="s">
        <v>7</v>
      </c>
      <c r="L32" t="s">
        <v>8</v>
      </c>
      <c r="M32" t="s">
        <v>22</v>
      </c>
      <c r="N32" t="s">
        <v>21</v>
      </c>
      <c r="O32" s="24" t="s">
        <v>34</v>
      </c>
      <c r="Q32" s="24" t="s">
        <v>38</v>
      </c>
      <c r="R32" t="s">
        <v>39</v>
      </c>
      <c r="S32" t="s">
        <v>35</v>
      </c>
      <c r="T32" t="s">
        <v>36</v>
      </c>
      <c r="V32" t="s">
        <v>147</v>
      </c>
    </row>
    <row r="33" spans="2:35" x14ac:dyDescent="0.55000000000000004">
      <c r="B33" t="s">
        <v>11</v>
      </c>
      <c r="C33">
        <f>2*H39/100*1000</f>
        <v>85.866750000000025</v>
      </c>
      <c r="D33" t="s">
        <v>37</v>
      </c>
      <c r="E33" s="2" t="s">
        <v>9</v>
      </c>
      <c r="F33" s="2" t="s">
        <v>16</v>
      </c>
      <c r="G33" s="2">
        <f>100-(9.1561-9.0956)/0.324*100</f>
        <v>81.327160493826824</v>
      </c>
      <c r="H33" s="2">
        <v>39.331642499999994</v>
      </c>
      <c r="I33" s="2">
        <v>3.6727258999999997</v>
      </c>
      <c r="J33" s="2">
        <v>2.8212299999999999</v>
      </c>
      <c r="K33" s="2">
        <v>5.8741935200000004</v>
      </c>
      <c r="L33" s="2">
        <v>3.3072916799999996</v>
      </c>
      <c r="M33" s="2">
        <v>1.1506725581102364</v>
      </c>
      <c r="N33" s="2">
        <v>25.1694043357166</v>
      </c>
      <c r="O33" s="2">
        <v>50</v>
      </c>
      <c r="P33" s="2">
        <f>2*H33/100*1000-$C$33</f>
        <v>700.76609999999982</v>
      </c>
      <c r="Q33" s="2">
        <v>1027</v>
      </c>
      <c r="R33">
        <f>P33/O33/Q33*1000</f>
        <v>13.64685686465433</v>
      </c>
      <c r="V33">
        <f>(0.002*H33-$H$40*0.002)/100/0.000357</f>
        <v>2.1644092436974782</v>
      </c>
    </row>
    <row r="34" spans="2:35" x14ac:dyDescent="0.55000000000000004">
      <c r="C34">
        <f>2*H40/100*1000</f>
        <v>13.938750000000001</v>
      </c>
      <c r="D34" t="s">
        <v>37</v>
      </c>
      <c r="E34" s="2"/>
      <c r="F34" s="2" t="s">
        <v>17</v>
      </c>
      <c r="G34" s="22">
        <f>100-(9.3372-9.0998)/0.324*100</f>
        <v>26.728395061728648</v>
      </c>
      <c r="H34" s="22">
        <v>11.449282499999999</v>
      </c>
      <c r="I34" s="22">
        <v>0.68769525999999992</v>
      </c>
      <c r="J34" s="22">
        <v>1.7029575000000001</v>
      </c>
      <c r="K34" s="22">
        <v>1.9667284000000003</v>
      </c>
      <c r="L34" s="22">
        <v>0.98373031999999994</v>
      </c>
      <c r="M34" s="22">
        <v>0.75873826866141736</v>
      </c>
      <c r="N34" s="22">
        <v>9.1792628130672327</v>
      </c>
      <c r="O34" s="22">
        <v>50</v>
      </c>
      <c r="P34" s="22">
        <f>2*H34/100*1000-$C$34</f>
        <v>215.04689999999999</v>
      </c>
      <c r="Q34" s="22">
        <v>1011</v>
      </c>
      <c r="R34" s="23">
        <f t="shared" ref="R34:R93" si="62">P34/O34/Q34*1000</f>
        <v>4.2541424332344215</v>
      </c>
      <c r="V34" s="23">
        <f t="shared" ref="V34:V71" si="63">(0.002*H34-$H$40*0.002)/100/0.000357</f>
        <v>0.60237226890756301</v>
      </c>
    </row>
    <row r="35" spans="2:35" x14ac:dyDescent="0.55000000000000004">
      <c r="E35" s="2" t="s">
        <v>10</v>
      </c>
      <c r="F35" s="2" t="s">
        <v>16</v>
      </c>
      <c r="G35" s="2">
        <f>100-(9.109-9.0928)/0.324*100</f>
        <v>95.000000000000142</v>
      </c>
      <c r="H35" s="2">
        <v>55.038622500000002</v>
      </c>
      <c r="I35" s="2">
        <v>0.99815105999999987</v>
      </c>
      <c r="J35" s="2">
        <v>2.493045</v>
      </c>
      <c r="K35" s="2">
        <v>7.3866582400000009</v>
      </c>
      <c r="L35" s="2">
        <v>3.74530056</v>
      </c>
      <c r="M35" s="2">
        <v>1.5011171981102363</v>
      </c>
      <c r="N35" s="2">
        <v>23.837105441889904</v>
      </c>
      <c r="O35" s="2">
        <v>29.6</v>
      </c>
      <c r="P35" s="2">
        <f>2*H35/100*1000-$C$33</f>
        <v>1014.9056999999999</v>
      </c>
      <c r="Q35" s="2">
        <v>1030</v>
      </c>
      <c r="R35">
        <f>P35/O35/Q35*1000</f>
        <v>33.288693912358958</v>
      </c>
      <c r="V35">
        <f t="shared" si="63"/>
        <v>3.044352100840336</v>
      </c>
    </row>
    <row r="36" spans="2:35" x14ac:dyDescent="0.55000000000000004">
      <c r="E36" s="2"/>
      <c r="F36" s="2" t="s">
        <v>17</v>
      </c>
      <c r="G36" s="22">
        <f>100-(9.3242-9.0986)/0.324*100</f>
        <v>30.370370370370367</v>
      </c>
      <c r="H36" s="26">
        <v>13.284067499999999</v>
      </c>
      <c r="I36" s="22">
        <v>0.39270593999999992</v>
      </c>
      <c r="J36" s="22">
        <v>1.5048450000000002</v>
      </c>
      <c r="K36" s="22">
        <v>2.0049775200000006</v>
      </c>
      <c r="L36" s="22">
        <v>1.0239352400000001</v>
      </c>
      <c r="M36" s="22">
        <v>0.74878469480314969</v>
      </c>
      <c r="N36" s="22">
        <v>11.411054475567219</v>
      </c>
      <c r="O36" s="22">
        <v>29.6</v>
      </c>
      <c r="P36" s="22">
        <f>2*H36/100*1000-$C$34</f>
        <v>251.74260000000001</v>
      </c>
      <c r="Q36" s="22">
        <v>1042</v>
      </c>
      <c r="R36" s="23">
        <f t="shared" si="62"/>
        <v>8.1620130206982413</v>
      </c>
      <c r="V36" s="23">
        <f t="shared" si="63"/>
        <v>0.70516134453781509</v>
      </c>
    </row>
    <row r="37" spans="2:35" x14ac:dyDescent="0.55000000000000004">
      <c r="E37" s="2" t="s">
        <v>19</v>
      </c>
      <c r="F37" s="2" t="s">
        <v>16</v>
      </c>
      <c r="G37" s="2">
        <f>100-(9.2477-9.1004)/0.324*100</f>
        <v>54.53703703703718</v>
      </c>
      <c r="H37" s="2">
        <v>17.790030000000002</v>
      </c>
      <c r="I37" s="2">
        <v>9.7010492599999978</v>
      </c>
      <c r="J37" s="2">
        <v>2.2730625</v>
      </c>
      <c r="K37" s="2">
        <v>3.5463136800000004</v>
      </c>
      <c r="L37" s="2">
        <v>1.3522337999999998</v>
      </c>
      <c r="M37" s="2">
        <v>0.80436702803149618</v>
      </c>
      <c r="N37" s="2">
        <v>19.069980769005689</v>
      </c>
      <c r="O37" s="2">
        <v>43.6</v>
      </c>
      <c r="P37" s="2">
        <f>2*H37/100*1000-$C$33</f>
        <v>269.93385000000001</v>
      </c>
      <c r="Q37" s="2">
        <v>1036</v>
      </c>
      <c r="R37">
        <f t="shared" si="62"/>
        <v>5.9760070932662677</v>
      </c>
      <c r="V37">
        <f t="shared" si="63"/>
        <v>0.95759621848739496</v>
      </c>
    </row>
    <row r="38" spans="2:35" x14ac:dyDescent="0.55000000000000004">
      <c r="E38" s="2"/>
      <c r="F38" s="2" t="s">
        <v>17</v>
      </c>
      <c r="G38" s="22">
        <f>100-(9.3564-9.0905)/0.324*100</f>
        <v>17.932098765432031</v>
      </c>
      <c r="H38" s="22">
        <v>3.4493175000000003</v>
      </c>
      <c r="I38" s="22">
        <v>1.5477366599999998</v>
      </c>
      <c r="J38" s="22">
        <v>1.2750075000000001</v>
      </c>
      <c r="K38" s="22">
        <v>0.82590040000000009</v>
      </c>
      <c r="L38" s="22">
        <v>0.45998423999999999</v>
      </c>
      <c r="M38" s="22">
        <v>0.37114018960629924</v>
      </c>
      <c r="N38" s="22">
        <v>10.003012275825732</v>
      </c>
      <c r="O38" s="22">
        <v>43.6</v>
      </c>
      <c r="P38" s="22">
        <f>2*H38/100*1000-$C$34</f>
        <v>55.047600000000003</v>
      </c>
      <c r="Q38" s="22">
        <v>1045</v>
      </c>
      <c r="R38" s="23">
        <f t="shared" si="62"/>
        <v>1.2081910363899744</v>
      </c>
      <c r="S38" s="6">
        <v>0</v>
      </c>
      <c r="T38" s="6">
        <v>0</v>
      </c>
      <c r="U38" t="s">
        <v>26</v>
      </c>
      <c r="V38" s="23">
        <f t="shared" si="63"/>
        <v>0.1541949579831933</v>
      </c>
    </row>
    <row r="39" spans="2:35" x14ac:dyDescent="0.55000000000000004">
      <c r="E39" s="2" t="s">
        <v>11</v>
      </c>
      <c r="F39" s="2" t="s">
        <v>16</v>
      </c>
      <c r="G39" s="2">
        <v>44.81</v>
      </c>
      <c r="H39" s="2">
        <v>4.2933375000000007</v>
      </c>
      <c r="I39" s="2">
        <v>8.2026401600000014</v>
      </c>
      <c r="J39" s="2">
        <v>1.5973199999999996</v>
      </c>
      <c r="K39" s="2">
        <v>2.0420452</v>
      </c>
      <c r="L39" s="2">
        <v>1.1196612400000001</v>
      </c>
      <c r="M39" s="2">
        <v>0.58174204440944888</v>
      </c>
      <c r="N39" s="2">
        <v>26.98</v>
      </c>
      <c r="O39" s="2">
        <v>0</v>
      </c>
      <c r="P39" s="2">
        <f>2*H39/100*1000-$C$33</f>
        <v>0</v>
      </c>
      <c r="Q39" s="2">
        <v>1031</v>
      </c>
      <c r="R39" t="e">
        <f t="shared" si="62"/>
        <v>#DIV/0!</v>
      </c>
      <c r="S39">
        <v>1.2081910363899744</v>
      </c>
      <c r="T39">
        <v>5.9760070932662677</v>
      </c>
      <c r="U39" t="s">
        <v>19</v>
      </c>
      <c r="V39">
        <f t="shared" si="63"/>
        <v>0.20147899159663871</v>
      </c>
    </row>
    <row r="40" spans="2:35" x14ac:dyDescent="0.55000000000000004">
      <c r="E40" s="2"/>
      <c r="F40" s="2" t="s">
        <v>17</v>
      </c>
      <c r="G40" s="22">
        <f>100-(9.3719-9.0922)/0.324*100</f>
        <v>13.672839506172835</v>
      </c>
      <c r="H40" s="22">
        <v>0.6969375000000001</v>
      </c>
      <c r="I40" s="22">
        <v>1.0255177199999999</v>
      </c>
      <c r="J40" s="22">
        <v>0.58016250000000003</v>
      </c>
      <c r="K40" s="22">
        <v>0.41771288000000006</v>
      </c>
      <c r="L40" s="22">
        <v>0.22283348</v>
      </c>
      <c r="M40" s="22">
        <v>0.26046827433070863</v>
      </c>
      <c r="N40" s="22">
        <v>10.469207151842127</v>
      </c>
      <c r="O40" s="22">
        <v>0</v>
      </c>
      <c r="P40" s="22">
        <f>2*H40/100*1000-$C$34</f>
        <v>0</v>
      </c>
      <c r="Q40" s="22">
        <v>1053</v>
      </c>
      <c r="R40" s="23" t="e">
        <f t="shared" si="62"/>
        <v>#DIV/0!</v>
      </c>
      <c r="S40">
        <v>8.0126517930399004</v>
      </c>
      <c r="T40">
        <v>33.288693912358958</v>
      </c>
      <c r="U40" t="s">
        <v>10</v>
      </c>
      <c r="V40" s="23">
        <f t="shared" si="63"/>
        <v>0</v>
      </c>
    </row>
    <row r="41" spans="2:35" x14ac:dyDescent="0.55000000000000004">
      <c r="E41" t="s">
        <v>32</v>
      </c>
      <c r="F41" s="2" t="s">
        <v>16</v>
      </c>
      <c r="G41" s="2">
        <v>95.28</v>
      </c>
      <c r="H41" s="2">
        <v>57.471254999999999</v>
      </c>
      <c r="I41" s="2">
        <v>1.2762849199999999</v>
      </c>
      <c r="J41" s="2">
        <v>2.9536650000000004</v>
      </c>
      <c r="K41" s="2">
        <v>7.5813743200000001</v>
      </c>
      <c r="L41" s="2">
        <v>4.2696293200000008</v>
      </c>
      <c r="M41" s="2">
        <v>1.5345257281889766</v>
      </c>
      <c r="N41" s="2">
        <v>20.190000000000001</v>
      </c>
      <c r="O41" s="2">
        <v>39.1</v>
      </c>
      <c r="P41" s="2">
        <f>2*H41/100*1000-$C$33</f>
        <v>1063.5583499999998</v>
      </c>
      <c r="Q41" s="2">
        <v>1030</v>
      </c>
      <c r="R41">
        <f t="shared" si="62"/>
        <v>26.408719241178947</v>
      </c>
      <c r="S41">
        <v>9.1956023528812612</v>
      </c>
      <c r="T41">
        <v>39.818479611431158</v>
      </c>
      <c r="U41" t="s">
        <v>40</v>
      </c>
      <c r="V41">
        <f t="shared" si="63"/>
        <v>3.1806340336134449</v>
      </c>
    </row>
    <row r="42" spans="2:35" x14ac:dyDescent="0.55000000000000004">
      <c r="F42" s="2" t="s">
        <v>17</v>
      </c>
      <c r="G42" s="22">
        <v>37.25</v>
      </c>
      <c r="H42" s="22">
        <v>18.013455</v>
      </c>
      <c r="I42" s="22">
        <v>0.36747905999999997</v>
      </c>
      <c r="J42" s="22">
        <v>1.7446049999999997</v>
      </c>
      <c r="K42" s="22">
        <v>2.7258036000000003</v>
      </c>
      <c r="L42" s="22">
        <v>1.4034263999999999</v>
      </c>
      <c r="M42" s="22">
        <v>1.1874317962204723</v>
      </c>
      <c r="N42" s="22">
        <v>11.81</v>
      </c>
      <c r="O42" s="22">
        <v>39.1</v>
      </c>
      <c r="P42" s="22">
        <f>2*H42/100*1000-$C$34</f>
        <v>346.33034999999995</v>
      </c>
      <c r="Q42" s="22">
        <v>1044</v>
      </c>
      <c r="R42" s="23">
        <f t="shared" si="62"/>
        <v>8.4842468471646519</v>
      </c>
      <c r="S42">
        <v>2.8368146352308456</v>
      </c>
      <c r="T42">
        <v>15.401817758345068</v>
      </c>
      <c r="U42" s="29" t="s">
        <v>49</v>
      </c>
      <c r="V42" s="23">
        <f t="shared" si="63"/>
        <v>0.97011302521008402</v>
      </c>
    </row>
    <row r="43" spans="2:35" x14ac:dyDescent="0.55000000000000004">
      <c r="E43" t="s">
        <v>42</v>
      </c>
      <c r="F43" s="2" t="s">
        <v>17</v>
      </c>
      <c r="G43" s="22">
        <v>27.16</v>
      </c>
      <c r="H43" s="22">
        <v>11.165849999999999</v>
      </c>
      <c r="I43" s="22">
        <v>0.61708252000000008</v>
      </c>
      <c r="J43" s="22">
        <v>1.7456850000000004</v>
      </c>
      <c r="K43" s="22">
        <v>2.13641272</v>
      </c>
      <c r="L43" s="22">
        <v>0.97981804000000006</v>
      </c>
      <c r="M43" s="22">
        <v>0.86379282047244088</v>
      </c>
      <c r="N43" s="22">
        <v>9.6518527266884107</v>
      </c>
      <c r="O43" s="22">
        <v>39.1</v>
      </c>
      <c r="P43" s="22">
        <f t="shared" ref="P43:P93" si="64">2*H43/100*1000-$C$34</f>
        <v>209.37824999999998</v>
      </c>
      <c r="Q43" s="22">
        <v>1031</v>
      </c>
      <c r="R43" s="23">
        <f t="shared" si="62"/>
        <v>5.1939306064432262</v>
      </c>
      <c r="S43">
        <v>5.1939306064432262</v>
      </c>
      <c r="T43">
        <v>26.408719241178947</v>
      </c>
      <c r="U43" s="29" t="s">
        <v>32</v>
      </c>
      <c r="V43" s="23">
        <f t="shared" si="63"/>
        <v>0.5864936974789916</v>
      </c>
      <c r="W43" s="6">
        <f>(G43+G44)/2</f>
        <v>27.407160493827035</v>
      </c>
      <c r="X43" s="6">
        <f t="shared" ref="X43:AH43" si="65">(H43+H44)/2</f>
        <v>11.7717975</v>
      </c>
      <c r="Y43" s="6">
        <f t="shared" si="65"/>
        <v>0.58857088999999996</v>
      </c>
      <c r="Z43" s="6">
        <f t="shared" si="65"/>
        <v>1.2537391629921262</v>
      </c>
      <c r="AA43" s="6">
        <f t="shared" si="65"/>
        <v>2.0583269199999998</v>
      </c>
      <c r="AB43" s="6">
        <f t="shared" si="65"/>
        <v>1.0114908599999999</v>
      </c>
      <c r="AC43" s="6">
        <f t="shared" si="65"/>
        <v>0.81279307322834637</v>
      </c>
      <c r="AD43" s="6">
        <f t="shared" si="65"/>
        <v>9.4128031641791168</v>
      </c>
      <c r="AE43" s="6">
        <f t="shared" si="65"/>
        <v>39.1</v>
      </c>
      <c r="AF43" s="6">
        <f t="shared" si="65"/>
        <v>221.49720000000002</v>
      </c>
      <c r="AG43" s="6">
        <f t="shared" si="65"/>
        <v>1046.5</v>
      </c>
      <c r="AH43" s="6">
        <f t="shared" si="65"/>
        <v>5.409977354025723</v>
      </c>
      <c r="AI43" s="23">
        <f>(0.002*X43-$H$40*0.002)/100/0.000357</f>
        <v>0.62044033613445382</v>
      </c>
    </row>
    <row r="44" spans="2:35" x14ac:dyDescent="0.55000000000000004">
      <c r="E44" t="s">
        <v>43</v>
      </c>
      <c r="F44" s="2" t="s">
        <v>17</v>
      </c>
      <c r="G44" s="22">
        <v>27.654320987654074</v>
      </c>
      <c r="H44" s="22">
        <v>12.377745000000001</v>
      </c>
      <c r="I44" s="22">
        <v>0.56005925999999995</v>
      </c>
      <c r="J44" s="22">
        <v>0.76179332598425198</v>
      </c>
      <c r="K44" s="22">
        <v>1.9802411200000001</v>
      </c>
      <c r="L44" s="22">
        <v>1.0431636799999999</v>
      </c>
      <c r="M44" s="22">
        <v>0.76179332598425198</v>
      </c>
      <c r="N44" s="22">
        <v>9.1737536016698229</v>
      </c>
      <c r="O44" s="22">
        <v>39.1</v>
      </c>
      <c r="P44" s="22">
        <f t="shared" si="64"/>
        <v>233.61615000000003</v>
      </c>
      <c r="Q44" s="22">
        <v>1062</v>
      </c>
      <c r="R44" s="23">
        <f t="shared" si="62"/>
        <v>5.6260241016082198</v>
      </c>
      <c r="S44">
        <v>4.2541424332344215</v>
      </c>
      <c r="T44">
        <v>13.64685686465433</v>
      </c>
      <c r="U44" s="29" t="s">
        <v>9</v>
      </c>
      <c r="V44" s="23">
        <f t="shared" si="63"/>
        <v>0.65438697478991603</v>
      </c>
    </row>
    <row r="45" spans="2:35" x14ac:dyDescent="0.55000000000000004">
      <c r="E45" t="s">
        <v>40</v>
      </c>
      <c r="F45" s="2" t="s">
        <v>16</v>
      </c>
      <c r="G45" s="2">
        <v>94.753086419753259</v>
      </c>
      <c r="H45" s="2">
        <v>51.882592500000015</v>
      </c>
      <c r="I45" s="2">
        <v>5.2638212600000003</v>
      </c>
      <c r="J45" s="2">
        <v>4.3168274999999996</v>
      </c>
      <c r="K45" s="2">
        <v>9.0030896800000004</v>
      </c>
      <c r="L45" s="2">
        <v>4.4378573600000006</v>
      </c>
      <c r="M45" s="2">
        <v>1.9170977451968507</v>
      </c>
      <c r="N45" s="2">
        <v>17.931800374556389</v>
      </c>
      <c r="O45" s="2">
        <v>22.7</v>
      </c>
      <c r="P45" s="2">
        <f>2*H45/100*1000-$C$33</f>
        <v>951.78510000000017</v>
      </c>
      <c r="Q45" s="2">
        <v>1053</v>
      </c>
      <c r="R45">
        <f t="shared" si="62"/>
        <v>39.818479611431158</v>
      </c>
      <c r="S45">
        <v>5.3459331721786691</v>
      </c>
      <c r="U45" t="s">
        <v>82</v>
      </c>
      <c r="V45">
        <f t="shared" si="63"/>
        <v>2.8675436974789927</v>
      </c>
      <c r="W45">
        <v>28.271604938272105</v>
      </c>
      <c r="X45">
        <v>13.358722500000001</v>
      </c>
      <c r="Y45">
        <v>0.58513597999999989</v>
      </c>
      <c r="Z45">
        <v>1.8430875000000002</v>
      </c>
      <c r="AA45">
        <v>1.71611544</v>
      </c>
      <c r="AB45">
        <v>1.1568695199999999</v>
      </c>
      <c r="AC45">
        <v>0.71695296850393708</v>
      </c>
      <c r="AD45">
        <v>8.8947210297681707</v>
      </c>
      <c r="AE45">
        <v>29.6</v>
      </c>
      <c r="AF45">
        <v>253.23570000000004</v>
      </c>
      <c r="AG45">
        <v>1088</v>
      </c>
      <c r="AH45">
        <v>7.8632905653815577</v>
      </c>
      <c r="AI45" s="23">
        <f>(0.002*X45-$H$40*0.002)/100/0.000357</f>
        <v>0.70934369747899173</v>
      </c>
    </row>
    <row r="46" spans="2:35" x14ac:dyDescent="0.55000000000000004">
      <c r="F46" s="2" t="s">
        <v>17</v>
      </c>
      <c r="G46" s="22">
        <v>30.31</v>
      </c>
      <c r="H46" s="22">
        <v>11.530552500000001</v>
      </c>
      <c r="I46" s="22">
        <v>5.2239537799999995</v>
      </c>
      <c r="J46" s="22">
        <v>1.8454500000000003</v>
      </c>
      <c r="K46" s="22">
        <v>2.7410884800000002</v>
      </c>
      <c r="L46" s="22">
        <v>1.1969911999999998</v>
      </c>
      <c r="M46" s="22">
        <v>1.0702555653543309</v>
      </c>
      <c r="N46" s="22">
        <v>6.7003504499544499</v>
      </c>
      <c r="O46" s="22">
        <v>22.7</v>
      </c>
      <c r="P46" s="22">
        <f t="shared" si="64"/>
        <v>216.67230000000001</v>
      </c>
      <c r="Q46" s="22">
        <v>1038</v>
      </c>
      <c r="R46" s="23">
        <f t="shared" si="62"/>
        <v>9.1956023528812612</v>
      </c>
      <c r="S46">
        <v>16.427803853754938</v>
      </c>
      <c r="U46" t="s">
        <v>53</v>
      </c>
      <c r="V46" s="23">
        <f t="shared" si="63"/>
        <v>0.60692521008403366</v>
      </c>
      <c r="W46">
        <v>30.370370370370367</v>
      </c>
      <c r="X46">
        <v>13.284067499999999</v>
      </c>
      <c r="Y46">
        <v>0.39270593999999992</v>
      </c>
      <c r="Z46">
        <v>1.5048450000000002</v>
      </c>
      <c r="AA46">
        <v>2.0049775200000006</v>
      </c>
      <c r="AB46">
        <v>1.0239352400000001</v>
      </c>
      <c r="AC46">
        <v>0.74878469480314969</v>
      </c>
      <c r="AD46">
        <v>11.411054475567219</v>
      </c>
      <c r="AE46">
        <v>29.6</v>
      </c>
      <c r="AF46">
        <v>251.74260000000001</v>
      </c>
      <c r="AG46">
        <v>1042</v>
      </c>
      <c r="AH46">
        <v>8.1620130206982413</v>
      </c>
      <c r="AI46" s="23">
        <f>(0.002*X46-$H$40*0.002)/100/0.000357</f>
        <v>0.70516134453781509</v>
      </c>
    </row>
    <row r="47" spans="2:35" x14ac:dyDescent="0.55000000000000004">
      <c r="E47" t="s">
        <v>45</v>
      </c>
      <c r="F47" s="2" t="s">
        <v>16</v>
      </c>
      <c r="G47" s="2"/>
      <c r="H47" s="2">
        <v>47.937622499999996</v>
      </c>
      <c r="I47" s="2">
        <v>3.6391276000000001</v>
      </c>
      <c r="J47" s="2">
        <v>3.4188750000000003</v>
      </c>
      <c r="K47" s="2">
        <v>6.0337617600000009</v>
      </c>
      <c r="L47" s="2">
        <v>3.8635846000000003</v>
      </c>
      <c r="M47" s="2">
        <v>1.1451537448818898</v>
      </c>
      <c r="N47" s="2"/>
      <c r="O47" s="2">
        <v>55.4</v>
      </c>
      <c r="P47" s="2">
        <f>2*H47/100*1000-$C$33</f>
        <v>872.88569999999993</v>
      </c>
      <c r="Q47" s="2">
        <v>1023</v>
      </c>
      <c r="R47" s="25">
        <f t="shared" si="62"/>
        <v>15.401817758345068</v>
      </c>
      <c r="S47">
        <v>8.6515001387182444</v>
      </c>
      <c r="U47" t="s">
        <v>54</v>
      </c>
      <c r="V47">
        <f t="shared" si="63"/>
        <v>2.6465369747899161</v>
      </c>
      <c r="W47" s="6">
        <f>(W45+W46)/2</f>
        <v>29.320987654321236</v>
      </c>
      <c r="X47" s="6">
        <f t="shared" ref="X47:AI47" si="66">(X45+X46)/2</f>
        <v>13.321394999999999</v>
      </c>
      <c r="Y47" s="6">
        <f t="shared" si="66"/>
        <v>0.4889209599999999</v>
      </c>
      <c r="Z47" s="6">
        <f t="shared" si="66"/>
        <v>1.6739662500000003</v>
      </c>
      <c r="AA47" s="6">
        <f t="shared" si="66"/>
        <v>1.8605464800000004</v>
      </c>
      <c r="AB47" s="6">
        <f t="shared" si="66"/>
        <v>1.09040238</v>
      </c>
      <c r="AC47" s="6">
        <f t="shared" si="66"/>
        <v>0.73286883165354344</v>
      </c>
      <c r="AD47" s="6">
        <f t="shared" si="66"/>
        <v>10.152887752667695</v>
      </c>
      <c r="AE47" s="6">
        <f t="shared" si="66"/>
        <v>29.6</v>
      </c>
      <c r="AF47" s="6">
        <f t="shared" si="66"/>
        <v>252.48915000000002</v>
      </c>
      <c r="AG47" s="6">
        <f t="shared" si="66"/>
        <v>1065</v>
      </c>
      <c r="AH47" s="6">
        <f t="shared" si="66"/>
        <v>8.0126517930399004</v>
      </c>
      <c r="AI47" s="6">
        <f t="shared" si="66"/>
        <v>0.70725252100840341</v>
      </c>
    </row>
    <row r="48" spans="2:35" x14ac:dyDescent="0.55000000000000004">
      <c r="F48" s="2" t="s">
        <v>46</v>
      </c>
      <c r="G48" s="22">
        <v>21.419753086419774</v>
      </c>
      <c r="H48" s="22">
        <v>8.7356475000000007</v>
      </c>
      <c r="I48" s="22">
        <v>0.7392376799999999</v>
      </c>
      <c r="J48" s="22">
        <v>1.6635375000000001</v>
      </c>
      <c r="K48" s="22">
        <v>1.4268103200000002</v>
      </c>
      <c r="L48" s="22">
        <v>1.6084465199999998</v>
      </c>
      <c r="M48" s="22">
        <v>0.54931901669291339</v>
      </c>
      <c r="N48" s="22">
        <v>6.6967545497268617</v>
      </c>
      <c r="O48" s="22">
        <v>55.4</v>
      </c>
      <c r="P48" s="22">
        <f t="shared" si="64"/>
        <v>160.77420000000001</v>
      </c>
      <c r="Q48" s="22">
        <v>1023</v>
      </c>
      <c r="R48" s="23">
        <f t="shared" si="62"/>
        <v>2.8368146352308456</v>
      </c>
      <c r="S48">
        <v>3.7035557658362612</v>
      </c>
      <c r="U48" t="s">
        <v>85</v>
      </c>
      <c r="V48" s="23">
        <f t="shared" si="63"/>
        <v>0.45034789915966389</v>
      </c>
    </row>
    <row r="49" spans="5:22" x14ac:dyDescent="0.55000000000000004">
      <c r="E49" t="s">
        <v>47</v>
      </c>
      <c r="F49" s="2" t="s">
        <v>46</v>
      </c>
      <c r="G49" s="22">
        <v>24.043209876543145</v>
      </c>
      <c r="H49" s="22">
        <v>9.7463250000000006</v>
      </c>
      <c r="I49" s="22">
        <v>0.79723697999999998</v>
      </c>
      <c r="J49" s="22">
        <v>1.6964774999999999</v>
      </c>
      <c r="K49" s="22">
        <v>1.81328888</v>
      </c>
      <c r="L49" s="22">
        <v>0.88958587999999994</v>
      </c>
      <c r="M49" s="22">
        <v>0.73350940818897647</v>
      </c>
      <c r="N49" s="22">
        <v>8.3699999999999992</v>
      </c>
      <c r="O49" s="22">
        <v>47.1</v>
      </c>
      <c r="P49" s="22">
        <f t="shared" si="64"/>
        <v>180.98775000000001</v>
      </c>
      <c r="Q49" s="22">
        <v>1030</v>
      </c>
      <c r="R49" s="23">
        <f t="shared" si="62"/>
        <v>3.7307062024611963</v>
      </c>
      <c r="S49">
        <v>1.831319115716616</v>
      </c>
      <c r="U49" s="29" t="s">
        <v>75</v>
      </c>
      <c r="V49" s="23">
        <f t="shared" si="63"/>
        <v>0.50696848739495803</v>
      </c>
    </row>
    <row r="50" spans="5:22" x14ac:dyDescent="0.55000000000000004">
      <c r="E50" t="s">
        <v>52</v>
      </c>
      <c r="F50" s="2" t="s">
        <v>46</v>
      </c>
      <c r="G50" s="22">
        <v>24.444444444444542</v>
      </c>
      <c r="H50" s="22">
        <v>11.798730000000001</v>
      </c>
      <c r="I50" s="22">
        <v>0.6549228399999999</v>
      </c>
      <c r="J50" s="22">
        <v>1.7973225000000002</v>
      </c>
      <c r="K50" s="22">
        <v>1.6836258400000002</v>
      </c>
      <c r="L50" s="22">
        <v>1.00229284</v>
      </c>
      <c r="M50" s="22">
        <v>0.65664022393700794</v>
      </c>
      <c r="N50" s="22">
        <v>6.8509102005075349</v>
      </c>
      <c r="O50" s="22">
        <v>38.6</v>
      </c>
      <c r="P50" s="22">
        <f t="shared" si="64"/>
        <v>222.03585000000001</v>
      </c>
      <c r="Q50" s="22">
        <v>1076</v>
      </c>
      <c r="R50" s="23">
        <f t="shared" si="62"/>
        <v>5.3459331721786691</v>
      </c>
      <c r="S50">
        <v>2.2803676708920637</v>
      </c>
      <c r="U50" t="s">
        <v>111</v>
      </c>
      <c r="V50" s="23">
        <f t="shared" si="63"/>
        <v>0.62194915966386555</v>
      </c>
    </row>
    <row r="51" spans="5:22" x14ac:dyDescent="0.55000000000000004">
      <c r="E51" t="s">
        <v>53</v>
      </c>
      <c r="F51" s="2" t="s">
        <v>46</v>
      </c>
      <c r="G51" s="22">
        <v>36.604938271605207</v>
      </c>
      <c r="H51" s="26">
        <v>18.651870000000002</v>
      </c>
      <c r="I51" s="22">
        <v>2.6906419599999998</v>
      </c>
      <c r="J51" s="22">
        <v>2.8433024999999996</v>
      </c>
      <c r="K51" s="22">
        <v>2.22767896</v>
      </c>
      <c r="L51" s="22">
        <v>1.4133319599999998</v>
      </c>
      <c r="M51" s="22">
        <v>0.90459261826771664</v>
      </c>
      <c r="N51" s="22">
        <v>7.8735202733374869</v>
      </c>
      <c r="O51" s="22">
        <v>20.7</v>
      </c>
      <c r="P51" s="22">
        <f t="shared" si="64"/>
        <v>359.09865000000002</v>
      </c>
      <c r="Q51" s="22">
        <v>1056</v>
      </c>
      <c r="R51" s="23">
        <f t="shared" si="62"/>
        <v>16.427803853754938</v>
      </c>
      <c r="S51">
        <v>4.9655282022053191</v>
      </c>
      <c r="U51" t="s">
        <v>90</v>
      </c>
      <c r="V51" s="23">
        <f t="shared" si="63"/>
        <v>1.0058785714285716</v>
      </c>
    </row>
    <row r="52" spans="5:22" x14ac:dyDescent="0.55000000000000004">
      <c r="E52" t="s">
        <v>54</v>
      </c>
      <c r="F52" s="2" t="s">
        <v>46</v>
      </c>
      <c r="G52" s="22">
        <v>27.500000000000099</v>
      </c>
      <c r="H52" s="22">
        <v>10.519807500000001</v>
      </c>
      <c r="I52" s="22">
        <v>0.70485103999999998</v>
      </c>
      <c r="J52" s="22">
        <v>1.8567900000000002</v>
      </c>
      <c r="K52" s="22">
        <v>1.3864198400000003</v>
      </c>
      <c r="L52" s="22">
        <v>1.0541513600000001</v>
      </c>
      <c r="M52" s="22">
        <v>0.83442485007874012</v>
      </c>
      <c r="N52" s="22">
        <v>11.143555409921358</v>
      </c>
      <c r="O52" s="22">
        <v>20.7</v>
      </c>
      <c r="P52" s="22">
        <f t="shared" si="64"/>
        <v>196.45740000000001</v>
      </c>
      <c r="Q52" s="22">
        <v>1097</v>
      </c>
      <c r="R52" s="23">
        <f t="shared" si="62"/>
        <v>8.6515001387182444</v>
      </c>
      <c r="S52">
        <v>7.3450547696237338</v>
      </c>
      <c r="U52" t="s">
        <v>113</v>
      </c>
      <c r="V52" s="23">
        <f t="shared" si="63"/>
        <v>0.55030084033613447</v>
      </c>
    </row>
    <row r="53" spans="5:22" x14ac:dyDescent="0.55000000000000004">
      <c r="E53" t="s">
        <v>55</v>
      </c>
      <c r="F53" s="2" t="s">
        <v>46</v>
      </c>
      <c r="G53" s="22">
        <v>33.580246913580439</v>
      </c>
      <c r="H53" s="22">
        <v>16.624912500000004</v>
      </c>
      <c r="I53" s="22">
        <v>0.41688169999999991</v>
      </c>
      <c r="J53" s="22">
        <v>1.8654975</v>
      </c>
      <c r="K53" s="22">
        <v>2.3055801599999999</v>
      </c>
      <c r="L53" s="22">
        <v>1.40059624</v>
      </c>
      <c r="M53" s="22">
        <v>0.93583304314960625</v>
      </c>
      <c r="N53" s="22">
        <v>10.030945770430826</v>
      </c>
      <c r="O53" s="22">
        <v>59.3</v>
      </c>
      <c r="P53" s="22">
        <f t="shared" si="64"/>
        <v>318.55950000000007</v>
      </c>
      <c r="Q53" s="22">
        <v>1073</v>
      </c>
      <c r="R53" s="23">
        <f t="shared" si="62"/>
        <v>5.0065221935315565</v>
      </c>
      <c r="U53" t="s">
        <v>123</v>
      </c>
      <c r="V53" s="23">
        <f t="shared" si="63"/>
        <v>0.89232352941176485</v>
      </c>
    </row>
    <row r="54" spans="5:22" x14ac:dyDescent="0.55000000000000004">
      <c r="E54" t="s">
        <v>59</v>
      </c>
      <c r="F54" s="2" t="s">
        <v>46</v>
      </c>
      <c r="G54" s="22">
        <v>22.345679012345727</v>
      </c>
      <c r="H54" s="22">
        <v>6.8025825000000015</v>
      </c>
      <c r="I54" s="22">
        <v>1.1374244599999999</v>
      </c>
      <c r="J54" s="22">
        <v>1.5632325000000002</v>
      </c>
      <c r="K54" s="22">
        <v>1.6382142400000002</v>
      </c>
      <c r="L54" s="22">
        <v>0.8110905599999999</v>
      </c>
      <c r="M54" s="22">
        <v>0.72601959023622042</v>
      </c>
      <c r="N54" s="22">
        <v>9.6671151621095053</v>
      </c>
      <c r="O54" s="22">
        <v>30.7</v>
      </c>
      <c r="P54" s="22">
        <f t="shared" si="64"/>
        <v>122.11290000000002</v>
      </c>
      <c r="Q54" s="22">
        <v>1074</v>
      </c>
      <c r="R54" s="23">
        <f t="shared" si="62"/>
        <v>3.7035557658362612</v>
      </c>
      <c r="U54" t="s">
        <v>124</v>
      </c>
      <c r="V54" s="23">
        <f t="shared" si="63"/>
        <v>0.34205294117647067</v>
      </c>
    </row>
    <row r="55" spans="5:22" x14ac:dyDescent="0.55000000000000004">
      <c r="E55" t="s">
        <v>60</v>
      </c>
      <c r="F55" s="2" t="s">
        <v>46</v>
      </c>
      <c r="G55" s="22">
        <v>28.271604938272105</v>
      </c>
      <c r="H55" s="22">
        <v>13.358722500000001</v>
      </c>
      <c r="I55" s="22">
        <v>0.58513597999999989</v>
      </c>
      <c r="J55" s="22">
        <v>1.8430875000000002</v>
      </c>
      <c r="K55" s="22">
        <v>1.71611544</v>
      </c>
      <c r="L55" s="22">
        <v>1.1568695199999999</v>
      </c>
      <c r="M55" s="22">
        <v>0.71695296850393708</v>
      </c>
      <c r="N55" s="22">
        <v>8.8947210297681707</v>
      </c>
      <c r="O55" s="22">
        <v>29.6</v>
      </c>
      <c r="P55" s="22">
        <f t="shared" si="64"/>
        <v>253.23570000000004</v>
      </c>
      <c r="Q55" s="22">
        <v>1088</v>
      </c>
      <c r="R55" s="23">
        <f t="shared" si="62"/>
        <v>7.8632905653815577</v>
      </c>
      <c r="V55" s="23">
        <f t="shared" si="63"/>
        <v>0.70934369747899173</v>
      </c>
    </row>
    <row r="56" spans="5:22" x14ac:dyDescent="0.55000000000000004">
      <c r="E56" t="s">
        <v>70</v>
      </c>
      <c r="F56" s="2" t="s">
        <v>46</v>
      </c>
      <c r="G56" s="22">
        <v>35.123456790123882</v>
      </c>
      <c r="H56" s="22">
        <v>21.166852500000001</v>
      </c>
      <c r="I56" s="22">
        <v>0.35828175999999995</v>
      </c>
      <c r="J56" s="22">
        <v>1.8029924999999998</v>
      </c>
      <c r="K56" s="22">
        <v>3.0800140800000002</v>
      </c>
      <c r="L56" s="22">
        <v>1.51688252</v>
      </c>
      <c r="M56" s="22">
        <v>1.1271190516535432</v>
      </c>
      <c r="N56" s="22">
        <v>6.0713143784703369</v>
      </c>
      <c r="O56" s="22">
        <v>118.6</v>
      </c>
      <c r="P56" s="22">
        <f t="shared" si="64"/>
        <v>409.39829999999995</v>
      </c>
      <c r="Q56" s="22">
        <v>1096</v>
      </c>
      <c r="R56" s="23">
        <f t="shared" si="62"/>
        <v>3.1495665673736166</v>
      </c>
      <c r="V56" s="23">
        <f t="shared" si="63"/>
        <v>1.1467739495798321</v>
      </c>
    </row>
    <row r="57" spans="5:22" x14ac:dyDescent="0.55000000000000004">
      <c r="E57" t="s">
        <v>72</v>
      </c>
      <c r="F57" s="2" t="s">
        <v>46</v>
      </c>
      <c r="G57" s="22">
        <v>42.99382716049346</v>
      </c>
      <c r="H57" s="22">
        <v>30.598357500000002</v>
      </c>
      <c r="I57" s="22">
        <v>0.28128721999999995</v>
      </c>
      <c r="J57" s="22">
        <v>1.8060300000000002</v>
      </c>
      <c r="K57" s="22">
        <v>4.6122679199999999</v>
      </c>
      <c r="L57" s="22">
        <v>1.9211791999999999</v>
      </c>
      <c r="M57" s="22">
        <v>1.5495053640944882</v>
      </c>
      <c r="N57" s="22">
        <v>2.2251999563989742</v>
      </c>
      <c r="O57" s="22">
        <v>296.39999999999998</v>
      </c>
      <c r="P57" s="22">
        <f t="shared" si="64"/>
        <v>598.02840000000003</v>
      </c>
      <c r="Q57" s="22">
        <v>1079</v>
      </c>
      <c r="R57" s="23">
        <f t="shared" si="62"/>
        <v>1.869916289261687</v>
      </c>
      <c r="V57" s="23">
        <f t="shared" si="63"/>
        <v>1.6751495798319329</v>
      </c>
    </row>
    <row r="58" spans="5:22" x14ac:dyDescent="0.55000000000000004">
      <c r="E58" t="s">
        <v>73</v>
      </c>
      <c r="F58" s="2" t="s">
        <v>46</v>
      </c>
      <c r="G58" s="2">
        <v>59.444444444444116</v>
      </c>
      <c r="H58" s="2">
        <v>36.053505000000001</v>
      </c>
      <c r="I58" s="2">
        <v>0.22572802</v>
      </c>
      <c r="J58" s="2">
        <v>1.7275949999999998</v>
      </c>
      <c r="K58" s="2">
        <v>5.80227336</v>
      </c>
      <c r="L58" s="2">
        <v>2.1993672799999997</v>
      </c>
      <c r="M58" s="2">
        <v>1.6805771782677166</v>
      </c>
      <c r="N58" s="2">
        <v>11.755398606176399</v>
      </c>
      <c r="O58" s="22">
        <v>592.79999999999995</v>
      </c>
      <c r="P58" s="22">
        <f t="shared" si="64"/>
        <v>707.13135</v>
      </c>
      <c r="Q58" s="22">
        <v>1076</v>
      </c>
      <c r="R58" s="23">
        <f t="shared" si="62"/>
        <v>1.1086121280646568</v>
      </c>
      <c r="V58" s="23">
        <f t="shared" si="63"/>
        <v>1.9807600840336133</v>
      </c>
    </row>
    <row r="59" spans="5:22" x14ac:dyDescent="0.55000000000000004">
      <c r="E59" s="30" t="s">
        <v>75</v>
      </c>
      <c r="F59" s="31" t="s">
        <v>46</v>
      </c>
      <c r="G59" s="31"/>
      <c r="H59" s="31">
        <v>4.3799400000000004</v>
      </c>
      <c r="I59" s="31">
        <v>0.92415972000000002</v>
      </c>
      <c r="J59" s="31">
        <v>1.3691024999999999</v>
      </c>
      <c r="K59" s="31">
        <v>1.5299647999999999</v>
      </c>
      <c r="L59" s="31">
        <v>0.58076548000000006</v>
      </c>
      <c r="M59" s="31">
        <v>0.63318526771653549</v>
      </c>
      <c r="N59" s="31"/>
      <c r="O59" s="31">
        <v>36.799999999999997</v>
      </c>
      <c r="P59" s="31">
        <f t="shared" si="64"/>
        <v>73.660050000000012</v>
      </c>
      <c r="Q59" s="31">
        <v>1093</v>
      </c>
      <c r="R59" s="30">
        <f t="shared" si="62"/>
        <v>1.831319115716616</v>
      </c>
      <c r="V59" s="30">
        <f t="shared" si="63"/>
        <v>0.20633067226890761</v>
      </c>
    </row>
    <row r="60" spans="5:22" x14ac:dyDescent="0.55000000000000004">
      <c r="E60" s="30" t="s">
        <v>76</v>
      </c>
      <c r="F60" s="31" t="s">
        <v>46</v>
      </c>
      <c r="G60" s="31"/>
      <c r="H60" s="31">
        <v>0.7</v>
      </c>
      <c r="I60" s="31"/>
      <c r="J60" s="31"/>
      <c r="K60" s="31"/>
      <c r="L60" s="31"/>
      <c r="M60" s="31"/>
      <c r="N60" s="31"/>
      <c r="O60" s="31">
        <v>38.200000000000003</v>
      </c>
      <c r="P60" s="31">
        <f t="shared" si="64"/>
        <v>6.1249999999997584E-2</v>
      </c>
      <c r="Q60" s="31">
        <v>1058</v>
      </c>
      <c r="R60" s="30">
        <f t="shared" si="62"/>
        <v>1.5155039143300501E-3</v>
      </c>
      <c r="V60" s="30">
        <f t="shared" si="63"/>
        <v>1.7156862745097581E-4</v>
      </c>
    </row>
    <row r="61" spans="5:22" x14ac:dyDescent="0.55000000000000004">
      <c r="E61" t="s">
        <v>77</v>
      </c>
      <c r="F61" s="2" t="s">
        <v>46</v>
      </c>
      <c r="G61" s="22">
        <v>17.716049382715923</v>
      </c>
      <c r="H61" s="22">
        <v>4.1843250000000003</v>
      </c>
      <c r="I61" s="22">
        <v>0.96102399999999988</v>
      </c>
      <c r="J61" s="22">
        <v>1.3153724999999998</v>
      </c>
      <c r="K61" s="22">
        <v>1.8104091200000001</v>
      </c>
      <c r="L61" s="22">
        <v>0.52349635999999999</v>
      </c>
      <c r="M61" s="22">
        <v>0.64422289417322842</v>
      </c>
      <c r="N61" s="22">
        <v>8.2771995085426937</v>
      </c>
      <c r="O61" s="22">
        <v>36.799999999999997</v>
      </c>
      <c r="P61" s="22">
        <f t="shared" si="64"/>
        <v>69.747750000000011</v>
      </c>
      <c r="Q61" s="22">
        <v>1095</v>
      </c>
      <c r="R61" s="23">
        <f t="shared" si="62"/>
        <v>1.7308851995235264</v>
      </c>
      <c r="V61" s="23">
        <f t="shared" si="63"/>
        <v>0.19537184873949578</v>
      </c>
    </row>
    <row r="62" spans="5:22" x14ac:dyDescent="0.55000000000000004">
      <c r="E62" s="30" t="s">
        <v>79</v>
      </c>
      <c r="F62" s="31" t="s">
        <v>46</v>
      </c>
      <c r="G62" s="31"/>
      <c r="H62" s="31">
        <v>19.96</v>
      </c>
      <c r="I62" s="31"/>
      <c r="J62" s="31"/>
      <c r="K62" s="31"/>
      <c r="L62" s="31"/>
      <c r="M62" s="31"/>
      <c r="N62" s="31"/>
      <c r="O62" s="31">
        <v>188.4</v>
      </c>
      <c r="P62" s="31">
        <f t="shared" si="64"/>
        <v>385.26124999999996</v>
      </c>
      <c r="Q62" s="31">
        <v>1098</v>
      </c>
      <c r="R62" s="30">
        <f t="shared" si="62"/>
        <v>1.8623962599437696</v>
      </c>
      <c r="V62" s="30">
        <f t="shared" si="63"/>
        <v>1.0791631652661064</v>
      </c>
    </row>
    <row r="63" spans="5:22" x14ac:dyDescent="0.55000000000000004">
      <c r="E63" s="30" t="s">
        <v>78</v>
      </c>
      <c r="F63" s="31" t="s">
        <v>46</v>
      </c>
      <c r="G63" s="31"/>
      <c r="H63" s="31"/>
      <c r="I63" s="31"/>
      <c r="J63" s="31"/>
      <c r="K63" s="31"/>
      <c r="L63" s="31"/>
      <c r="M63" s="31"/>
      <c r="N63" s="31"/>
      <c r="O63" s="31">
        <v>94.2</v>
      </c>
      <c r="P63" s="31">
        <f>2*H63/100*1000-$C$34</f>
        <v>-13.938750000000001</v>
      </c>
      <c r="Q63" s="31">
        <v>1101</v>
      </c>
      <c r="R63" s="30">
        <f t="shared" si="62"/>
        <v>-0.13439577222791094</v>
      </c>
      <c r="V63" s="30">
        <f t="shared" si="63"/>
        <v>-3.9044117647058826E-2</v>
      </c>
    </row>
    <row r="64" spans="5:22" x14ac:dyDescent="0.55000000000000004">
      <c r="E64" t="s">
        <v>80</v>
      </c>
      <c r="F64" s="2" t="s">
        <v>46</v>
      </c>
      <c r="G64" s="22"/>
      <c r="H64" s="22">
        <v>22.52</v>
      </c>
      <c r="I64" s="22"/>
      <c r="J64" s="22"/>
      <c r="K64" s="22"/>
      <c r="L64" s="22"/>
      <c r="M64" s="22"/>
      <c r="N64" s="22"/>
      <c r="O64" s="22">
        <v>41.4</v>
      </c>
      <c r="P64" s="22">
        <f t="shared" si="64"/>
        <v>436.46124999999995</v>
      </c>
      <c r="Q64" s="22">
        <v>1089</v>
      </c>
      <c r="R64" s="23">
        <f t="shared" si="62"/>
        <v>9.6809387240876035</v>
      </c>
      <c r="V64" s="23">
        <f t="shared" si="63"/>
        <v>1.2225805322128849</v>
      </c>
    </row>
    <row r="65" spans="5:22" x14ac:dyDescent="0.55000000000000004">
      <c r="E65" s="30" t="s">
        <v>113</v>
      </c>
      <c r="F65" s="31" t="s">
        <v>46</v>
      </c>
      <c r="G65" s="31">
        <v>36.388888888888559</v>
      </c>
      <c r="H65" s="31">
        <v>18.155205000000002</v>
      </c>
      <c r="I65" s="31">
        <v>0.32599736000000001</v>
      </c>
      <c r="J65" s="31">
        <v>1.6748099999999999</v>
      </c>
      <c r="K65" s="31">
        <v>2.2439237600000004</v>
      </c>
      <c r="L65" s="31">
        <v>1.32443164</v>
      </c>
      <c r="M65" s="31">
        <v>0.72769494425196868</v>
      </c>
      <c r="N65" s="31">
        <v>11.936826184636587</v>
      </c>
      <c r="O65" s="31">
        <v>37.700000000000003</v>
      </c>
      <c r="P65" s="31">
        <f t="shared" si="64"/>
        <v>349.16534999999999</v>
      </c>
      <c r="Q65" s="31">
        <v>1082</v>
      </c>
      <c r="R65" s="30">
        <f t="shared" si="62"/>
        <v>8.5597785317493376</v>
      </c>
      <c r="V65" s="30">
        <f t="shared" si="63"/>
        <v>0.97805420168067236</v>
      </c>
    </row>
    <row r="66" spans="5:22" x14ac:dyDescent="0.55000000000000004">
      <c r="E66" t="s">
        <v>90</v>
      </c>
      <c r="F66" s="2" t="s">
        <v>46</v>
      </c>
      <c r="G66" s="22">
        <v>32.685185185185276</v>
      </c>
      <c r="H66" s="22">
        <v>12.493304999999999</v>
      </c>
      <c r="I66" s="22">
        <v>0.60743473999999997</v>
      </c>
      <c r="J66" s="22">
        <v>1.5871949999999999</v>
      </c>
      <c r="K66" s="22">
        <v>2.1152944800000002</v>
      </c>
      <c r="L66" s="31">
        <v>8.1687573999999987</v>
      </c>
      <c r="M66" s="22">
        <v>0.75863971842519695</v>
      </c>
      <c r="N66" s="22">
        <v>6.9545588467600794</v>
      </c>
      <c r="O66" s="22">
        <v>37.700000000000003</v>
      </c>
      <c r="P66" s="22">
        <f t="shared" si="64"/>
        <v>235.92734999999999</v>
      </c>
      <c r="Q66" s="22">
        <v>1089</v>
      </c>
      <c r="R66" s="23">
        <f t="shared" si="62"/>
        <v>5.7465747418725472</v>
      </c>
      <c r="V66" s="23">
        <f t="shared" si="63"/>
        <v>0.66086092436974786</v>
      </c>
    </row>
    <row r="67" spans="5:22" x14ac:dyDescent="0.55000000000000004">
      <c r="E67" t="s">
        <v>111</v>
      </c>
      <c r="F67" s="2" t="s">
        <v>46</v>
      </c>
      <c r="G67" s="22">
        <v>19.25925925925938</v>
      </c>
      <c r="H67" s="22">
        <v>3.3001425000000002</v>
      </c>
      <c r="I67" s="22">
        <v>1.46788908</v>
      </c>
      <c r="J67" s="22">
        <v>1.3354874999999999</v>
      </c>
      <c r="K67" s="22">
        <v>0.99624928000000001</v>
      </c>
      <c r="L67" s="31">
        <v>0</v>
      </c>
      <c r="M67" s="22">
        <v>0.49846709480314971</v>
      </c>
      <c r="N67" s="22">
        <v>11.66102380445623</v>
      </c>
      <c r="O67" s="2">
        <v>21.1</v>
      </c>
      <c r="P67" s="22">
        <f t="shared" si="64"/>
        <v>52.064099999999996</v>
      </c>
      <c r="Q67" s="2">
        <v>1082</v>
      </c>
      <c r="R67" s="23">
        <f t="shared" si="62"/>
        <v>2.2804925055409058</v>
      </c>
      <c r="V67" s="23">
        <f t="shared" si="63"/>
        <v>0.14583781512605043</v>
      </c>
    </row>
    <row r="68" spans="5:22" x14ac:dyDescent="0.55000000000000004">
      <c r="E68" t="s">
        <v>136</v>
      </c>
      <c r="F68" s="2" t="s">
        <v>46</v>
      </c>
      <c r="G68" s="22">
        <v>36.388888888888559</v>
      </c>
      <c r="H68" s="22">
        <v>15.648592499999999</v>
      </c>
      <c r="I68" s="22">
        <v>0.44717647999999988</v>
      </c>
      <c r="J68" s="22">
        <v>1.6524000000000001</v>
      </c>
      <c r="K68" s="22">
        <v>2.64805008</v>
      </c>
      <c r="L68" s="22">
        <v>1.4444637199999999</v>
      </c>
      <c r="M68" s="22">
        <v>1.1688058015748033</v>
      </c>
      <c r="N68" s="22">
        <v>13.379400307313759</v>
      </c>
      <c r="O68" s="2">
        <v>37.700000000000003</v>
      </c>
      <c r="P68" s="22">
        <f t="shared" si="64"/>
        <v>299.03309999999999</v>
      </c>
      <c r="Q68" s="2">
        <v>1080</v>
      </c>
      <c r="R68" s="23">
        <f t="shared" si="62"/>
        <v>7.3443633952254634</v>
      </c>
      <c r="V68" s="23">
        <f>(0.002*H68-$H$40*0.002)/100/0.000357</f>
        <v>0.83762773109243704</v>
      </c>
    </row>
    <row r="69" spans="5:22" x14ac:dyDescent="0.55000000000000004">
      <c r="E69" t="s">
        <v>184</v>
      </c>
      <c r="F69" s="2" t="s">
        <v>46</v>
      </c>
      <c r="G69" s="22">
        <v>85.462962962962848</v>
      </c>
      <c r="H69" s="22">
        <v>35.909797500000003</v>
      </c>
      <c r="I69" s="22">
        <v>0.17658815999999999</v>
      </c>
      <c r="J69" s="22">
        <v>1.4354549999999999</v>
      </c>
      <c r="K69" s="22">
        <v>8.6348496000000008</v>
      </c>
      <c r="L69" s="22">
        <v>3.1769378399999999</v>
      </c>
      <c r="M69" s="22">
        <v>2.8494815300787404</v>
      </c>
      <c r="N69" s="22">
        <v>33.279853332884102</v>
      </c>
      <c r="O69" s="2"/>
      <c r="P69" s="22">
        <f t="shared" si="64"/>
        <v>704.25720000000001</v>
      </c>
      <c r="Q69" s="2">
        <v>1077</v>
      </c>
      <c r="R69" s="23" t="e">
        <f t="shared" si="62"/>
        <v>#DIV/0!</v>
      </c>
      <c r="V69" s="29">
        <f>(0.002*H69-$H$40*0.002)/100/0.000357</f>
        <v>1.9727092436974791</v>
      </c>
    </row>
    <row r="70" spans="5:22" x14ac:dyDescent="0.55000000000000004">
      <c r="E70" t="s">
        <v>185</v>
      </c>
      <c r="F70" s="2" t="s">
        <v>46</v>
      </c>
      <c r="G70" s="22">
        <v>33.086419753086119</v>
      </c>
      <c r="H70" s="22">
        <v>12.4278975</v>
      </c>
      <c r="I70" s="22">
        <v>0.81574419999999992</v>
      </c>
      <c r="J70" s="22">
        <v>1.7622225000000002</v>
      </c>
      <c r="K70" s="22">
        <v>2.3911607199999998</v>
      </c>
      <c r="L70" s="22">
        <v>1.3643868399999999</v>
      </c>
      <c r="M70" s="22">
        <v>0.82939878803149625</v>
      </c>
      <c r="N70" s="22">
        <v>13.49560920505462</v>
      </c>
      <c r="O70" s="2"/>
      <c r="P70" s="22">
        <f t="shared" si="64"/>
        <v>234.61920000000001</v>
      </c>
      <c r="Q70" s="2">
        <v>1089</v>
      </c>
      <c r="R70" s="23" t="e">
        <f t="shared" si="62"/>
        <v>#DIV/0!</v>
      </c>
      <c r="V70" s="29">
        <f>(0.002*H70-$H$40*0.002)/100/0.000357</f>
        <v>0.65719663865546218</v>
      </c>
    </row>
    <row r="71" spans="5:22" x14ac:dyDescent="0.55000000000000004">
      <c r="E71" t="s">
        <v>186</v>
      </c>
      <c r="F71" s="2" t="s">
        <v>46</v>
      </c>
      <c r="G71" s="22"/>
      <c r="H71" s="22">
        <v>27.798862499999998</v>
      </c>
      <c r="I71" s="22">
        <v>0.25087981999999998</v>
      </c>
      <c r="J71" s="22">
        <v>1.9319175000000002</v>
      </c>
      <c r="K71" s="22">
        <v>4.2531840000000001</v>
      </c>
      <c r="L71" s="22">
        <v>0.75290579999999996</v>
      </c>
      <c r="M71" s="22">
        <v>1.4202074541732284</v>
      </c>
      <c r="N71" s="22"/>
      <c r="O71" s="2"/>
      <c r="P71" s="22">
        <f t="shared" si="64"/>
        <v>542.0385</v>
      </c>
      <c r="Q71" s="2">
        <v>1079</v>
      </c>
      <c r="R71" s="23" t="e">
        <f t="shared" si="62"/>
        <v>#DIV/0!</v>
      </c>
      <c r="V71" s="29">
        <f t="shared" si="63"/>
        <v>1.51831512605042</v>
      </c>
    </row>
    <row r="72" spans="5:22" x14ac:dyDescent="0.55000000000000004">
      <c r="E72" t="s">
        <v>165</v>
      </c>
      <c r="F72" s="2" t="s">
        <v>46</v>
      </c>
      <c r="G72" s="22">
        <v>31.26543209876553</v>
      </c>
      <c r="H72" s="22">
        <v>10.9875825</v>
      </c>
      <c r="I72" s="22">
        <v>0.6825147399999999</v>
      </c>
      <c r="J72" s="22">
        <v>1.6627949999999998</v>
      </c>
      <c r="K72" s="22">
        <v>1.9547663200000003</v>
      </c>
      <c r="L72" s="31">
        <v>7.8935659600000001</v>
      </c>
      <c r="M72" s="22">
        <v>0.76425708188976371</v>
      </c>
      <c r="N72" s="22">
        <v>7.3199504968757658</v>
      </c>
      <c r="O72" s="22">
        <v>37.700000000000003</v>
      </c>
      <c r="P72" s="22">
        <f t="shared" si="64"/>
        <v>205.81289999999998</v>
      </c>
      <c r="Q72" s="2">
        <v>1089</v>
      </c>
      <c r="R72" s="23">
        <f t="shared" si="62"/>
        <v>5.0130653046013531</v>
      </c>
      <c r="V72" s="23">
        <f>(0.002*H72-$H$40*0.002)/100/0.000357</f>
        <v>0.57650672268907566</v>
      </c>
    </row>
    <row r="73" spans="5:22" x14ac:dyDescent="0.55000000000000004">
      <c r="E73" t="s">
        <v>148</v>
      </c>
      <c r="F73" s="2" t="s">
        <v>46</v>
      </c>
      <c r="G73" s="22"/>
      <c r="H73" s="22">
        <v>28.509435</v>
      </c>
      <c r="I73" s="22"/>
      <c r="J73" s="22"/>
      <c r="K73" s="22"/>
      <c r="L73" s="22"/>
      <c r="M73" s="22"/>
      <c r="N73" s="22"/>
      <c r="O73" s="22">
        <v>82.8</v>
      </c>
      <c r="P73" s="22">
        <f t="shared" si="64"/>
        <v>556.24995000000001</v>
      </c>
      <c r="Q73" s="2">
        <v>1053</v>
      </c>
      <c r="R73" s="23">
        <f t="shared" si="62"/>
        <v>6.3798618852966689</v>
      </c>
      <c r="V73" s="23">
        <f t="shared" ref="V73:V92" si="67">(0.002*H73-$H$40*0.002)/100/0.000357</f>
        <v>1.5581231092436973</v>
      </c>
    </row>
    <row r="74" spans="5:22" x14ac:dyDescent="0.55000000000000004">
      <c r="E74" t="s">
        <v>167</v>
      </c>
      <c r="F74" s="2" t="s">
        <v>46</v>
      </c>
      <c r="G74" s="22"/>
      <c r="H74" s="22">
        <v>39.101129999999998</v>
      </c>
      <c r="I74" s="22"/>
      <c r="J74" s="22"/>
      <c r="K74" s="22"/>
      <c r="L74" s="22"/>
      <c r="M74" s="22"/>
      <c r="N74" s="22"/>
      <c r="O74" s="22">
        <v>414.2</v>
      </c>
      <c r="P74" s="22">
        <f t="shared" si="64"/>
        <v>768.08384999999987</v>
      </c>
      <c r="Q74" s="2">
        <v>1072</v>
      </c>
      <c r="R74" s="23">
        <f>P74/O74/Q74*1000</f>
        <v>1.7298313103122722</v>
      </c>
      <c r="V74" s="23">
        <f>(0.002*H74-$H$40*0.002)/100/0.000357</f>
        <v>2.1514953781512602</v>
      </c>
    </row>
    <row r="75" spans="5:22" x14ac:dyDescent="0.55000000000000004">
      <c r="E75" t="s">
        <v>162</v>
      </c>
      <c r="F75" s="2" t="s">
        <v>46</v>
      </c>
      <c r="G75" s="22"/>
      <c r="H75" s="22">
        <v>10.8543375</v>
      </c>
      <c r="I75" s="22">
        <v>0.66847477999999994</v>
      </c>
      <c r="J75" s="22">
        <v>1.7228025</v>
      </c>
      <c r="K75" s="22">
        <v>1.4681607200000002</v>
      </c>
      <c r="L75" s="22">
        <v>1.0955216400000001</v>
      </c>
      <c r="M75" s="22">
        <v>0.65772427653543319</v>
      </c>
      <c r="N75" s="22"/>
      <c r="O75" s="22">
        <v>37.700000000000003</v>
      </c>
      <c r="P75" s="22">
        <f>2*H75/100*1000-$C$34</f>
        <v>203.148</v>
      </c>
      <c r="Q75" s="2">
        <v>1086</v>
      </c>
      <c r="R75" s="23">
        <f t="shared" si="62"/>
        <v>4.9618242302563127</v>
      </c>
      <c r="V75" s="23">
        <f t="shared" si="67"/>
        <v>0.56904201680672273</v>
      </c>
    </row>
    <row r="76" spans="5:22" x14ac:dyDescent="0.55000000000000004">
      <c r="E76" t="s">
        <v>189</v>
      </c>
      <c r="F76" s="2" t="s">
        <v>46</v>
      </c>
      <c r="H76" s="2">
        <v>9.2736225000000001</v>
      </c>
      <c r="I76" s="2">
        <v>0</v>
      </c>
      <c r="J76" s="2">
        <v>0</v>
      </c>
      <c r="K76" s="2">
        <v>1.5646695999999998</v>
      </c>
      <c r="L76" s="2">
        <v>0.93536787999999993</v>
      </c>
      <c r="M76" s="2">
        <v>0.5291162182677166</v>
      </c>
      <c r="O76" s="22">
        <v>23.9</v>
      </c>
      <c r="P76" s="22">
        <f t="shared" si="64"/>
        <v>171.53370000000001</v>
      </c>
      <c r="Q76" s="2">
        <v>1055</v>
      </c>
      <c r="R76" s="23">
        <f t="shared" si="62"/>
        <v>6.8029784449423945</v>
      </c>
      <c r="V76" s="23">
        <f t="shared" si="67"/>
        <v>0.4804865546218488</v>
      </c>
    </row>
    <row r="77" spans="5:22" x14ac:dyDescent="0.55000000000000004">
      <c r="E77" t="s">
        <v>192</v>
      </c>
      <c r="F77" s="2" t="s">
        <v>46</v>
      </c>
      <c r="G77" s="2">
        <v>59.320987654320945</v>
      </c>
      <c r="H77" s="2">
        <v>30.652290000000004</v>
      </c>
      <c r="I77" s="2">
        <v>0</v>
      </c>
      <c r="J77" s="2">
        <v>1.9014750000000005</v>
      </c>
      <c r="K77" s="2">
        <v>4.6883969600000004</v>
      </c>
      <c r="L77" s="2">
        <v>2.3459529199999998</v>
      </c>
      <c r="M77" s="2">
        <v>1.8935442387401575</v>
      </c>
      <c r="N77" s="2">
        <v>17.839328535580783</v>
      </c>
      <c r="O77" s="2">
        <v>17.839328535580783</v>
      </c>
      <c r="P77" s="22">
        <f t="shared" si="64"/>
        <v>599.10705000000007</v>
      </c>
      <c r="Q77" s="2">
        <v>1088</v>
      </c>
      <c r="R77" s="23">
        <f t="shared" si="62"/>
        <v>30.867185445577412</v>
      </c>
      <c r="V77" s="23">
        <f t="shared" si="67"/>
        <v>1.6781710084033616</v>
      </c>
    </row>
    <row r="78" spans="5:22" x14ac:dyDescent="0.55000000000000004">
      <c r="E78" t="s">
        <v>197</v>
      </c>
      <c r="F78" s="2" t="s">
        <v>46</v>
      </c>
      <c r="G78" s="2">
        <v>59.598765432098624</v>
      </c>
      <c r="H78" s="2">
        <v>26.485447500000003</v>
      </c>
      <c r="I78" s="2"/>
      <c r="J78" s="2">
        <v>3.3430050000000002</v>
      </c>
      <c r="K78" s="2">
        <v>8.1472102400000015</v>
      </c>
      <c r="L78" s="2">
        <v>2.60366396</v>
      </c>
      <c r="M78" s="2">
        <v>1.9183788982677166</v>
      </c>
      <c r="N78" s="2"/>
      <c r="O78" s="2">
        <v>20.7</v>
      </c>
      <c r="P78" s="22">
        <f>2*H78/100*1000-$C$34</f>
        <v>515.77020000000005</v>
      </c>
      <c r="Q78" s="2">
        <v>1403</v>
      </c>
      <c r="R78" s="23">
        <f t="shared" si="62"/>
        <v>17.759397564225733</v>
      </c>
      <c r="V78" s="23">
        <f>(0.002*H78-1.09*0.002)/100/0.000357</f>
        <v>1.4227141456582635</v>
      </c>
    </row>
    <row r="79" spans="5:22" x14ac:dyDescent="0.55000000000000004">
      <c r="E79" t="s">
        <v>198</v>
      </c>
      <c r="G79" s="2">
        <v>72.314814814815193</v>
      </c>
      <c r="H79" s="2">
        <v>24.090209999999999</v>
      </c>
      <c r="I79" s="2"/>
      <c r="J79" s="2">
        <v>1.9016099999999998</v>
      </c>
      <c r="K79" s="2">
        <v>13.031726240000003</v>
      </c>
      <c r="L79" s="2">
        <v>3.3082073199999993</v>
      </c>
      <c r="M79" s="2">
        <v>1.8937413392125984</v>
      </c>
      <c r="N79" s="2"/>
      <c r="O79" s="2">
        <v>20.7</v>
      </c>
      <c r="P79" s="22">
        <f t="shared" si="64"/>
        <v>467.86544999999995</v>
      </c>
      <c r="Q79" s="2">
        <v>1682</v>
      </c>
      <c r="R79" s="23">
        <f t="shared" si="62"/>
        <v>13.4376906374399</v>
      </c>
      <c r="V79" s="23">
        <f>(0.002*H79-1.09*0.002)/100/0.000357</f>
        <v>1.2885271708683472</v>
      </c>
    </row>
    <row r="80" spans="5:22" x14ac:dyDescent="0.55000000000000004">
      <c r="E80" t="s">
        <v>199</v>
      </c>
      <c r="G80" s="2">
        <v>76.851851851852075</v>
      </c>
      <c r="H80" s="2">
        <v>21.176369999999999</v>
      </c>
      <c r="I80" s="2"/>
      <c r="J80" s="2">
        <v>1.9016774999999999</v>
      </c>
      <c r="K80" s="2">
        <v>15.787361200000003</v>
      </c>
      <c r="L80" s="2">
        <v>3.2567649999999997</v>
      </c>
      <c r="M80" s="2">
        <v>3.8925372302362211</v>
      </c>
      <c r="N80" s="2"/>
      <c r="O80" s="2">
        <v>20.7</v>
      </c>
      <c r="P80" s="22">
        <f t="shared" si="64"/>
        <v>409.58864999999997</v>
      </c>
      <c r="Q80" s="2">
        <v>2106</v>
      </c>
      <c r="R80" s="23">
        <f>P80/O80/Q80*1000</f>
        <v>9.3954849498327757</v>
      </c>
      <c r="V80" s="23">
        <f>(0.002*H80-1.09*0.002)/100/0.000357</f>
        <v>1.1252868347338936</v>
      </c>
    </row>
    <row r="81" spans="5:22" x14ac:dyDescent="0.55000000000000004">
      <c r="E81" t="s">
        <v>200</v>
      </c>
      <c r="G81" s="2">
        <v>27.067901234567913</v>
      </c>
      <c r="H81" s="2">
        <v>12.65868</v>
      </c>
      <c r="I81" s="2">
        <v>0.73995094000000006</v>
      </c>
      <c r="J81" s="2">
        <v>1.8255375</v>
      </c>
      <c r="K81" s="2">
        <v>2.1649888000000006</v>
      </c>
      <c r="L81" s="2">
        <v>1.2551759600000001</v>
      </c>
      <c r="M81" s="2">
        <v>0.60953321102362212</v>
      </c>
      <c r="N81" s="2">
        <v>7.8140348235442936</v>
      </c>
      <c r="O81" s="2">
        <v>34.299999999999997</v>
      </c>
      <c r="P81" s="22">
        <f t="shared" si="64"/>
        <v>239.23484999999999</v>
      </c>
      <c r="Q81" s="2">
        <v>1080</v>
      </c>
      <c r="R81" s="23">
        <f t="shared" si="62"/>
        <v>6.4581268221574346</v>
      </c>
      <c r="V81" s="23">
        <f t="shared" si="67"/>
        <v>0.67012563025210092</v>
      </c>
    </row>
    <row r="82" spans="5:22" x14ac:dyDescent="0.55000000000000004">
      <c r="E82" s="34" t="s">
        <v>9</v>
      </c>
      <c r="G82" s="2">
        <v>0</v>
      </c>
      <c r="H82" s="2">
        <v>41.090220000000002</v>
      </c>
      <c r="I82" s="2">
        <v>2.39981958</v>
      </c>
      <c r="J82" s="2">
        <v>2.8071225000000002</v>
      </c>
      <c r="K82" s="2">
        <v>5.678960560000001</v>
      </c>
      <c r="L82" s="2">
        <v>3.3668082799999999</v>
      </c>
      <c r="M82" s="2">
        <v>0.92686497165354342</v>
      </c>
      <c r="N82" s="2"/>
      <c r="O82" s="2"/>
      <c r="P82" s="22">
        <f t="shared" si="64"/>
        <v>807.86564999999996</v>
      </c>
      <c r="R82" s="23" t="e">
        <f t="shared" si="62"/>
        <v>#DIV/0!</v>
      </c>
      <c r="V82" s="23">
        <f t="shared" si="67"/>
        <v>2.2629289915966386</v>
      </c>
    </row>
    <row r="83" spans="5:22" x14ac:dyDescent="0.55000000000000004">
      <c r="E83" s="34" t="s">
        <v>201</v>
      </c>
      <c r="G83" s="2">
        <v>0</v>
      </c>
      <c r="H83" s="2">
        <v>10.930005</v>
      </c>
      <c r="I83" s="2">
        <v>11.646784999999999</v>
      </c>
      <c r="J83" s="2">
        <v>2.3459625000000002</v>
      </c>
      <c r="K83" s="2">
        <v>3.0285476</v>
      </c>
      <c r="L83" s="2">
        <v>1.2887216799999999</v>
      </c>
      <c r="M83" s="2">
        <v>0.625991100472441</v>
      </c>
      <c r="N83" s="2"/>
      <c r="O83" s="2"/>
      <c r="P83" s="22">
        <f t="shared" si="64"/>
        <v>204.66135</v>
      </c>
      <c r="R83" s="23" t="e">
        <f t="shared" si="62"/>
        <v>#DIV/0!</v>
      </c>
      <c r="V83" s="23">
        <f t="shared" si="67"/>
        <v>0.57328109243697478</v>
      </c>
    </row>
    <row r="84" spans="5:22" x14ac:dyDescent="0.55000000000000004">
      <c r="E84" t="s">
        <v>206</v>
      </c>
      <c r="G84" s="2">
        <v>0</v>
      </c>
      <c r="H84" s="2">
        <v>7.5529125000000006</v>
      </c>
      <c r="I84" s="2">
        <v>11.24439374</v>
      </c>
      <c r="J84" s="2">
        <v>2.2807575000000004</v>
      </c>
      <c r="K84" s="2">
        <v>2.7591054400000004</v>
      </c>
      <c r="L84" s="2">
        <v>1.2224626399999998</v>
      </c>
      <c r="M84" s="2">
        <v>0.6404779851968504</v>
      </c>
      <c r="N84" s="2"/>
      <c r="O84" s="2"/>
      <c r="P84" s="22">
        <f t="shared" si="64"/>
        <v>137.11950000000002</v>
      </c>
      <c r="R84" s="23" t="e">
        <f t="shared" si="62"/>
        <v>#DIV/0!</v>
      </c>
      <c r="V84" s="23"/>
    </row>
    <row r="85" spans="5:22" x14ac:dyDescent="0.55000000000000004">
      <c r="E85" t="s">
        <v>207</v>
      </c>
      <c r="G85" s="2">
        <v>49.87654320987658</v>
      </c>
      <c r="H85" s="2">
        <v>20.519797499999999</v>
      </c>
      <c r="I85" s="2">
        <v>0</v>
      </c>
      <c r="J85" s="2">
        <v>2.9479275000000005</v>
      </c>
      <c r="K85" s="2">
        <v>6.2362310400000007</v>
      </c>
      <c r="L85" s="2">
        <v>2.2607983999999997</v>
      </c>
      <c r="M85" s="2">
        <v>1.7390174683464568</v>
      </c>
      <c r="N85" s="2">
        <v>16.172771301530126</v>
      </c>
      <c r="O85" s="2">
        <v>10.3</v>
      </c>
      <c r="P85" s="22">
        <f t="shared" si="64"/>
        <v>396.4572</v>
      </c>
      <c r="Q85" s="2">
        <v>1385</v>
      </c>
      <c r="R85" s="23">
        <f t="shared" si="62"/>
        <v>27.791328730153168</v>
      </c>
      <c r="V85" s="23">
        <f>(0.002*H85-1.09*0.002)/100/(0.000357/2)</f>
        <v>2.1770081232492995</v>
      </c>
    </row>
    <row r="86" spans="5:22" x14ac:dyDescent="0.55000000000000004">
      <c r="E86" t="s">
        <v>208</v>
      </c>
      <c r="G86" s="2">
        <v>22.37654320987653</v>
      </c>
      <c r="H86" s="2">
        <v>17.688307500000001</v>
      </c>
      <c r="I86" s="2">
        <v>0.51767660000000004</v>
      </c>
      <c r="J86" s="2">
        <v>1.66428</v>
      </c>
      <c r="K86" s="2">
        <v>2.3081645600000003</v>
      </c>
      <c r="L86" s="2">
        <v>1.33333832</v>
      </c>
      <c r="M86" s="2">
        <v>0.92124760818897644</v>
      </c>
      <c r="N86" s="2"/>
      <c r="O86" s="2">
        <v>52.9</v>
      </c>
      <c r="P86" s="22">
        <f t="shared" si="64"/>
        <v>339.82739999999995</v>
      </c>
      <c r="Q86" s="2">
        <v>1041</v>
      </c>
      <c r="R86" s="23">
        <f t="shared" si="62"/>
        <v>6.1709494832836675</v>
      </c>
      <c r="V86" s="23">
        <f>(0.002*H86-$H$40*0.002)/100/0.000357</f>
        <v>0.9518974789915966</v>
      </c>
    </row>
    <row r="87" spans="5:22" x14ac:dyDescent="0.55000000000000004">
      <c r="E87" t="s">
        <v>209</v>
      </c>
      <c r="G87" s="2">
        <v>31.574074074074559</v>
      </c>
      <c r="H87" s="2">
        <v>17.671432500000002</v>
      </c>
      <c r="I87" s="2">
        <v>0.46872443999999996</v>
      </c>
      <c r="J87" s="2">
        <v>1.6791975000000001</v>
      </c>
      <c r="K87" s="2">
        <v>2.1605584000000002</v>
      </c>
      <c r="L87" s="2">
        <v>1.2829781199999999</v>
      </c>
      <c r="M87" s="2">
        <v>0.69172410803149609</v>
      </c>
      <c r="N87" s="2">
        <v>7.619459006043062</v>
      </c>
      <c r="O87" s="2">
        <v>52.9</v>
      </c>
      <c r="P87" s="22">
        <f t="shared" si="64"/>
        <v>339.48989999999998</v>
      </c>
      <c r="Q87" s="2">
        <v>1067</v>
      </c>
      <c r="R87" s="23">
        <f t="shared" si="62"/>
        <v>6.0146002342131979</v>
      </c>
      <c r="V87" s="23">
        <f t="shared" si="67"/>
        <v>0.9509521008403361</v>
      </c>
    </row>
    <row r="88" spans="5:22" x14ac:dyDescent="0.55000000000000004">
      <c r="E88" t="s">
        <v>210</v>
      </c>
      <c r="G88" s="2">
        <v>40.77160493827148</v>
      </c>
      <c r="H88" s="2">
        <v>22.940145000000005</v>
      </c>
      <c r="I88" s="2">
        <v>2.4905162199999999</v>
      </c>
      <c r="J88" s="2">
        <v>2.7420525000000002</v>
      </c>
      <c r="K88" s="2">
        <v>3.20052096</v>
      </c>
      <c r="L88" s="2">
        <v>1.60586608</v>
      </c>
      <c r="M88" s="2">
        <v>1.1761970692913386</v>
      </c>
      <c r="N88" s="2"/>
      <c r="O88" s="2">
        <v>20.7</v>
      </c>
      <c r="P88" s="22">
        <f t="shared" si="64"/>
        <v>444.86415000000005</v>
      </c>
      <c r="Q88" s="2">
        <v>1068</v>
      </c>
      <c r="R88" s="23">
        <f t="shared" si="62"/>
        <v>20.12267953102101</v>
      </c>
      <c r="V88" s="23">
        <f t="shared" si="67"/>
        <v>1.246118067226891</v>
      </c>
    </row>
    <row r="89" spans="5:22" x14ac:dyDescent="0.55000000000000004">
      <c r="E89" t="s">
        <v>211</v>
      </c>
      <c r="G89" s="2">
        <v>37.006172839506057</v>
      </c>
      <c r="H89" s="2">
        <v>18.583155000000001</v>
      </c>
      <c r="I89" s="2">
        <v>0.44436097999999996</v>
      </c>
      <c r="J89" s="2">
        <v>1.7758575000000003</v>
      </c>
      <c r="K89" s="2">
        <v>2.5330812000000003</v>
      </c>
      <c r="L89" s="2">
        <v>1.4944077199999997</v>
      </c>
      <c r="M89" s="2">
        <v>0.8429001703937008</v>
      </c>
      <c r="N89" s="2">
        <v>11.332410269112355</v>
      </c>
      <c r="O89" s="2">
        <v>29.6</v>
      </c>
      <c r="P89" s="22">
        <f t="shared" si="64"/>
        <v>357.72435000000002</v>
      </c>
      <c r="Q89" s="2">
        <v>1077</v>
      </c>
      <c r="R89" s="23">
        <f t="shared" si="62"/>
        <v>11.22124614168486</v>
      </c>
      <c r="V89" s="23">
        <f t="shared" si="67"/>
        <v>1.0020289915966385</v>
      </c>
    </row>
    <row r="90" spans="5:22" x14ac:dyDescent="0.55000000000000004">
      <c r="E90" t="s">
        <v>212</v>
      </c>
      <c r="G90" s="2">
        <v>27.098765432098716</v>
      </c>
      <c r="H90" s="2">
        <v>10.917585000000001</v>
      </c>
      <c r="I90" s="2">
        <v>0</v>
      </c>
      <c r="J90" s="2">
        <v>2.9625075000000005</v>
      </c>
      <c r="K90" s="2">
        <v>2.5728071200000002</v>
      </c>
      <c r="L90" s="2">
        <v>1.0137799599999999</v>
      </c>
      <c r="M90" s="2">
        <v>0.79815836314960642</v>
      </c>
      <c r="N90" s="2"/>
      <c r="O90" s="2">
        <v>20.7</v>
      </c>
      <c r="P90" s="22">
        <f t="shared" si="64"/>
        <v>204.41295000000002</v>
      </c>
      <c r="Q90" s="2">
        <v>1047</v>
      </c>
      <c r="R90" s="23">
        <f t="shared" si="62"/>
        <v>9.4317304098667023</v>
      </c>
      <c r="V90" s="23">
        <f t="shared" si="67"/>
        <v>0.57258529411764703</v>
      </c>
    </row>
    <row r="91" spans="5:22" x14ac:dyDescent="0.55000000000000004">
      <c r="E91" t="s">
        <v>213</v>
      </c>
      <c r="G91" s="2">
        <v>25.555555555555259</v>
      </c>
      <c r="H91" s="2">
        <v>9.1196550000000016</v>
      </c>
      <c r="I91" s="2">
        <v>0.32201812000000002</v>
      </c>
      <c r="J91" s="2">
        <v>1.5379874999999998</v>
      </c>
      <c r="K91" s="2">
        <v>2.6015308800000003</v>
      </c>
      <c r="L91" s="2">
        <v>1.2268743599999998</v>
      </c>
      <c r="M91" s="2">
        <v>0</v>
      </c>
      <c r="O91" s="2">
        <v>29.6</v>
      </c>
      <c r="P91" s="22">
        <f t="shared" si="64"/>
        <v>168.45435000000003</v>
      </c>
      <c r="Q91" s="2">
        <v>1061</v>
      </c>
      <c r="R91" s="23">
        <f t="shared" si="62"/>
        <v>5.3638316096492353</v>
      </c>
      <c r="V91" s="23">
        <f t="shared" si="67"/>
        <v>0.47186092436974802</v>
      </c>
    </row>
    <row r="92" spans="5:22" x14ac:dyDescent="0.55000000000000004">
      <c r="E92" t="s">
        <v>215</v>
      </c>
      <c r="P92" s="22">
        <f t="shared" si="64"/>
        <v>-13.938750000000001</v>
      </c>
      <c r="Q92" s="2">
        <v>1382</v>
      </c>
      <c r="R92" s="23" t="e">
        <f t="shared" si="62"/>
        <v>#DIV/0!</v>
      </c>
      <c r="V92" s="23">
        <f t="shared" si="67"/>
        <v>-3.9044117647058826E-2</v>
      </c>
    </row>
    <row r="93" spans="5:22" x14ac:dyDescent="0.55000000000000004">
      <c r="E93" t="s">
        <v>235</v>
      </c>
      <c r="H93" s="2">
        <v>4.7</v>
      </c>
      <c r="O93" s="2">
        <v>70</v>
      </c>
      <c r="P93" s="22">
        <f t="shared" si="64"/>
        <v>80.061250000000001</v>
      </c>
      <c r="Q93" s="2">
        <v>1047</v>
      </c>
      <c r="R93" s="23">
        <f t="shared" si="62"/>
        <v>1.0923898212580163</v>
      </c>
      <c r="V93" s="23">
        <f>(0.002*H93-$H$39*0.002)/100/0.000357</f>
        <v>2.2782212885154016E-2</v>
      </c>
    </row>
    <row r="94" spans="5:22" x14ac:dyDescent="0.55000000000000004">
      <c r="H94" s="2">
        <v>42.438271604938748</v>
      </c>
      <c r="I94" s="2">
        <v>4.9593600000000002</v>
      </c>
      <c r="J94" s="2">
        <v>8.6009770999999979</v>
      </c>
      <c r="K94" s="2">
        <v>1.6503750000000001</v>
      </c>
      <c r="L94" s="2">
        <v>2.6750016800000003</v>
      </c>
      <c r="M94" s="2">
        <v>1.01519504</v>
      </c>
      <c r="N94" s="2">
        <v>0.61347522047244107</v>
      </c>
      <c r="O94" s="2">
        <v>22.923887564466309</v>
      </c>
    </row>
  </sheetData>
  <phoneticPr fontId="1"/>
  <dataValidations count="1">
    <dataValidation type="list" allowBlank="1" showInputMessage="1" showErrorMessage="1" sqref="F33:F97 I23:BO23 H2:DE2" xr:uid="{FFAC916B-49CA-411C-8E02-92B420BD102B}">
      <formula1>"milled,Avicel"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5DB7-EE23-4AF0-9C94-3ACDF9BC3277}">
  <dimension ref="A1:DO94"/>
  <sheetViews>
    <sheetView zoomScale="81" zoomScaleNormal="69" workbookViewId="0">
      <pane xSplit="6" topLeftCell="G1" activePane="topRight" state="frozen"/>
      <selection pane="topRight" activeCell="O15" sqref="O15"/>
    </sheetView>
  </sheetViews>
  <sheetFormatPr defaultRowHeight="18" x14ac:dyDescent="0.55000000000000004"/>
  <cols>
    <col min="1" max="4" width="8.6640625" hidden="1" customWidth="1"/>
    <col min="5" max="5" width="9.08203125" bestFit="1" customWidth="1"/>
    <col min="6" max="6" width="11.5" customWidth="1"/>
    <col min="7" max="7" width="12.1640625" customWidth="1"/>
    <col min="8" max="8" width="11.6640625" customWidth="1"/>
    <col min="9" max="9" width="10.5" bestFit="1" customWidth="1"/>
    <col min="10" max="10" width="12" customWidth="1"/>
    <col min="11" max="11" width="11.58203125" customWidth="1"/>
    <col min="12" max="12" width="11.25" customWidth="1"/>
    <col min="13" max="13" width="11.5" customWidth="1"/>
    <col min="14" max="14" width="12" customWidth="1"/>
    <col min="15" max="15" width="11.6640625" customWidth="1"/>
    <col min="16" max="16" width="10.75" customWidth="1"/>
    <col min="17" max="17" width="11.9140625" customWidth="1"/>
    <col min="18" max="18" width="11.25" customWidth="1"/>
    <col min="19" max="19" width="10.83203125" customWidth="1"/>
    <col min="20" max="20" width="10.5" customWidth="1"/>
    <col min="21" max="21" width="12.4140625" customWidth="1"/>
    <col min="22" max="24" width="10.75" bestFit="1" customWidth="1"/>
    <col min="25" max="34" width="10.5" bestFit="1" customWidth="1"/>
    <col min="35" max="35" width="9.4140625" bestFit="1" customWidth="1"/>
    <col min="36" max="36" width="10.5" bestFit="1" customWidth="1"/>
    <col min="37" max="37" width="9.4140625" bestFit="1" customWidth="1"/>
    <col min="39" max="41" width="10.5" bestFit="1" customWidth="1"/>
    <col min="42" max="42" width="9.4140625" bestFit="1" customWidth="1"/>
    <col min="43" max="46" width="10.5" bestFit="1" customWidth="1"/>
    <col min="47" max="61" width="11" bestFit="1" customWidth="1"/>
    <col min="62" max="62" width="11" customWidth="1"/>
    <col min="63" max="66" width="11" bestFit="1" customWidth="1"/>
    <col min="67" max="67" width="9.83203125" bestFit="1" customWidth="1"/>
    <col min="69" max="79" width="11" bestFit="1" customWidth="1"/>
    <col min="80" max="80" width="9.83203125" bestFit="1" customWidth="1"/>
    <col min="81" max="85" width="11" bestFit="1" customWidth="1"/>
    <col min="86" max="86" width="9.83203125" bestFit="1" customWidth="1"/>
    <col min="87" max="90" width="11" bestFit="1" customWidth="1"/>
    <col min="91" max="92" width="12" bestFit="1" customWidth="1"/>
    <col min="93" max="93" width="11" bestFit="1" customWidth="1"/>
    <col min="94" max="95" width="12" bestFit="1" customWidth="1"/>
    <col min="96" max="105" width="11" bestFit="1" customWidth="1"/>
    <col min="106" max="106" width="12" bestFit="1" customWidth="1"/>
    <col min="107" max="107" width="11" bestFit="1" customWidth="1"/>
  </cols>
  <sheetData>
    <row r="1" spans="1:119" x14ac:dyDescent="0.55000000000000004">
      <c r="D1" t="s">
        <v>1</v>
      </c>
      <c r="G1" s="2"/>
      <c r="H1" s="2" t="s">
        <v>9</v>
      </c>
      <c r="I1" s="2"/>
      <c r="J1" s="2" t="s">
        <v>10</v>
      </c>
      <c r="K1" s="2"/>
      <c r="L1" s="2" t="s">
        <v>19</v>
      </c>
      <c r="M1" s="2"/>
      <c r="N1" s="2" t="s">
        <v>11</v>
      </c>
      <c r="O1" s="2"/>
      <c r="P1" t="s">
        <v>32</v>
      </c>
      <c r="R1" t="s">
        <v>40</v>
      </c>
      <c r="T1" t="s">
        <v>42</v>
      </c>
      <c r="U1" t="s">
        <v>43</v>
      </c>
      <c r="V1" t="s">
        <v>45</v>
      </c>
      <c r="W1" t="s">
        <v>49</v>
      </c>
      <c r="X1" t="s">
        <v>47</v>
      </c>
      <c r="Y1" t="s">
        <v>52</v>
      </c>
      <c r="Z1" t="s">
        <v>53</v>
      </c>
      <c r="AA1" t="s">
        <v>54</v>
      </c>
      <c r="AB1" t="s">
        <v>55</v>
      </c>
      <c r="AC1" t="s">
        <v>81</v>
      </c>
      <c r="AD1" t="s">
        <v>60</v>
      </c>
      <c r="AE1" t="s">
        <v>70</v>
      </c>
      <c r="AF1" t="s">
        <v>72</v>
      </c>
      <c r="AG1" t="s">
        <v>73</v>
      </c>
      <c r="AH1" s="30" t="s">
        <v>75</v>
      </c>
      <c r="AI1" s="30" t="s">
        <v>76</v>
      </c>
      <c r="AJ1" s="30" t="s">
        <v>79</v>
      </c>
      <c r="AK1" t="s">
        <v>77</v>
      </c>
      <c r="AL1" s="30" t="s">
        <v>78</v>
      </c>
      <c r="AM1" t="s">
        <v>80</v>
      </c>
      <c r="AN1" s="30" t="s">
        <v>89</v>
      </c>
      <c r="AO1" t="s">
        <v>90</v>
      </c>
      <c r="AP1" t="s">
        <v>111</v>
      </c>
      <c r="AQ1" t="s">
        <v>132</v>
      </c>
      <c r="AR1" t="s">
        <v>129</v>
      </c>
      <c r="AS1" t="s">
        <v>130</v>
      </c>
      <c r="AT1" s="30" t="s">
        <v>90</v>
      </c>
      <c r="AU1" t="s">
        <v>148</v>
      </c>
      <c r="AV1" t="s">
        <v>153</v>
      </c>
      <c r="AW1" t="s">
        <v>162</v>
      </c>
      <c r="AX1" t="s">
        <v>163</v>
      </c>
      <c r="AY1" t="s">
        <v>189</v>
      </c>
      <c r="AZ1" t="s">
        <v>192</v>
      </c>
      <c r="BA1" t="s">
        <v>197</v>
      </c>
      <c r="BB1" t="s">
        <v>198</v>
      </c>
      <c r="BC1" t="s">
        <v>199</v>
      </c>
      <c r="BD1" t="s">
        <v>200</v>
      </c>
      <c r="BE1" s="34" t="s">
        <v>9</v>
      </c>
      <c r="BF1" s="34" t="s">
        <v>201</v>
      </c>
      <c r="BG1" s="54" t="s">
        <v>206</v>
      </c>
      <c r="BH1" t="s">
        <v>207</v>
      </c>
      <c r="BI1" t="s">
        <v>208</v>
      </c>
      <c r="BJ1" t="s">
        <v>209</v>
      </c>
      <c r="BK1" t="s">
        <v>210</v>
      </c>
      <c r="BL1" t="s">
        <v>211</v>
      </c>
      <c r="BM1" t="s">
        <v>212</v>
      </c>
      <c r="BN1" t="s">
        <v>213</v>
      </c>
      <c r="BO1" t="s">
        <v>215</v>
      </c>
      <c r="BP1" t="s">
        <v>236</v>
      </c>
      <c r="BQ1" t="s">
        <v>235</v>
      </c>
      <c r="BR1" t="s">
        <v>240</v>
      </c>
      <c r="BS1" t="s">
        <v>239</v>
      </c>
      <c r="BT1" t="s">
        <v>241</v>
      </c>
      <c r="BU1" t="s">
        <v>242</v>
      </c>
      <c r="BV1" s="49" t="s">
        <v>244</v>
      </c>
      <c r="BW1" t="s">
        <v>243</v>
      </c>
      <c r="BX1" t="s">
        <v>245</v>
      </c>
      <c r="BY1" t="s">
        <v>247</v>
      </c>
      <c r="BZ1" t="s">
        <v>256</v>
      </c>
      <c r="CA1" t="s">
        <v>257</v>
      </c>
      <c r="CB1" s="49" t="s">
        <v>259</v>
      </c>
      <c r="CC1" s="49" t="s">
        <v>258</v>
      </c>
      <c r="CD1" t="s">
        <v>263</v>
      </c>
      <c r="CE1" t="s">
        <v>265</v>
      </c>
      <c r="CF1" t="s">
        <v>266</v>
      </c>
      <c r="CG1" t="s">
        <v>271</v>
      </c>
      <c r="CH1" t="s">
        <v>272</v>
      </c>
      <c r="CI1" t="s">
        <v>277</v>
      </c>
      <c r="CJ1" t="s">
        <v>273</v>
      </c>
      <c r="CK1" t="s">
        <v>278</v>
      </c>
      <c r="CL1" t="s">
        <v>276</v>
      </c>
      <c r="CM1" s="5" t="s">
        <v>26</v>
      </c>
      <c r="CN1" s="5" t="s">
        <v>63</v>
      </c>
      <c r="CO1" s="5" t="s">
        <v>288</v>
      </c>
      <c r="CP1" s="5" t="s">
        <v>289</v>
      </c>
      <c r="CQ1" t="s">
        <v>287</v>
      </c>
      <c r="CR1" s="5" t="s">
        <v>290</v>
      </c>
      <c r="CS1" s="52"/>
      <c r="CT1" s="53" t="s">
        <v>291</v>
      </c>
      <c r="CU1" t="s">
        <v>292</v>
      </c>
      <c r="CV1" t="s">
        <v>294</v>
      </c>
      <c r="CW1" s="56" t="s">
        <v>295</v>
      </c>
      <c r="CX1" t="s">
        <v>293</v>
      </c>
      <c r="CY1" t="s">
        <v>296</v>
      </c>
      <c r="CZ1" t="s">
        <v>297</v>
      </c>
      <c r="DA1" t="s">
        <v>298</v>
      </c>
      <c r="DB1" s="5">
        <v>45700</v>
      </c>
      <c r="DC1" s="5">
        <v>45697</v>
      </c>
    </row>
    <row r="2" spans="1:119" x14ac:dyDescent="0.55000000000000004">
      <c r="A2" t="s">
        <v>3</v>
      </c>
      <c r="B2" t="s">
        <v>2</v>
      </c>
      <c r="C2" s="1">
        <v>3.3750000000000001E-8</v>
      </c>
      <c r="G2" s="2"/>
      <c r="H2" s="2" t="s">
        <v>16</v>
      </c>
      <c r="I2" s="22" t="s">
        <v>17</v>
      </c>
      <c r="J2" s="2" t="s">
        <v>16</v>
      </c>
      <c r="K2" s="22" t="s">
        <v>17</v>
      </c>
      <c r="L2" s="2" t="s">
        <v>16</v>
      </c>
      <c r="M2" s="22" t="s">
        <v>17</v>
      </c>
      <c r="N2" s="2" t="s">
        <v>16</v>
      </c>
      <c r="O2" s="22" t="s">
        <v>17</v>
      </c>
      <c r="P2" s="22" t="s">
        <v>17</v>
      </c>
      <c r="Q2" s="2" t="s">
        <v>16</v>
      </c>
      <c r="R2" s="22" t="s">
        <v>17</v>
      </c>
      <c r="S2" s="2" t="s">
        <v>16</v>
      </c>
      <c r="T2" s="22" t="s">
        <v>17</v>
      </c>
      <c r="U2" s="22" t="s">
        <v>17</v>
      </c>
      <c r="V2" s="22" t="s">
        <v>17</v>
      </c>
      <c r="W2" s="2" t="s">
        <v>48</v>
      </c>
      <c r="X2" s="22" t="s">
        <v>46</v>
      </c>
      <c r="Y2" s="22" t="s">
        <v>46</v>
      </c>
      <c r="Z2" s="22" t="s">
        <v>46</v>
      </c>
      <c r="AA2" s="22" t="s">
        <v>46</v>
      </c>
      <c r="AB2" s="22" t="s">
        <v>46</v>
      </c>
      <c r="AC2" s="22" t="s">
        <v>46</v>
      </c>
      <c r="AD2" s="22" t="s">
        <v>46</v>
      </c>
      <c r="AE2" s="22" t="s">
        <v>46</v>
      </c>
      <c r="AF2" s="22" t="s">
        <v>46</v>
      </c>
      <c r="AG2" s="22" t="s">
        <v>46</v>
      </c>
      <c r="AH2" s="30" t="s">
        <v>46</v>
      </c>
      <c r="AI2" s="31" t="s">
        <v>46</v>
      </c>
      <c r="AJ2" s="31" t="s">
        <v>46</v>
      </c>
      <c r="AK2" s="22" t="s">
        <v>46</v>
      </c>
      <c r="AL2" s="31" t="s">
        <v>46</v>
      </c>
      <c r="AM2" s="23" t="s">
        <v>46</v>
      </c>
      <c r="AN2" s="30" t="s">
        <v>46</v>
      </c>
      <c r="AO2" s="23" t="s">
        <v>46</v>
      </c>
      <c r="AP2" s="23" t="s">
        <v>46</v>
      </c>
      <c r="AQ2" s="23" t="s">
        <v>46</v>
      </c>
      <c r="AR2" s="23" t="s">
        <v>46</v>
      </c>
      <c r="AS2" s="23" t="s">
        <v>46</v>
      </c>
      <c r="AT2" s="23" t="s">
        <v>46</v>
      </c>
      <c r="AU2" s="23" t="s">
        <v>46</v>
      </c>
      <c r="AV2" s="23" t="s">
        <v>46</v>
      </c>
      <c r="AW2" s="23" t="s">
        <v>46</v>
      </c>
      <c r="AX2" s="23" t="s">
        <v>46</v>
      </c>
      <c r="AY2" s="23" t="s">
        <v>46</v>
      </c>
      <c r="AZ2" s="23" t="s">
        <v>46</v>
      </c>
      <c r="BA2" s="23" t="s">
        <v>46</v>
      </c>
      <c r="BB2" s="23" t="s">
        <v>46</v>
      </c>
      <c r="BC2" s="23" t="s">
        <v>46</v>
      </c>
      <c r="BD2" s="23" t="s">
        <v>46</v>
      </c>
      <c r="BE2" s="23" t="s">
        <v>46</v>
      </c>
      <c r="BF2" s="23" t="s">
        <v>46</v>
      </c>
      <c r="BG2" s="54" t="s">
        <v>46</v>
      </c>
      <c r="BH2" s="23" t="s">
        <v>46</v>
      </c>
      <c r="BI2" s="23" t="s">
        <v>46</v>
      </c>
      <c r="BJ2" s="23" t="s">
        <v>46</v>
      </c>
      <c r="BK2" s="23" t="s">
        <v>46</v>
      </c>
      <c r="BL2" s="23" t="s">
        <v>46</v>
      </c>
      <c r="BM2" s="23" t="s">
        <v>46</v>
      </c>
      <c r="BN2" s="23" t="s">
        <v>46</v>
      </c>
      <c r="BO2" s="23" t="s">
        <v>46</v>
      </c>
      <c r="BP2" s="23" t="s">
        <v>46</v>
      </c>
      <c r="BQ2" s="23" t="s">
        <v>46</v>
      </c>
      <c r="BR2" s="23" t="s">
        <v>46</v>
      </c>
      <c r="BS2" s="23" t="s">
        <v>46</v>
      </c>
      <c r="BT2" s="23" t="s">
        <v>46</v>
      </c>
      <c r="BU2" s="23" t="s">
        <v>46</v>
      </c>
      <c r="BV2" s="49" t="s">
        <v>46</v>
      </c>
      <c r="BW2" s="23" t="s">
        <v>46</v>
      </c>
      <c r="BX2" s="23" t="s">
        <v>46</v>
      </c>
      <c r="BY2" s="23" t="s">
        <v>46</v>
      </c>
      <c r="BZ2" s="23" t="s">
        <v>46</v>
      </c>
      <c r="CA2" s="23" t="s">
        <v>46</v>
      </c>
      <c r="CB2" s="49" t="s">
        <v>46</v>
      </c>
      <c r="CC2" s="49" t="s">
        <v>46</v>
      </c>
      <c r="CD2" s="23" t="s">
        <v>46</v>
      </c>
      <c r="CE2" s="23" t="s">
        <v>46</v>
      </c>
      <c r="CF2" s="23" t="s">
        <v>46</v>
      </c>
      <c r="CG2" s="23" t="s">
        <v>46</v>
      </c>
      <c r="CH2" s="23" t="s">
        <v>46</v>
      </c>
      <c r="CI2" s="23" t="s">
        <v>46</v>
      </c>
      <c r="CJ2" s="23" t="s">
        <v>46</v>
      </c>
      <c r="CK2" s="23" t="s">
        <v>46</v>
      </c>
      <c r="CL2" s="23" t="s">
        <v>46</v>
      </c>
      <c r="CM2" s="23" t="s">
        <v>46</v>
      </c>
      <c r="CN2" s="23" t="s">
        <v>46</v>
      </c>
      <c r="CO2" s="23" t="s">
        <v>46</v>
      </c>
      <c r="CP2" s="23" t="s">
        <v>46</v>
      </c>
      <c r="CQ2" s="23" t="s">
        <v>46</v>
      </c>
      <c r="CR2" s="23" t="s">
        <v>46</v>
      </c>
      <c r="CS2" s="23" t="s">
        <v>46</v>
      </c>
      <c r="CT2" s="23" t="s">
        <v>46</v>
      </c>
      <c r="CU2" s="23" t="s">
        <v>46</v>
      </c>
      <c r="CV2" s="23" t="s">
        <v>46</v>
      </c>
      <c r="CW2" s="23" t="s">
        <v>46</v>
      </c>
      <c r="CX2" s="23" t="s">
        <v>46</v>
      </c>
      <c r="CY2" s="23" t="s">
        <v>46</v>
      </c>
      <c r="CZ2" s="23" t="s">
        <v>46</v>
      </c>
      <c r="DA2" s="23" t="s">
        <v>46</v>
      </c>
      <c r="DB2" s="23" t="s">
        <v>46</v>
      </c>
      <c r="DC2" s="23" t="s">
        <v>46</v>
      </c>
      <c r="DD2" s="23" t="s">
        <v>46</v>
      </c>
      <c r="DE2" s="23" t="s">
        <v>46</v>
      </c>
    </row>
    <row r="3" spans="1:119" x14ac:dyDescent="0.55000000000000004">
      <c r="B3" t="s">
        <v>6</v>
      </c>
      <c r="C3" s="1">
        <v>1.8769999999999999E-8</v>
      </c>
      <c r="D3">
        <v>324.3</v>
      </c>
      <c r="G3" s="4" t="s">
        <v>18</v>
      </c>
      <c r="H3" s="2">
        <f>100-(9.1561-9.0956)/0.324*100</f>
        <v>81.327160493826824</v>
      </c>
      <c r="I3" s="22">
        <f>100-(9.3372-9.0998)/0.324*100</f>
        <v>26.728395061728648</v>
      </c>
      <c r="J3" s="2">
        <f>100-(9.109-9.0928)/0.324*100</f>
        <v>95.000000000000142</v>
      </c>
      <c r="K3" s="22">
        <f>100-(9.3242-9.0986)/0.324*100</f>
        <v>30.370370370370367</v>
      </c>
      <c r="L3" s="2">
        <f>100-(9.2477-9.1004)/0.324*100</f>
        <v>54.53703703703718</v>
      </c>
      <c r="M3" s="22">
        <f>100-(9.3564-9.0905)/0.324*100</f>
        <v>17.932098765432031</v>
      </c>
      <c r="N3" s="2">
        <f>100-(9.2808-9.102)/0.324*100</f>
        <v>44.814814814815144</v>
      </c>
      <c r="O3" s="22">
        <f>100-(9.3719-9.0922)/0.324*100</f>
        <v>13.672839506172835</v>
      </c>
      <c r="P3" s="22">
        <f>100-(9.3013-9.098)/0.324*100</f>
        <v>37.253086419753487</v>
      </c>
      <c r="Q3" s="2">
        <f>100-(9.1125-9.0972)/0.324*100</f>
        <v>95.277777777777814</v>
      </c>
      <c r="R3" s="22">
        <f>100-(9.3238-9.098)/0.324*100</f>
        <v>30.308641975308774</v>
      </c>
      <c r="S3" s="2">
        <f>100-(9.1123-9.0953)/0.324*100</f>
        <v>94.753086419753259</v>
      </c>
      <c r="T3" s="22">
        <f>100-(9.3333-9.0973)/0.324*100</f>
        <v>27.160493827160849</v>
      </c>
      <c r="U3" s="22">
        <f>100-(9.3315-9.0971)/0.324*100</f>
        <v>27.654320987654074</v>
      </c>
      <c r="V3" s="22">
        <f>100-(9.3514-9.0968)/0.324*100</f>
        <v>21.419753086419774</v>
      </c>
      <c r="W3" s="27">
        <f>100-(9.2034-9.0936)/0.324*100</f>
        <v>66.111111111111143</v>
      </c>
      <c r="X3" s="22">
        <f>100-(9.3398-9.0937)/0.324*100</f>
        <v>24.043209876543145</v>
      </c>
      <c r="Y3" s="22">
        <f>100-(9.3414-9.0966)/0.324*100</f>
        <v>24.444444444444542</v>
      </c>
      <c r="Z3" s="22">
        <f>100-(9.3431-9.1377)/0.324*100</f>
        <v>36.604938271605207</v>
      </c>
      <c r="AA3" s="22">
        <f>100-(9.3306-9.0957)/0.324*100</f>
        <v>27.500000000000099</v>
      </c>
      <c r="AB3" s="22">
        <f>100-(9.3072-9.092)/0.324*100</f>
        <v>33.580246913580439</v>
      </c>
      <c r="AC3" s="22">
        <f>100-(9.4078-9.1562)/0.324*100</f>
        <v>22.345679012345727</v>
      </c>
      <c r="AD3" s="22">
        <f>100-(9.3243-9.0919)/0.324*100</f>
        <v>28.271604938272105</v>
      </c>
      <c r="AE3" s="22">
        <f>100-(9.3006-9.0904)/0.324*100</f>
        <v>35.123456790123882</v>
      </c>
      <c r="AF3" s="22">
        <f>100-(9.2809-9.0962-0.02)/0.324*100</f>
        <v>49.166666666666295</v>
      </c>
      <c r="AG3" s="22">
        <f>100-(9.2588-9.1274)/0.324*100</f>
        <v>59.444444444444116</v>
      </c>
      <c r="AH3" s="31"/>
      <c r="AI3" s="31">
        <f>100-(9.3805-9.0903)/0.324*100</f>
        <v>10.432098765431959</v>
      </c>
      <c r="AJ3" s="31">
        <f>100-(9.3467-9.1276)/0.324*100</f>
        <v>32.376543209876246</v>
      </c>
      <c r="AK3" s="22">
        <f>100-(9.3627-9.0961)/0.324*100</f>
        <v>17.716049382715923</v>
      </c>
      <c r="AL3" s="31">
        <f>100-(9.3494-9.1368)/0.324*100</f>
        <v>34.38271604938268</v>
      </c>
      <c r="AM3" s="22">
        <f>100-(9.3482-9.0949)/0.324*100</f>
        <v>21.820987654321172</v>
      </c>
      <c r="AN3" s="31">
        <f>100-(9.3016-9.0955)/0.324*100</f>
        <v>36.388888888888559</v>
      </c>
      <c r="AO3" s="22">
        <f>100-(9.3414-9.1233)/0.324*100</f>
        <v>32.685185185185276</v>
      </c>
      <c r="AP3" s="22">
        <f>100-(9.3888-9.1272)/0.324*100</f>
        <v>19.25925925925938</v>
      </c>
      <c r="AQ3" s="31">
        <f>100-(9.3016-9.0955)/0.324*100</f>
        <v>36.388888888888559</v>
      </c>
      <c r="AR3" s="22">
        <f>100-(9.1599-9.1128)/0.324*100</f>
        <v>85.462962962962848</v>
      </c>
      <c r="AS3" s="22">
        <f>100-(9.3068-9.09)/0.324*100</f>
        <v>33.086419753086119</v>
      </c>
      <c r="AT3" s="22">
        <f>100-(9.3146-9.0919)/0.324*100</f>
        <v>31.26543209876553</v>
      </c>
      <c r="AU3" s="22">
        <f>100-(9.2618-9.1271)/0.324*100</f>
        <v>58.425925925926322</v>
      </c>
      <c r="AV3" s="22">
        <f>100-(9.3281-9.1626)/0.324*100</f>
        <v>48.919753086419824</v>
      </c>
      <c r="AW3" s="22">
        <f>100-(9.333-9.0898)/0.324*100</f>
        <v>24.938271604938322</v>
      </c>
      <c r="AX3" s="22">
        <f>100-(9.1694-9.0866)/0.324*100</f>
        <v>74.444444444444798</v>
      </c>
      <c r="AY3" s="22">
        <f>100-(9.3368-9.0901)/0.324*100</f>
        <v>23.858024691357855</v>
      </c>
      <c r="AZ3" s="22">
        <f>100-(9.2951-9.1633)/0.324*100</f>
        <v>59.320987654320945</v>
      </c>
      <c r="BA3" s="22">
        <f>100-(9.2306-9.0997)/0.324*100</f>
        <v>59.598765432098624</v>
      </c>
      <c r="BB3" s="22">
        <f>100-(9.2052-9.1155)/0.324*100</f>
        <v>72.314814814815193</v>
      </c>
      <c r="BC3" s="22">
        <f>100-(9.2295-9.1545)/0.324*100</f>
        <v>76.851851851852075</v>
      </c>
      <c r="BD3" s="22">
        <f>100-(9.3476-9.1113)/0.324*100</f>
        <v>27.067901234567913</v>
      </c>
      <c r="BE3" s="22"/>
      <c r="BF3" s="22"/>
      <c r="BG3" s="55"/>
      <c r="BH3" s="22">
        <f>100-(9.251-9.0886)/0.324*100</f>
        <v>49.87654320987658</v>
      </c>
      <c r="BI3" s="22">
        <f>100-(9.3388-9.0873)/0.324*100</f>
        <v>22.37654320987653</v>
      </c>
      <c r="BJ3" s="22">
        <f>100-(9.3578-9.1361)/0.324*100</f>
        <v>31.574074074074559</v>
      </c>
      <c r="BK3" s="22">
        <f>100-(9.2712-9.0793)/0.324*100</f>
        <v>40.77160493827148</v>
      </c>
      <c r="BL3" s="22">
        <f>100-(9.2955-9.0914)/0.324*100</f>
        <v>37.006172839506057</v>
      </c>
      <c r="BM3" s="22">
        <f>100-(9.3105-9.0743)/0.324*100</f>
        <v>27.098765432098716</v>
      </c>
      <c r="BN3" s="22">
        <f>100-(9.3155-9.0716)/0.324*100</f>
        <v>24.722222222222229</v>
      </c>
      <c r="BO3" s="22">
        <f>100-(9.3334-9.0689)/0.324*100</f>
        <v>18.364197530864217</v>
      </c>
      <c r="BP3" s="22">
        <f>100-(9.3535-9.0679)/0.324*100</f>
        <v>11.851851851851691</v>
      </c>
      <c r="BQ3" s="22">
        <f>100-(9.3065-9.0764)/0.324*100</f>
        <v>28.981481481481424</v>
      </c>
      <c r="BR3" s="22">
        <f>100-(9.2908-9.0782)/0.324*100</f>
        <v>34.38271604938268</v>
      </c>
      <c r="BS3" s="22">
        <f>100-(9.3119-9.0707)/0.324*100</f>
        <v>25.555555555555813</v>
      </c>
      <c r="BT3" s="22">
        <f>100-(9.3119-9.0707)/0.324*100</f>
        <v>25.555555555555813</v>
      </c>
      <c r="BU3" s="22">
        <f>100-(9.1919-9.0682)/0.324*100</f>
        <v>61.820987654320604</v>
      </c>
      <c r="BV3" s="32">
        <f>100-(9.3704-9.1375)/0.324*100</f>
        <v>28.11728395061705</v>
      </c>
      <c r="BW3" s="22">
        <f>100-(0.175)/0.324*100</f>
        <v>45.987654320987659</v>
      </c>
      <c r="BX3" s="22">
        <f>100-(0.0835)/0.324*100</f>
        <v>74.228395061728392</v>
      </c>
      <c r="BY3" s="22">
        <f>100-(0.0485)/0.324*100</f>
        <v>85.03086419753086</v>
      </c>
      <c r="BZ3" s="22">
        <f>100-(9.3942-0.2-9.0353)/0.324*100</f>
        <v>50.9567901234565</v>
      </c>
      <c r="CA3" s="22">
        <f>100-(9.3119-9.0707)/0.324*100</f>
        <v>25.555555555555813</v>
      </c>
      <c r="CB3" s="32">
        <f>100-(9.3119-9.0707)/0.324*100</f>
        <v>25.555555555555813</v>
      </c>
      <c r="CC3" s="22">
        <f>100-(9.3119-9.0707)/0.324*100</f>
        <v>25.555555555555813</v>
      </c>
      <c r="CD3" s="22">
        <f>100-(0.2205)/0.324*100</f>
        <v>31.944444444444443</v>
      </c>
      <c r="CE3" s="22">
        <f>100-(9.3986-9.1438)/0.324*100</f>
        <v>21.358024691358196</v>
      </c>
      <c r="CF3" s="22">
        <f>100-(9.3982-9.1422-0.0695)/0.324*100</f>
        <v>42.438271604938748</v>
      </c>
      <c r="CG3" s="22">
        <f>100-(0.148)/0.324*100</f>
        <v>54.320987654320987</v>
      </c>
      <c r="CH3" s="22">
        <f>100-(0.2106-0.06)/0.324*100</f>
        <v>53.518518518518512</v>
      </c>
      <c r="CI3" s="22">
        <f>100-(9.1834-9.0582)/0.324*100</f>
        <v>61.35802469135762</v>
      </c>
      <c r="CJ3" s="22">
        <f>100-(9.2096-9.0708)/0.324*100</f>
        <v>57.16049382716055</v>
      </c>
      <c r="CK3" s="22">
        <f>100-(9.1872-9.0335)/0.324*100</f>
        <v>52.561728395061543</v>
      </c>
      <c r="CL3" s="22">
        <f>100-(9.2105-9.0548)/0.324*100</f>
        <v>51.944444444444599</v>
      </c>
      <c r="CM3" s="22">
        <f t="shared" ref="CM3:DE3" si="0">100-(9.3986-9.1438)/0.324*100</f>
        <v>21.358024691358196</v>
      </c>
      <c r="CN3" s="22">
        <f t="shared" si="0"/>
        <v>21.358024691358196</v>
      </c>
      <c r="CO3" s="22">
        <f t="shared" si="0"/>
        <v>21.358024691358196</v>
      </c>
      <c r="CP3" s="22">
        <f t="shared" si="0"/>
        <v>21.358024691358196</v>
      </c>
      <c r="CQ3" s="22">
        <f>100-(9.3134-9.0805)/0.324*100</f>
        <v>28.117283950617605</v>
      </c>
      <c r="CR3" s="55">
        <f>100-(0.0778)/0.324*100</f>
        <v>75.987654320987659</v>
      </c>
      <c r="CS3" s="22">
        <f t="shared" si="0"/>
        <v>21.358024691358196</v>
      </c>
      <c r="CT3" s="22">
        <f t="shared" si="0"/>
        <v>21.358024691358196</v>
      </c>
      <c r="CU3" s="22">
        <f t="shared" si="0"/>
        <v>21.358024691358196</v>
      </c>
      <c r="CV3" s="22">
        <f>100-(9.2427-9.0569-0.069)/0.324*100</f>
        <v>63.950617283951047</v>
      </c>
      <c r="CW3" s="55">
        <f>100-(0.1307)/0.324*100</f>
        <v>59.660493827160494</v>
      </c>
      <c r="CX3" s="22">
        <f>100-(0.1923)/0.324*100</f>
        <v>40.648148148148152</v>
      </c>
      <c r="CY3" s="22">
        <f t="shared" si="0"/>
        <v>21.358024691358196</v>
      </c>
      <c r="CZ3" s="22">
        <f>100-(9.3356-9.0996-0.069)/0.324*100</f>
        <v>48.456790123457139</v>
      </c>
      <c r="DA3" s="22">
        <f t="shared" si="0"/>
        <v>21.358024691358196</v>
      </c>
      <c r="DB3" s="22">
        <f t="shared" si="0"/>
        <v>21.358024691358196</v>
      </c>
      <c r="DC3" s="22">
        <f t="shared" si="0"/>
        <v>21.358024691358196</v>
      </c>
      <c r="DD3" s="22">
        <f t="shared" si="0"/>
        <v>21.358024691358196</v>
      </c>
      <c r="DE3" s="22">
        <f t="shared" si="0"/>
        <v>21.358024691358196</v>
      </c>
      <c r="DF3" s="2"/>
      <c r="DG3" s="2"/>
      <c r="DH3" s="2"/>
      <c r="DI3" s="2"/>
      <c r="DJ3" s="2"/>
      <c r="DK3" s="2"/>
      <c r="DL3" s="2"/>
      <c r="DM3" s="2"/>
      <c r="DN3" s="2"/>
      <c r="DO3" s="2"/>
    </row>
    <row r="4" spans="1:119" x14ac:dyDescent="0.55000000000000004">
      <c r="B4" t="s">
        <v>7</v>
      </c>
      <c r="C4" s="1">
        <v>3.6920000000000002E-8</v>
      </c>
      <c r="D4">
        <v>126.11</v>
      </c>
      <c r="E4">
        <v>14.6</v>
      </c>
      <c r="F4" s="3" t="s">
        <v>2</v>
      </c>
      <c r="G4" s="2" t="s">
        <v>4</v>
      </c>
      <c r="H4" s="2">
        <v>582691</v>
      </c>
      <c r="I4" s="22">
        <v>169619</v>
      </c>
      <c r="J4" s="2">
        <v>815387</v>
      </c>
      <c r="K4" s="22">
        <v>196801</v>
      </c>
      <c r="L4" s="2">
        <v>263556</v>
      </c>
      <c r="M4" s="22">
        <v>51101</v>
      </c>
      <c r="N4" s="2">
        <v>51102</v>
      </c>
      <c r="O4" s="22">
        <v>10325</v>
      </c>
      <c r="P4" s="22">
        <v>266866</v>
      </c>
      <c r="Q4" s="2">
        <v>851426</v>
      </c>
      <c r="R4" s="22">
        <v>170823</v>
      </c>
      <c r="S4" s="2">
        <v>768631</v>
      </c>
      <c r="T4" s="22">
        <v>165420</v>
      </c>
      <c r="U4" s="22">
        <v>183374</v>
      </c>
      <c r="V4" s="22">
        <v>129417</v>
      </c>
      <c r="W4" s="27">
        <v>710187</v>
      </c>
      <c r="X4" s="22">
        <v>144390</v>
      </c>
      <c r="Y4" s="22">
        <v>174796</v>
      </c>
      <c r="Z4" s="22">
        <v>276324</v>
      </c>
      <c r="AA4" s="22">
        <v>155849</v>
      </c>
      <c r="AB4" s="22">
        <v>246295</v>
      </c>
      <c r="AC4" s="22">
        <v>100779</v>
      </c>
      <c r="AD4" s="22">
        <v>197907</v>
      </c>
      <c r="AE4" s="22">
        <v>313583</v>
      </c>
      <c r="AF4" s="22">
        <v>453309</v>
      </c>
      <c r="AG4" s="22">
        <v>534126</v>
      </c>
      <c r="AH4" s="31">
        <v>64888</v>
      </c>
      <c r="AI4" s="31">
        <v>10426</v>
      </c>
      <c r="AJ4" s="31">
        <v>295742</v>
      </c>
      <c r="AK4" s="22">
        <v>61990</v>
      </c>
      <c r="AL4" s="31"/>
      <c r="AM4" s="22">
        <v>333623</v>
      </c>
      <c r="AN4" s="31">
        <v>268966</v>
      </c>
      <c r="AO4" s="22">
        <v>185086</v>
      </c>
      <c r="AP4" s="22">
        <v>48891</v>
      </c>
      <c r="AQ4" s="22">
        <v>231831</v>
      </c>
      <c r="AR4" s="22">
        <v>531997</v>
      </c>
      <c r="AS4" s="22">
        <v>184117</v>
      </c>
      <c r="AT4" s="31">
        <v>162779</v>
      </c>
      <c r="AU4" s="22">
        <v>422362</v>
      </c>
      <c r="AV4" s="22">
        <v>411835</v>
      </c>
      <c r="AW4" s="22">
        <v>160805</v>
      </c>
      <c r="AX4" s="22">
        <v>581620</v>
      </c>
      <c r="AY4" s="2">
        <v>137387</v>
      </c>
      <c r="AZ4" s="2">
        <v>454108</v>
      </c>
      <c r="BA4" s="2">
        <v>392377</v>
      </c>
      <c r="BB4" s="2">
        <v>356892</v>
      </c>
      <c r="BC4" s="2">
        <v>313724</v>
      </c>
      <c r="BD4" s="2">
        <v>187536</v>
      </c>
      <c r="BE4" s="2">
        <v>608744</v>
      </c>
      <c r="BF4" s="2">
        <v>161926</v>
      </c>
      <c r="BG4" s="55">
        <v>58862</v>
      </c>
      <c r="BH4" s="2">
        <v>303997</v>
      </c>
      <c r="BI4" s="2">
        <v>262049</v>
      </c>
      <c r="BJ4" s="2">
        <v>261799</v>
      </c>
      <c r="BK4" s="2">
        <v>339854</v>
      </c>
      <c r="BL4" s="2">
        <v>275306</v>
      </c>
      <c r="BM4" s="2">
        <v>161742</v>
      </c>
      <c r="BN4" s="2">
        <v>135106</v>
      </c>
      <c r="BO4" s="2">
        <v>16194</v>
      </c>
      <c r="BP4" s="2">
        <v>8745</v>
      </c>
      <c r="BQ4" s="2">
        <v>242424</v>
      </c>
      <c r="BR4" s="2">
        <v>103784</v>
      </c>
      <c r="BS4" s="2">
        <v>196938</v>
      </c>
      <c r="BT4" s="2">
        <v>80118</v>
      </c>
      <c r="BU4" s="2">
        <v>567340</v>
      </c>
      <c r="BV4" s="32">
        <v>202961</v>
      </c>
      <c r="BW4" s="2">
        <v>367954</v>
      </c>
      <c r="BX4" s="2">
        <v>559813</v>
      </c>
      <c r="BY4" s="2">
        <v>651121</v>
      </c>
      <c r="BZ4" s="2">
        <v>455189</v>
      </c>
      <c r="CA4" s="2">
        <v>580014</v>
      </c>
      <c r="CB4" s="32">
        <v>84161</v>
      </c>
      <c r="CC4" s="32">
        <v>443934</v>
      </c>
      <c r="CD4" s="2">
        <v>190064</v>
      </c>
      <c r="CE4" s="2">
        <v>132529</v>
      </c>
      <c r="CF4" s="2">
        <v>73472</v>
      </c>
      <c r="CG4" s="2">
        <v>192132</v>
      </c>
      <c r="CH4" s="2">
        <v>12091</v>
      </c>
      <c r="CI4" s="2">
        <v>328207</v>
      </c>
      <c r="CJ4" s="2">
        <v>412893</v>
      </c>
      <c r="CK4" s="2">
        <v>423999</v>
      </c>
      <c r="CL4" s="2">
        <v>395104</v>
      </c>
      <c r="CM4" s="2">
        <v>22695</v>
      </c>
      <c r="CN4" s="2">
        <v>663615</v>
      </c>
      <c r="CO4" s="2">
        <v>470774</v>
      </c>
      <c r="CP4" s="2">
        <v>219824</v>
      </c>
      <c r="CQ4" s="2">
        <v>167684</v>
      </c>
      <c r="CR4" s="2">
        <v>514016</v>
      </c>
      <c r="CS4" s="2">
        <v>183847</v>
      </c>
      <c r="CT4" s="2">
        <v>304437</v>
      </c>
      <c r="CU4" s="2">
        <v>488539</v>
      </c>
      <c r="CV4" s="2">
        <v>151721</v>
      </c>
      <c r="CW4" s="2">
        <v>455037</v>
      </c>
      <c r="CX4" s="2">
        <v>272799</v>
      </c>
      <c r="CY4" s="2">
        <v>147435</v>
      </c>
      <c r="CZ4" s="2">
        <v>72814</v>
      </c>
      <c r="DA4" s="2">
        <v>189599</v>
      </c>
      <c r="DB4" s="2">
        <v>42000</v>
      </c>
      <c r="DC4" s="2">
        <v>447997</v>
      </c>
      <c r="DD4" s="2">
        <v>419515</v>
      </c>
      <c r="DE4" s="2">
        <v>419516</v>
      </c>
      <c r="DF4" s="2"/>
      <c r="DG4" s="2"/>
      <c r="DH4" s="2"/>
      <c r="DI4" s="2"/>
      <c r="DJ4" s="2"/>
      <c r="DK4" s="2"/>
      <c r="DL4" s="2"/>
      <c r="DM4" s="2"/>
      <c r="DN4" s="2"/>
      <c r="DO4" s="2"/>
    </row>
    <row r="5" spans="1:119" x14ac:dyDescent="0.55000000000000004">
      <c r="B5" t="s">
        <v>8</v>
      </c>
      <c r="C5" s="1">
        <v>4.1619999999999998E-8</v>
      </c>
      <c r="D5">
        <v>162.13999999999999</v>
      </c>
      <c r="G5" s="2" t="s">
        <v>5</v>
      </c>
      <c r="H5" s="2">
        <f t="shared" ref="H5:AW5" si="1">$C$2*H4*0.04/0.002*100</f>
        <v>39.331642499999994</v>
      </c>
      <c r="I5" s="22">
        <f t="shared" si="1"/>
        <v>11.449282499999999</v>
      </c>
      <c r="J5" s="2">
        <f t="shared" si="1"/>
        <v>55.038622500000002</v>
      </c>
      <c r="K5" s="26">
        <f t="shared" si="1"/>
        <v>13.284067499999999</v>
      </c>
      <c r="L5" s="2">
        <f t="shared" si="1"/>
        <v>17.790030000000002</v>
      </c>
      <c r="M5" s="22">
        <f t="shared" si="1"/>
        <v>3.4493175000000003</v>
      </c>
      <c r="N5" s="2">
        <f t="shared" si="1"/>
        <v>3.4493849999999999</v>
      </c>
      <c r="O5" s="22">
        <f t="shared" si="1"/>
        <v>0.6969375000000001</v>
      </c>
      <c r="P5" s="22">
        <f t="shared" si="1"/>
        <v>18.013455</v>
      </c>
      <c r="Q5" s="2">
        <f t="shared" si="1"/>
        <v>57.471254999999999</v>
      </c>
      <c r="R5" s="22">
        <f t="shared" si="1"/>
        <v>11.530552500000001</v>
      </c>
      <c r="S5" s="2">
        <f t="shared" si="1"/>
        <v>51.882592500000015</v>
      </c>
      <c r="T5" s="22">
        <f>$C$2*T4*0.04/0.002*100</f>
        <v>11.165849999999999</v>
      </c>
      <c r="U5" s="22">
        <f t="shared" si="1"/>
        <v>12.377745000000001</v>
      </c>
      <c r="V5" s="22">
        <f t="shared" si="1"/>
        <v>8.7356475000000007</v>
      </c>
      <c r="W5" s="27">
        <f t="shared" si="1"/>
        <v>47.937622499999996</v>
      </c>
      <c r="X5" s="22">
        <f t="shared" si="1"/>
        <v>9.7463250000000006</v>
      </c>
      <c r="Y5" s="22">
        <f t="shared" si="1"/>
        <v>11.798730000000001</v>
      </c>
      <c r="Z5" s="26">
        <f t="shared" si="1"/>
        <v>18.651870000000002</v>
      </c>
      <c r="AA5" s="22">
        <f t="shared" si="1"/>
        <v>10.519807500000001</v>
      </c>
      <c r="AB5" s="22">
        <f t="shared" si="1"/>
        <v>16.624912500000004</v>
      </c>
      <c r="AC5" s="22">
        <f t="shared" si="1"/>
        <v>6.8025825000000015</v>
      </c>
      <c r="AD5" s="22">
        <f t="shared" si="1"/>
        <v>13.358722500000001</v>
      </c>
      <c r="AE5" s="22">
        <f t="shared" si="1"/>
        <v>21.166852500000001</v>
      </c>
      <c r="AF5" s="22">
        <f t="shared" si="1"/>
        <v>30.598357500000002</v>
      </c>
      <c r="AG5" s="22">
        <f t="shared" si="1"/>
        <v>36.053505000000001</v>
      </c>
      <c r="AH5" s="31">
        <f t="shared" si="1"/>
        <v>4.3799400000000004</v>
      </c>
      <c r="AI5" s="31">
        <f t="shared" si="1"/>
        <v>0.70375500000000002</v>
      </c>
      <c r="AJ5" s="31">
        <f t="shared" si="1"/>
        <v>19.962585000000001</v>
      </c>
      <c r="AK5" s="22">
        <f t="shared" si="1"/>
        <v>4.1843250000000003</v>
      </c>
      <c r="AL5" s="31">
        <f t="shared" si="1"/>
        <v>0</v>
      </c>
      <c r="AM5" s="22">
        <f t="shared" si="1"/>
        <v>22.5195525</v>
      </c>
      <c r="AN5" s="31">
        <f>$C$2*AN4*0.04/0.002*100</f>
        <v>18.155205000000002</v>
      </c>
      <c r="AO5" s="22">
        <f t="shared" si="1"/>
        <v>12.493304999999999</v>
      </c>
      <c r="AP5" s="22">
        <f t="shared" si="1"/>
        <v>3.3001425000000002</v>
      </c>
      <c r="AQ5" s="22">
        <f t="shared" si="1"/>
        <v>15.648592499999999</v>
      </c>
      <c r="AR5" s="22">
        <f t="shared" si="1"/>
        <v>35.909797500000003</v>
      </c>
      <c r="AS5" s="22">
        <f t="shared" si="1"/>
        <v>12.4278975</v>
      </c>
      <c r="AT5" s="31">
        <f t="shared" si="1"/>
        <v>10.9875825</v>
      </c>
      <c r="AU5" s="22">
        <f t="shared" si="1"/>
        <v>28.509435</v>
      </c>
      <c r="AV5" s="22">
        <f t="shared" si="1"/>
        <v>27.798862499999998</v>
      </c>
      <c r="AW5" s="22">
        <f t="shared" si="1"/>
        <v>10.8543375</v>
      </c>
      <c r="AX5" s="22">
        <f>$C$2*AX4*0.04/0.002*100</f>
        <v>39.259349999999998</v>
      </c>
      <c r="AY5" s="22">
        <f>$C$2*AY4*0.04/0.002*100</f>
        <v>9.2736225000000001</v>
      </c>
      <c r="AZ5" s="50">
        <f>$C$2*AZ4*0.04/0.002*100</f>
        <v>30.652290000000004</v>
      </c>
      <c r="BA5" s="22">
        <f t="shared" ref="BA5:DE5" si="2">$C$2*BA4*0.04/0.002*100</f>
        <v>26.485447500000003</v>
      </c>
      <c r="BB5" s="22">
        <f t="shared" si="2"/>
        <v>24.090209999999999</v>
      </c>
      <c r="BC5" s="22">
        <f t="shared" si="2"/>
        <v>21.176369999999999</v>
      </c>
      <c r="BD5" s="22">
        <f t="shared" si="2"/>
        <v>12.65868</v>
      </c>
      <c r="BE5" s="22">
        <f t="shared" si="2"/>
        <v>41.090220000000002</v>
      </c>
      <c r="BF5" s="22">
        <f t="shared" si="2"/>
        <v>10.930005</v>
      </c>
      <c r="BG5" s="55">
        <f t="shared" si="2"/>
        <v>3.973185</v>
      </c>
      <c r="BH5" s="22">
        <f t="shared" si="2"/>
        <v>20.519797499999999</v>
      </c>
      <c r="BI5" s="22">
        <f t="shared" si="2"/>
        <v>17.688307500000001</v>
      </c>
      <c r="BJ5" s="22">
        <f t="shared" si="2"/>
        <v>17.671432500000002</v>
      </c>
      <c r="BK5" s="22">
        <f t="shared" si="2"/>
        <v>22.940145000000005</v>
      </c>
      <c r="BL5" s="22">
        <f t="shared" si="2"/>
        <v>18.583155000000001</v>
      </c>
      <c r="BM5" s="22">
        <f t="shared" si="2"/>
        <v>10.917585000000001</v>
      </c>
      <c r="BN5" s="22">
        <f t="shared" si="2"/>
        <v>9.1196550000000016</v>
      </c>
      <c r="BO5" s="22">
        <f t="shared" si="2"/>
        <v>1.0930949999999999</v>
      </c>
      <c r="BP5" s="22">
        <f t="shared" si="2"/>
        <v>0.59028749999999997</v>
      </c>
      <c r="BQ5" s="22">
        <f t="shared" si="2"/>
        <v>16.363620000000001</v>
      </c>
      <c r="BR5" s="22">
        <f t="shared" si="2"/>
        <v>7.00542</v>
      </c>
      <c r="BS5" s="22">
        <f t="shared" si="2"/>
        <v>13.293315</v>
      </c>
      <c r="BT5" s="22">
        <f t="shared" si="2"/>
        <v>5.4079649999999999</v>
      </c>
      <c r="BU5" s="22">
        <f t="shared" si="2"/>
        <v>38.295450000000002</v>
      </c>
      <c r="BV5" s="32">
        <f t="shared" si="2"/>
        <v>13.699867500000002</v>
      </c>
      <c r="BW5" s="22">
        <f t="shared" si="2"/>
        <v>24.836895000000002</v>
      </c>
      <c r="BX5" s="22">
        <f t="shared" si="2"/>
        <v>37.787377500000005</v>
      </c>
      <c r="BY5" s="22">
        <f t="shared" si="2"/>
        <v>43.950667500000002</v>
      </c>
      <c r="BZ5" s="22">
        <f t="shared" si="2"/>
        <v>30.725257500000001</v>
      </c>
      <c r="CA5" s="22">
        <f t="shared" si="2"/>
        <v>39.150945</v>
      </c>
      <c r="CB5" s="32">
        <f t="shared" si="2"/>
        <v>5.6808675000000006</v>
      </c>
      <c r="CC5" s="32">
        <f t="shared" si="2"/>
        <v>29.965544999999999</v>
      </c>
      <c r="CD5" s="22">
        <f t="shared" si="2"/>
        <v>12.829320000000003</v>
      </c>
      <c r="CE5" s="22">
        <f t="shared" si="2"/>
        <v>8.945707500000001</v>
      </c>
      <c r="CF5" s="22">
        <f t="shared" si="2"/>
        <v>4.9593600000000002</v>
      </c>
      <c r="CG5" s="22">
        <f t="shared" si="2"/>
        <v>12.968910000000001</v>
      </c>
      <c r="CH5" s="22">
        <f t="shared" si="2"/>
        <v>0.81614249999999999</v>
      </c>
      <c r="CI5" s="22">
        <f t="shared" si="2"/>
        <v>22.153972499999998</v>
      </c>
      <c r="CJ5" s="22">
        <f t="shared" si="2"/>
        <v>27.8702775</v>
      </c>
      <c r="CK5" s="22">
        <f t="shared" si="2"/>
        <v>28.619932500000001</v>
      </c>
      <c r="CL5" s="22">
        <f t="shared" si="2"/>
        <v>26.669520000000002</v>
      </c>
      <c r="CM5" s="22">
        <f>$C$2*CM4*0.01/0.0005*100</f>
        <v>1.5319125</v>
      </c>
      <c r="CN5" s="22">
        <f>$C$2*CN4*0.01/0.0005*100</f>
        <v>44.794012500000001</v>
      </c>
      <c r="CO5" s="22">
        <f>$C$2*CO4*0.01/0.0005*100</f>
        <v>31.777244999999997</v>
      </c>
      <c r="CP5" s="22">
        <f>$C$2*CP4*0.01/0.0005*100</f>
        <v>14.83812</v>
      </c>
      <c r="CQ5" s="22">
        <f t="shared" si="2"/>
        <v>11.318670000000001</v>
      </c>
      <c r="CR5" s="22">
        <f t="shared" si="2"/>
        <v>34.696080000000009</v>
      </c>
      <c r="CS5" s="22">
        <f t="shared" si="2"/>
        <v>12.409672500000001</v>
      </c>
      <c r="CT5" s="22">
        <f t="shared" si="2"/>
        <v>20.549497500000001</v>
      </c>
      <c r="CU5" s="22">
        <f t="shared" si="2"/>
        <v>32.976382499999993</v>
      </c>
      <c r="CV5" s="22">
        <f t="shared" si="2"/>
        <v>10.241167500000001</v>
      </c>
      <c r="CW5" s="22">
        <f t="shared" si="2"/>
        <v>30.714997500000003</v>
      </c>
      <c r="CX5" s="22">
        <f t="shared" si="2"/>
        <v>18.413932500000001</v>
      </c>
      <c r="CY5" s="22">
        <f t="shared" si="2"/>
        <v>9.9518625000000007</v>
      </c>
      <c r="CZ5" s="22">
        <f t="shared" si="2"/>
        <v>4.9149450000000003</v>
      </c>
      <c r="DA5" s="22">
        <f t="shared" si="2"/>
        <v>12.7979325</v>
      </c>
      <c r="DB5" s="22">
        <f t="shared" si="2"/>
        <v>2.8350000000000004</v>
      </c>
      <c r="DC5" s="22">
        <f t="shared" si="2"/>
        <v>30.239797500000005</v>
      </c>
      <c r="DD5" s="22">
        <f t="shared" si="2"/>
        <v>28.317262500000002</v>
      </c>
      <c r="DE5" s="22">
        <f t="shared" si="2"/>
        <v>28.317330000000002</v>
      </c>
      <c r="DF5" s="2"/>
      <c r="DG5" s="2"/>
      <c r="DH5" s="2"/>
      <c r="DI5" s="2"/>
      <c r="DJ5" s="2"/>
      <c r="DK5" s="2"/>
      <c r="DL5" s="2"/>
      <c r="DM5" s="2"/>
      <c r="DN5" s="2"/>
      <c r="DO5" s="2"/>
    </row>
    <row r="6" spans="1:119" x14ac:dyDescent="0.55000000000000004">
      <c r="B6" t="s">
        <v>12</v>
      </c>
      <c r="C6" s="1">
        <f>C3*2</f>
        <v>3.7539999999999997E-8</v>
      </c>
      <c r="E6">
        <v>12.56</v>
      </c>
      <c r="F6" s="2" t="s">
        <v>6</v>
      </c>
      <c r="G6" s="2" t="s">
        <v>4</v>
      </c>
      <c r="H6" s="2">
        <v>54386</v>
      </c>
      <c r="I6" s="22">
        <v>10686</v>
      </c>
      <c r="J6" s="2">
        <v>17725</v>
      </c>
      <c r="K6" s="22">
        <v>7240</v>
      </c>
      <c r="L6" s="2">
        <v>106571</v>
      </c>
      <c r="M6" s="22">
        <v>19535</v>
      </c>
      <c r="N6" s="2">
        <v>53131</v>
      </c>
      <c r="O6" s="22">
        <v>9172</v>
      </c>
      <c r="P6" s="22">
        <v>5848</v>
      </c>
      <c r="Q6" s="2">
        <v>20575</v>
      </c>
      <c r="R6" s="22">
        <v>131426</v>
      </c>
      <c r="S6" s="2">
        <v>122914</v>
      </c>
      <c r="T6" s="22">
        <v>8859</v>
      </c>
      <c r="U6" s="22">
        <v>8117</v>
      </c>
      <c r="V6" s="22">
        <v>10531</v>
      </c>
      <c r="W6" s="27">
        <v>50242</v>
      </c>
      <c r="X6" s="22">
        <v>11311</v>
      </c>
      <c r="Y6" s="22">
        <v>10010</v>
      </c>
      <c r="Z6" s="32">
        <v>67871</v>
      </c>
      <c r="AA6" s="22">
        <v>10525</v>
      </c>
      <c r="AB6" s="22">
        <v>6726</v>
      </c>
      <c r="AC6" s="22">
        <v>16313</v>
      </c>
      <c r="AD6" s="22">
        <v>9003</v>
      </c>
      <c r="AE6" s="22">
        <v>5674</v>
      </c>
      <c r="AF6" s="22">
        <v>4201</v>
      </c>
      <c r="AG6" s="22">
        <v>3320</v>
      </c>
      <c r="AH6" s="31">
        <v>13102</v>
      </c>
      <c r="AI6" s="31"/>
      <c r="AJ6" s="31">
        <v>6418</v>
      </c>
      <c r="AK6" s="22">
        <v>13039</v>
      </c>
      <c r="AL6" s="31"/>
      <c r="AM6" s="31"/>
      <c r="AN6" s="31">
        <v>5618</v>
      </c>
      <c r="AO6" s="22">
        <v>8955</v>
      </c>
      <c r="AP6" s="22">
        <v>17774</v>
      </c>
      <c r="AQ6" s="22">
        <v>6757</v>
      </c>
      <c r="AR6" s="22">
        <v>2773</v>
      </c>
      <c r="AS6" s="22">
        <v>11497</v>
      </c>
      <c r="AT6" s="31">
        <v>9526</v>
      </c>
      <c r="AU6" s="31"/>
      <c r="AV6" s="22">
        <v>4982</v>
      </c>
      <c r="AW6" s="22">
        <v>10462</v>
      </c>
      <c r="AX6" s="31"/>
      <c r="AY6" s="31"/>
      <c r="AZ6" s="2"/>
      <c r="BA6" s="31"/>
      <c r="BB6" s="31"/>
      <c r="BC6" s="31"/>
      <c r="BD6" s="2">
        <v>15079</v>
      </c>
      <c r="BE6" s="2">
        <v>28542</v>
      </c>
      <c r="BF6" s="2"/>
      <c r="BG6" s="55"/>
      <c r="BH6" s="31">
        <v>24515</v>
      </c>
      <c r="BI6" s="2">
        <v>7610</v>
      </c>
      <c r="BJ6" s="2">
        <v>7147</v>
      </c>
      <c r="BK6" s="2">
        <v>58391</v>
      </c>
      <c r="BL6" s="2"/>
      <c r="BM6" s="31"/>
      <c r="BN6" s="2"/>
      <c r="BO6" s="2"/>
      <c r="BP6" s="2"/>
      <c r="BQ6" s="2"/>
      <c r="BR6" s="2"/>
      <c r="BS6" s="2">
        <v>8537</v>
      </c>
      <c r="BT6" s="2">
        <v>19890</v>
      </c>
      <c r="BU6" s="2">
        <v>3247</v>
      </c>
      <c r="BV6" s="32"/>
      <c r="BW6" s="2">
        <v>4801</v>
      </c>
      <c r="BX6" s="2">
        <v>3247</v>
      </c>
      <c r="BY6" s="2">
        <v>2</v>
      </c>
      <c r="BZ6" s="2">
        <v>4018</v>
      </c>
      <c r="CA6" s="2"/>
      <c r="CB6" s="32"/>
      <c r="CC6" s="32"/>
      <c r="CD6" s="2">
        <v>8416</v>
      </c>
      <c r="CE6" s="2">
        <v>15669</v>
      </c>
      <c r="CF6" s="2">
        <v>58186</v>
      </c>
      <c r="CG6" s="2">
        <v>12600</v>
      </c>
      <c r="CH6" s="2"/>
      <c r="CI6" s="2"/>
      <c r="CJ6" s="2"/>
      <c r="CK6" s="2"/>
      <c r="CL6" s="2"/>
      <c r="CM6" s="2">
        <v>1409655</v>
      </c>
      <c r="CN6" s="2">
        <v>819674</v>
      </c>
      <c r="CO6" s="2">
        <v>984065</v>
      </c>
      <c r="CP6" s="2">
        <v>1265771</v>
      </c>
      <c r="CQ6" s="2">
        <v>14409</v>
      </c>
      <c r="CR6" s="2"/>
      <c r="CS6" s="2"/>
      <c r="CT6" s="2"/>
      <c r="CU6" s="2"/>
      <c r="CV6" s="2">
        <v>347000</v>
      </c>
      <c r="CW6" s="2"/>
      <c r="CX6" s="2"/>
      <c r="CY6" s="2"/>
      <c r="CZ6" s="2"/>
      <c r="DA6" s="2"/>
      <c r="DB6" s="2">
        <v>1386733</v>
      </c>
      <c r="DC6" s="2">
        <v>972109</v>
      </c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</row>
    <row r="7" spans="1:119" x14ac:dyDescent="0.55000000000000004">
      <c r="B7" t="s">
        <v>13</v>
      </c>
      <c r="C7" s="1">
        <f>C3*1.5</f>
        <v>2.8154999999999996E-8</v>
      </c>
      <c r="G7" s="2" t="s">
        <v>5</v>
      </c>
      <c r="H7" s="2">
        <f t="shared" ref="H7:AW7" si="3">$C$3*H6*0.04/0.002*100</f>
        <v>2.0416504399999997</v>
      </c>
      <c r="I7" s="22">
        <f t="shared" si="3"/>
        <v>0.40115244</v>
      </c>
      <c r="J7" s="2">
        <f t="shared" si="3"/>
        <v>0.66539649999999995</v>
      </c>
      <c r="K7" s="22">
        <f t="shared" si="3"/>
        <v>0.27178959999999996</v>
      </c>
      <c r="L7" s="2">
        <f t="shared" si="3"/>
        <v>4.0006753400000008</v>
      </c>
      <c r="M7" s="22">
        <f t="shared" si="3"/>
        <v>0.73334389999999994</v>
      </c>
      <c r="N7" s="2">
        <f t="shared" si="3"/>
        <v>1.9945377399999999</v>
      </c>
      <c r="O7" s="22">
        <f t="shared" si="3"/>
        <v>0.34431687999999999</v>
      </c>
      <c r="P7" s="22">
        <f t="shared" si="3"/>
        <v>0.21953391999999997</v>
      </c>
      <c r="Q7" s="2">
        <f t="shared" si="3"/>
        <v>0.77238549999999995</v>
      </c>
      <c r="R7" s="22">
        <f t="shared" si="3"/>
        <v>4.9337320399999998</v>
      </c>
      <c r="S7" s="2">
        <f t="shared" si="3"/>
        <v>4.6141915599999992</v>
      </c>
      <c r="T7" s="22">
        <f t="shared" si="3"/>
        <v>0.33256685999999996</v>
      </c>
      <c r="U7" s="22">
        <f t="shared" si="3"/>
        <v>0.30471217999999994</v>
      </c>
      <c r="V7" s="22">
        <f t="shared" si="3"/>
        <v>0.39533373999999999</v>
      </c>
      <c r="W7" s="27">
        <f t="shared" si="3"/>
        <v>1.8860846799999997</v>
      </c>
      <c r="X7" s="22">
        <f t="shared" si="3"/>
        <v>0.42461493999999994</v>
      </c>
      <c r="Y7" s="22">
        <f t="shared" si="3"/>
        <v>0.37577539999999998</v>
      </c>
      <c r="Z7" s="22">
        <f t="shared" si="3"/>
        <v>2.5478773399999999</v>
      </c>
      <c r="AA7" s="22">
        <f t="shared" si="3"/>
        <v>0.39510849999999997</v>
      </c>
      <c r="AB7" s="22">
        <f t="shared" si="3"/>
        <v>0.25249403999999998</v>
      </c>
      <c r="AC7" s="22">
        <f t="shared" si="3"/>
        <v>0.61239001999999987</v>
      </c>
      <c r="AD7" s="22">
        <f t="shared" si="3"/>
        <v>0.33797261999999995</v>
      </c>
      <c r="AE7" s="22">
        <f t="shared" si="3"/>
        <v>0.21300195999999996</v>
      </c>
      <c r="AF7" s="22">
        <f t="shared" si="3"/>
        <v>0.15770553999999998</v>
      </c>
      <c r="AG7" s="22">
        <f t="shared" si="3"/>
        <v>0.12463279999999999</v>
      </c>
      <c r="AH7" s="31">
        <f t="shared" si="3"/>
        <v>0.49184907999999988</v>
      </c>
      <c r="AI7" s="31">
        <f t="shared" si="3"/>
        <v>0</v>
      </c>
      <c r="AJ7" s="31">
        <f t="shared" si="3"/>
        <v>0.24093171999999993</v>
      </c>
      <c r="AK7" s="22">
        <f t="shared" si="3"/>
        <v>0.48948406000000005</v>
      </c>
      <c r="AL7" s="31">
        <f t="shared" si="3"/>
        <v>0</v>
      </c>
      <c r="AM7" s="22">
        <f t="shared" si="3"/>
        <v>0</v>
      </c>
      <c r="AN7" s="31">
        <f t="shared" si="3"/>
        <v>0.21089972000000001</v>
      </c>
      <c r="AO7" s="22">
        <f t="shared" si="3"/>
        <v>0.33617069999999999</v>
      </c>
      <c r="AP7" s="22">
        <f t="shared" si="3"/>
        <v>0.66723595999999985</v>
      </c>
      <c r="AQ7" s="22">
        <f t="shared" si="3"/>
        <v>0.25365778</v>
      </c>
      <c r="AR7" s="22">
        <f t="shared" si="3"/>
        <v>0.10409841999999998</v>
      </c>
      <c r="AS7" s="22">
        <f t="shared" si="3"/>
        <v>0.43159737999999992</v>
      </c>
      <c r="AT7" s="31">
        <f t="shared" si="3"/>
        <v>0.35760603999999996</v>
      </c>
      <c r="AU7" s="22">
        <f t="shared" si="3"/>
        <v>0</v>
      </c>
      <c r="AV7" s="22">
        <f t="shared" si="3"/>
        <v>0.18702427999999999</v>
      </c>
      <c r="AW7" s="22">
        <f t="shared" si="3"/>
        <v>0.39274347999999998</v>
      </c>
      <c r="AX7" s="22">
        <f>$C$3*AX6*0.04/0.002*100</f>
        <v>0</v>
      </c>
      <c r="AY7" s="22">
        <f>$C$3*AY6*0.04/0.002*100</f>
        <v>0</v>
      </c>
      <c r="AZ7" s="22">
        <f>$C$3*AZ6*0.04/0.002*100</f>
        <v>0</v>
      </c>
      <c r="BA7" s="22">
        <f t="shared" ref="BA7:DE7" si="4">$C$3*BA6*0.04/0.002*100</f>
        <v>0</v>
      </c>
      <c r="BB7" s="22">
        <f t="shared" si="4"/>
        <v>0</v>
      </c>
      <c r="BC7" s="22">
        <f t="shared" si="4"/>
        <v>0</v>
      </c>
      <c r="BD7" s="22">
        <f t="shared" si="4"/>
        <v>0.56606566000000003</v>
      </c>
      <c r="BE7" s="22">
        <f t="shared" si="4"/>
        <v>1.0714666799999999</v>
      </c>
      <c r="BF7" s="22">
        <f t="shared" si="4"/>
        <v>0</v>
      </c>
      <c r="BG7" s="55">
        <f t="shared" si="4"/>
        <v>0</v>
      </c>
      <c r="BH7" s="22">
        <f t="shared" si="4"/>
        <v>0.92029309999999998</v>
      </c>
      <c r="BI7" s="22">
        <f t="shared" si="4"/>
        <v>0.28567939999999997</v>
      </c>
      <c r="BJ7" s="22">
        <f t="shared" si="4"/>
        <v>0.26829838</v>
      </c>
      <c r="BK7" s="22">
        <f t="shared" si="4"/>
        <v>2.1919981399999999</v>
      </c>
      <c r="BL7" s="22">
        <f t="shared" si="4"/>
        <v>0</v>
      </c>
      <c r="BM7" s="22">
        <f t="shared" si="4"/>
        <v>0</v>
      </c>
      <c r="BN7" s="22">
        <f t="shared" si="4"/>
        <v>0</v>
      </c>
      <c r="BO7" s="22">
        <f t="shared" si="4"/>
        <v>0</v>
      </c>
      <c r="BP7" s="22">
        <f t="shared" si="4"/>
        <v>0</v>
      </c>
      <c r="BQ7" s="22">
        <f t="shared" si="4"/>
        <v>0</v>
      </c>
      <c r="BR7" s="22">
        <f t="shared" si="4"/>
        <v>0</v>
      </c>
      <c r="BS7" s="22">
        <f t="shared" si="4"/>
        <v>0.32047897999999991</v>
      </c>
      <c r="BT7" s="22">
        <f t="shared" si="4"/>
        <v>0.74667059999999996</v>
      </c>
      <c r="BU7" s="22">
        <f t="shared" si="4"/>
        <v>0.12189238000000001</v>
      </c>
      <c r="BV7" s="32">
        <f t="shared" si="4"/>
        <v>0</v>
      </c>
      <c r="BW7" s="22">
        <f t="shared" si="4"/>
        <v>0.18022953999999999</v>
      </c>
      <c r="BX7" s="22">
        <f t="shared" si="4"/>
        <v>0.12189238000000001</v>
      </c>
      <c r="BY7" s="22">
        <f t="shared" si="4"/>
        <v>7.5079999999999993E-5</v>
      </c>
      <c r="BZ7" s="22">
        <f t="shared" si="4"/>
        <v>0.15083571999999998</v>
      </c>
      <c r="CA7" s="22">
        <f t="shared" si="4"/>
        <v>0</v>
      </c>
      <c r="CB7" s="32">
        <f t="shared" si="4"/>
        <v>0</v>
      </c>
      <c r="CC7" s="32">
        <f t="shared" si="4"/>
        <v>0</v>
      </c>
      <c r="CD7" s="22">
        <f t="shared" si="4"/>
        <v>0.31593663999999999</v>
      </c>
      <c r="CE7" s="22">
        <f t="shared" si="4"/>
        <v>0.58821425999999988</v>
      </c>
      <c r="CF7" s="22">
        <f t="shared" si="4"/>
        <v>2.1843024399999997</v>
      </c>
      <c r="CG7" s="22">
        <f t="shared" si="4"/>
        <v>0.47300399999999998</v>
      </c>
      <c r="CH7" s="22">
        <f t="shared" si="4"/>
        <v>0</v>
      </c>
      <c r="CI7" s="22">
        <f t="shared" si="4"/>
        <v>0</v>
      </c>
      <c r="CJ7" s="22">
        <f t="shared" si="4"/>
        <v>0</v>
      </c>
      <c r="CK7" s="22">
        <f t="shared" si="4"/>
        <v>0</v>
      </c>
      <c r="CL7" s="22">
        <f t="shared" si="4"/>
        <v>0</v>
      </c>
      <c r="CM7" s="22">
        <f t="shared" si="4"/>
        <v>52.918448699999985</v>
      </c>
      <c r="CN7" s="22">
        <f t="shared" si="4"/>
        <v>30.770561959999998</v>
      </c>
      <c r="CO7" s="22">
        <f t="shared" si="4"/>
        <v>36.941800100000002</v>
      </c>
      <c r="CP7" s="22">
        <f t="shared" si="4"/>
        <v>47.517043340000001</v>
      </c>
      <c r="CQ7" s="22">
        <f t="shared" si="4"/>
        <v>0.54091385999999997</v>
      </c>
      <c r="CR7" s="22">
        <f t="shared" si="4"/>
        <v>0</v>
      </c>
      <c r="CS7" s="22">
        <f t="shared" si="4"/>
        <v>0</v>
      </c>
      <c r="CT7" s="22">
        <f t="shared" si="4"/>
        <v>0</v>
      </c>
      <c r="CU7" s="22">
        <f t="shared" si="4"/>
        <v>0</v>
      </c>
      <c r="CV7" s="22">
        <f t="shared" si="4"/>
        <v>13.026379999999998</v>
      </c>
      <c r="CW7" s="22">
        <f t="shared" si="4"/>
        <v>0</v>
      </c>
      <c r="CX7" s="22">
        <f t="shared" si="4"/>
        <v>0</v>
      </c>
      <c r="CY7" s="22">
        <f t="shared" si="4"/>
        <v>0</v>
      </c>
      <c r="CZ7" s="22">
        <f t="shared" si="4"/>
        <v>0</v>
      </c>
      <c r="DA7" s="22">
        <f t="shared" si="4"/>
        <v>0</v>
      </c>
      <c r="DB7" s="22">
        <f t="shared" si="4"/>
        <v>52.057956819999994</v>
      </c>
      <c r="DC7" s="22">
        <f t="shared" si="4"/>
        <v>36.492971859999997</v>
      </c>
      <c r="DD7" s="22">
        <f t="shared" si="4"/>
        <v>0</v>
      </c>
      <c r="DE7" s="22">
        <f t="shared" si="4"/>
        <v>0</v>
      </c>
      <c r="DF7" s="2"/>
      <c r="DG7" s="2"/>
      <c r="DH7" s="2"/>
      <c r="DI7" s="2"/>
      <c r="DJ7" s="2"/>
      <c r="DK7" s="2"/>
      <c r="DL7" s="2"/>
      <c r="DM7" s="2"/>
      <c r="DN7" s="2"/>
      <c r="DO7" s="2"/>
    </row>
    <row r="8" spans="1:119" x14ac:dyDescent="0.55000000000000004">
      <c r="B8" t="s">
        <v>14</v>
      </c>
      <c r="C8" s="1">
        <f>C2</f>
        <v>3.3750000000000001E-8</v>
      </c>
      <c r="E8">
        <v>46.7</v>
      </c>
      <c r="F8" s="3" t="s">
        <v>7</v>
      </c>
      <c r="G8" s="2" t="s">
        <v>4</v>
      </c>
      <c r="H8" s="2">
        <v>79553</v>
      </c>
      <c r="I8" s="22">
        <v>26635</v>
      </c>
      <c r="J8" s="2">
        <v>100036</v>
      </c>
      <c r="K8" s="22">
        <v>27153</v>
      </c>
      <c r="L8" s="2">
        <v>48027</v>
      </c>
      <c r="M8" s="22">
        <v>11185</v>
      </c>
      <c r="N8" s="2">
        <v>27655</v>
      </c>
      <c r="O8" s="22">
        <v>5657</v>
      </c>
      <c r="P8" s="22">
        <v>36915</v>
      </c>
      <c r="Q8" s="2">
        <v>102673</v>
      </c>
      <c r="R8" s="22">
        <v>37122</v>
      </c>
      <c r="S8" s="2">
        <v>121927</v>
      </c>
      <c r="T8" s="22">
        <v>28933</v>
      </c>
      <c r="U8" s="22">
        <v>26818</v>
      </c>
      <c r="V8" s="22">
        <v>19323</v>
      </c>
      <c r="W8" s="27">
        <v>81714</v>
      </c>
      <c r="X8" s="22">
        <v>24557</v>
      </c>
      <c r="Y8" s="22">
        <v>22801</v>
      </c>
      <c r="Z8" s="22">
        <v>30169</v>
      </c>
      <c r="AA8" s="22">
        <v>18776</v>
      </c>
      <c r="AB8" s="22">
        <v>31224</v>
      </c>
      <c r="AC8" s="22">
        <v>22186</v>
      </c>
      <c r="AD8" s="22">
        <v>23241</v>
      </c>
      <c r="AE8" s="22">
        <v>41712</v>
      </c>
      <c r="AF8" s="22">
        <v>62463</v>
      </c>
      <c r="AG8" s="22">
        <v>78579</v>
      </c>
      <c r="AH8" s="31">
        <v>20720</v>
      </c>
      <c r="AI8" s="31"/>
      <c r="AJ8" s="31">
        <v>33614</v>
      </c>
      <c r="AK8" s="22">
        <v>24518</v>
      </c>
      <c r="AL8" s="31"/>
      <c r="AM8" s="22">
        <v>47057</v>
      </c>
      <c r="AN8" s="31">
        <v>30389</v>
      </c>
      <c r="AO8" s="22">
        <v>28647</v>
      </c>
      <c r="AP8" s="22">
        <v>13492</v>
      </c>
      <c r="AQ8" s="22">
        <v>35862</v>
      </c>
      <c r="AR8" s="22">
        <v>116940</v>
      </c>
      <c r="AS8" s="22">
        <v>32383</v>
      </c>
      <c r="AT8" s="31">
        <v>26473</v>
      </c>
      <c r="AU8" s="22">
        <v>67502</v>
      </c>
      <c r="AV8" s="22">
        <v>57600</v>
      </c>
      <c r="AW8" s="22">
        <v>19883</v>
      </c>
      <c r="AX8" s="22">
        <v>126375</v>
      </c>
      <c r="AY8" s="2">
        <v>21190</v>
      </c>
      <c r="AZ8" s="2">
        <v>63494</v>
      </c>
      <c r="BA8" s="2">
        <v>110336</v>
      </c>
      <c r="BB8" s="2">
        <v>176486</v>
      </c>
      <c r="BC8" s="2">
        <v>213805</v>
      </c>
      <c r="BD8" s="2">
        <v>29320</v>
      </c>
      <c r="BE8" s="2">
        <v>76909</v>
      </c>
      <c r="BF8" s="2">
        <v>41015</v>
      </c>
      <c r="BG8" s="55">
        <v>37366</v>
      </c>
      <c r="BH8" s="2">
        <v>84456</v>
      </c>
      <c r="BI8" s="2">
        <v>31259</v>
      </c>
      <c r="BJ8" s="2">
        <v>29260</v>
      </c>
      <c r="BK8" s="2">
        <v>43344</v>
      </c>
      <c r="BL8" s="2">
        <v>34305</v>
      </c>
      <c r="BM8" s="2">
        <v>34843</v>
      </c>
      <c r="BN8" s="2">
        <v>35232</v>
      </c>
      <c r="BO8" s="2"/>
      <c r="BP8" s="2"/>
      <c r="BQ8" s="2"/>
      <c r="BR8" s="2"/>
      <c r="BS8" s="2">
        <v>21225</v>
      </c>
      <c r="BT8" s="2">
        <v>12458</v>
      </c>
      <c r="BU8" s="2">
        <v>88993</v>
      </c>
      <c r="BV8" s="32"/>
      <c r="BW8" s="2">
        <v>39613</v>
      </c>
      <c r="BX8" s="2">
        <v>85280</v>
      </c>
      <c r="BY8" s="2">
        <v>119733</v>
      </c>
      <c r="BZ8" s="2">
        <v>61217</v>
      </c>
      <c r="CA8" s="2"/>
      <c r="CB8" s="32"/>
      <c r="CC8" s="32"/>
      <c r="CD8" s="2">
        <v>21643</v>
      </c>
      <c r="CE8" s="2">
        <v>167956</v>
      </c>
      <c r="CF8" s="2">
        <v>36227</v>
      </c>
      <c r="CG8" s="2">
        <v>23711</v>
      </c>
      <c r="CH8" s="2">
        <v>8272</v>
      </c>
      <c r="CI8" s="2">
        <v>195244</v>
      </c>
      <c r="CJ8" s="2">
        <v>111560</v>
      </c>
      <c r="CK8" s="2">
        <v>83628</v>
      </c>
      <c r="CL8" s="2">
        <v>110846</v>
      </c>
      <c r="CM8" s="2"/>
      <c r="CN8" s="2"/>
      <c r="CO8" s="2"/>
      <c r="CP8" s="2"/>
      <c r="CQ8" s="2">
        <v>37134</v>
      </c>
      <c r="CR8" s="2">
        <v>124496</v>
      </c>
      <c r="CS8" s="2"/>
      <c r="CT8" s="2">
        <v>89329</v>
      </c>
      <c r="CU8" s="2">
        <v>65101</v>
      </c>
      <c r="CV8" s="2">
        <v>58549</v>
      </c>
      <c r="CW8" s="2"/>
      <c r="CX8" s="2">
        <v>30594</v>
      </c>
      <c r="CY8" s="2"/>
      <c r="CZ8" s="2">
        <v>33454</v>
      </c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</row>
    <row r="9" spans="1:119" x14ac:dyDescent="0.55000000000000004">
      <c r="B9" t="s">
        <v>15</v>
      </c>
      <c r="C9" s="1">
        <f>C2</f>
        <v>3.3750000000000001E-8</v>
      </c>
      <c r="G9" s="2" t="s">
        <v>5</v>
      </c>
      <c r="H9" s="2">
        <f>$C$4*H8*0.04/0.002*100</f>
        <v>5.8741935200000004</v>
      </c>
      <c r="I9" s="22">
        <f t="shared" ref="I9:AW9" si="5">$C$4*I8*0.04/0.002*100</f>
        <v>1.9667284000000003</v>
      </c>
      <c r="J9" s="2">
        <f t="shared" si="5"/>
        <v>7.3866582400000009</v>
      </c>
      <c r="K9" s="22">
        <f t="shared" si="5"/>
        <v>2.0049775200000006</v>
      </c>
      <c r="L9" s="2">
        <f t="shared" si="5"/>
        <v>3.5463136800000004</v>
      </c>
      <c r="M9" s="22">
        <f t="shared" si="5"/>
        <v>0.82590040000000009</v>
      </c>
      <c r="N9" s="2">
        <f t="shared" si="5"/>
        <v>2.0420452</v>
      </c>
      <c r="O9" s="22">
        <f t="shared" si="5"/>
        <v>0.41771288000000006</v>
      </c>
      <c r="P9" s="22">
        <f t="shared" si="5"/>
        <v>2.7258036000000003</v>
      </c>
      <c r="Q9" s="2">
        <f t="shared" si="5"/>
        <v>7.5813743200000001</v>
      </c>
      <c r="R9" s="22">
        <f t="shared" si="5"/>
        <v>2.7410884800000002</v>
      </c>
      <c r="S9" s="2">
        <f t="shared" si="5"/>
        <v>9.0030896800000004</v>
      </c>
      <c r="T9" s="22">
        <f t="shared" si="5"/>
        <v>2.13641272</v>
      </c>
      <c r="U9" s="22">
        <f t="shared" si="5"/>
        <v>1.9802411200000001</v>
      </c>
      <c r="V9" s="22">
        <f t="shared" si="5"/>
        <v>1.4268103200000002</v>
      </c>
      <c r="W9" s="27">
        <f t="shared" si="5"/>
        <v>6.0337617600000009</v>
      </c>
      <c r="X9" s="22">
        <f t="shared" si="5"/>
        <v>1.81328888</v>
      </c>
      <c r="Y9" s="22">
        <f t="shared" si="5"/>
        <v>1.6836258400000002</v>
      </c>
      <c r="Z9" s="22">
        <f t="shared" si="5"/>
        <v>2.22767896</v>
      </c>
      <c r="AA9" s="22">
        <f t="shared" si="5"/>
        <v>1.3864198400000003</v>
      </c>
      <c r="AB9" s="22">
        <f t="shared" si="5"/>
        <v>2.3055801599999999</v>
      </c>
      <c r="AC9" s="22">
        <f t="shared" si="5"/>
        <v>1.6382142400000002</v>
      </c>
      <c r="AD9" s="22">
        <f t="shared" si="5"/>
        <v>1.71611544</v>
      </c>
      <c r="AE9" s="22">
        <f t="shared" si="5"/>
        <v>3.0800140800000002</v>
      </c>
      <c r="AF9" s="22">
        <f t="shared" si="5"/>
        <v>4.6122679199999999</v>
      </c>
      <c r="AG9" s="22">
        <f t="shared" si="5"/>
        <v>5.80227336</v>
      </c>
      <c r="AH9" s="31">
        <f t="shared" si="5"/>
        <v>1.5299647999999999</v>
      </c>
      <c r="AI9" s="31">
        <f t="shared" si="5"/>
        <v>0</v>
      </c>
      <c r="AJ9" s="31">
        <f t="shared" si="5"/>
        <v>2.48205776</v>
      </c>
      <c r="AK9" s="22">
        <f t="shared" si="5"/>
        <v>1.8104091200000001</v>
      </c>
      <c r="AL9" s="31">
        <f t="shared" si="5"/>
        <v>0</v>
      </c>
      <c r="AM9" s="22">
        <f t="shared" si="5"/>
        <v>3.47468888</v>
      </c>
      <c r="AN9" s="31">
        <f t="shared" si="5"/>
        <v>2.2439237600000004</v>
      </c>
      <c r="AO9" s="22">
        <f t="shared" si="5"/>
        <v>2.1152944800000002</v>
      </c>
      <c r="AP9" s="22">
        <f t="shared" si="5"/>
        <v>0.99624928000000001</v>
      </c>
      <c r="AQ9" s="22">
        <f t="shared" si="5"/>
        <v>2.64805008</v>
      </c>
      <c r="AR9" s="22">
        <f t="shared" si="5"/>
        <v>8.6348496000000008</v>
      </c>
      <c r="AS9" s="22">
        <f t="shared" si="5"/>
        <v>2.3911607199999998</v>
      </c>
      <c r="AT9" s="31">
        <f t="shared" si="5"/>
        <v>1.9547663200000003</v>
      </c>
      <c r="AU9" s="22">
        <f t="shared" si="5"/>
        <v>4.9843476799999991</v>
      </c>
      <c r="AV9" s="22">
        <f t="shared" si="5"/>
        <v>4.2531840000000001</v>
      </c>
      <c r="AW9" s="22">
        <f t="shared" si="5"/>
        <v>1.4681607200000002</v>
      </c>
      <c r="AX9" s="22">
        <f>$C$4*AX8*0.04/0.002*100</f>
        <v>9.3315300000000025</v>
      </c>
      <c r="AY9" s="22">
        <f>$C$4*AY8*0.04/0.002*100</f>
        <v>1.5646695999999998</v>
      </c>
      <c r="AZ9" s="22">
        <f>$C$4*AZ8*0.04/0.002*100</f>
        <v>4.6883969600000004</v>
      </c>
      <c r="BA9" s="22">
        <f t="shared" ref="BA9:DE9" si="6">$C$4*BA8*0.04/0.002*100</f>
        <v>8.1472102400000015</v>
      </c>
      <c r="BB9" s="22">
        <f t="shared" si="6"/>
        <v>13.031726240000003</v>
      </c>
      <c r="BC9" s="22">
        <f t="shared" si="6"/>
        <v>15.787361200000003</v>
      </c>
      <c r="BD9" s="22">
        <f t="shared" si="6"/>
        <v>2.1649888000000006</v>
      </c>
      <c r="BE9" s="22">
        <f t="shared" si="6"/>
        <v>5.678960560000001</v>
      </c>
      <c r="BF9" s="22">
        <f t="shared" si="6"/>
        <v>3.0285476</v>
      </c>
      <c r="BG9" s="55">
        <f t="shared" si="6"/>
        <v>2.7591054400000004</v>
      </c>
      <c r="BH9" s="22">
        <f t="shared" si="6"/>
        <v>6.2362310400000007</v>
      </c>
      <c r="BI9" s="22">
        <f t="shared" si="6"/>
        <v>2.3081645600000003</v>
      </c>
      <c r="BJ9" s="22">
        <f t="shared" si="6"/>
        <v>2.1605584000000002</v>
      </c>
      <c r="BK9" s="22">
        <f t="shared" si="6"/>
        <v>3.20052096</v>
      </c>
      <c r="BL9" s="22">
        <f t="shared" si="6"/>
        <v>2.5330812000000003</v>
      </c>
      <c r="BM9" s="22">
        <f t="shared" si="6"/>
        <v>2.5728071200000002</v>
      </c>
      <c r="BN9" s="22">
        <f t="shared" si="6"/>
        <v>2.6015308800000003</v>
      </c>
      <c r="BO9" s="22">
        <f t="shared" si="6"/>
        <v>0</v>
      </c>
      <c r="BP9" s="22">
        <f t="shared" si="6"/>
        <v>0</v>
      </c>
      <c r="BQ9" s="22">
        <f t="shared" si="6"/>
        <v>0</v>
      </c>
      <c r="BR9" s="22">
        <f t="shared" si="6"/>
        <v>0</v>
      </c>
      <c r="BS9" s="22">
        <f t="shared" si="6"/>
        <v>1.5672540000000001</v>
      </c>
      <c r="BT9" s="22">
        <f t="shared" si="6"/>
        <v>0.91989871999999995</v>
      </c>
      <c r="BU9" s="22">
        <f t="shared" si="6"/>
        <v>6.5712431200000001</v>
      </c>
      <c r="BV9" s="32">
        <f t="shared" si="6"/>
        <v>0</v>
      </c>
      <c r="BW9" s="22">
        <f t="shared" si="6"/>
        <v>2.9250239200000006</v>
      </c>
      <c r="BX9" s="22">
        <f t="shared" si="6"/>
        <v>6.2970752000000001</v>
      </c>
      <c r="BY9" s="22">
        <f t="shared" si="6"/>
        <v>8.8410847200000013</v>
      </c>
      <c r="BZ9" s="22">
        <f t="shared" si="6"/>
        <v>4.52026328</v>
      </c>
      <c r="CA9" s="22">
        <f t="shared" si="6"/>
        <v>0</v>
      </c>
      <c r="CB9" s="32">
        <f t="shared" si="6"/>
        <v>0</v>
      </c>
      <c r="CC9" s="32">
        <f t="shared" si="6"/>
        <v>0</v>
      </c>
      <c r="CD9" s="22">
        <f t="shared" si="6"/>
        <v>1.5981191200000002</v>
      </c>
      <c r="CE9" s="22">
        <f t="shared" si="6"/>
        <v>12.401871040000003</v>
      </c>
      <c r="CF9" s="22">
        <f t="shared" si="6"/>
        <v>2.6750016800000003</v>
      </c>
      <c r="CG9" s="22">
        <f t="shared" si="6"/>
        <v>1.7508202400000001</v>
      </c>
      <c r="CH9" s="22">
        <f t="shared" si="6"/>
        <v>0.61080448000000009</v>
      </c>
      <c r="CI9" s="22">
        <f t="shared" si="6"/>
        <v>14.41681696</v>
      </c>
      <c r="CJ9" s="22">
        <f t="shared" si="6"/>
        <v>8.237590400000002</v>
      </c>
      <c r="CK9" s="22">
        <f t="shared" si="6"/>
        <v>6.1750915200000005</v>
      </c>
      <c r="CL9" s="22">
        <f t="shared" si="6"/>
        <v>8.1848686400000012</v>
      </c>
      <c r="CM9" s="22">
        <f t="shared" si="6"/>
        <v>0</v>
      </c>
      <c r="CN9" s="22">
        <f t="shared" si="6"/>
        <v>0</v>
      </c>
      <c r="CO9" s="22">
        <f t="shared" si="6"/>
        <v>0</v>
      </c>
      <c r="CP9" s="22">
        <f t="shared" si="6"/>
        <v>0</v>
      </c>
      <c r="CQ9" s="22">
        <f t="shared" si="6"/>
        <v>2.7419745600000005</v>
      </c>
      <c r="CR9" s="22">
        <f t="shared" si="6"/>
        <v>9.1927846399999993</v>
      </c>
      <c r="CS9" s="22">
        <f t="shared" si="6"/>
        <v>0</v>
      </c>
      <c r="CT9" s="22">
        <f t="shared" si="6"/>
        <v>6.59605336</v>
      </c>
      <c r="CU9" s="22">
        <f t="shared" si="6"/>
        <v>4.8070578399999997</v>
      </c>
      <c r="CV9" s="22">
        <f t="shared" si="6"/>
        <v>4.32325816</v>
      </c>
      <c r="CW9" s="22">
        <f t="shared" si="6"/>
        <v>0</v>
      </c>
      <c r="CX9" s="22">
        <f t="shared" si="6"/>
        <v>2.2590609600000007</v>
      </c>
      <c r="CY9" s="22">
        <f t="shared" si="6"/>
        <v>0</v>
      </c>
      <c r="CZ9" s="22">
        <f t="shared" si="6"/>
        <v>2.47024336</v>
      </c>
      <c r="DA9" s="22">
        <f t="shared" si="6"/>
        <v>0</v>
      </c>
      <c r="DB9" s="22">
        <f t="shared" si="6"/>
        <v>0</v>
      </c>
      <c r="DC9" s="22">
        <f t="shared" si="6"/>
        <v>0</v>
      </c>
      <c r="DD9" s="22">
        <f t="shared" si="6"/>
        <v>0</v>
      </c>
      <c r="DE9" s="22">
        <f t="shared" si="6"/>
        <v>0</v>
      </c>
      <c r="DF9" s="2"/>
      <c r="DG9" s="2"/>
      <c r="DH9" s="2"/>
      <c r="DI9" s="2"/>
      <c r="DJ9" s="2"/>
      <c r="DK9" s="2"/>
      <c r="DL9" s="2"/>
      <c r="DM9" s="2"/>
      <c r="DN9" s="2"/>
      <c r="DO9" s="2"/>
    </row>
    <row r="10" spans="1:119" x14ac:dyDescent="0.55000000000000004">
      <c r="B10" t="s">
        <v>22</v>
      </c>
      <c r="C10" s="1">
        <f>3.39*C4/2.54</f>
        <v>4.9275118110236224E-8</v>
      </c>
      <c r="E10">
        <v>18.579999999999998</v>
      </c>
      <c r="F10" s="3" t="s">
        <v>8</v>
      </c>
      <c r="G10" s="2" t="s">
        <v>4</v>
      </c>
      <c r="H10" s="2">
        <v>39732</v>
      </c>
      <c r="I10" s="22">
        <v>11818</v>
      </c>
      <c r="J10" s="2">
        <v>44994</v>
      </c>
      <c r="K10" s="22">
        <v>12301</v>
      </c>
      <c r="L10" s="2">
        <v>16245</v>
      </c>
      <c r="M10" s="22">
        <v>5526</v>
      </c>
      <c r="N10" s="2">
        <v>13451</v>
      </c>
      <c r="O10" s="22">
        <v>2677</v>
      </c>
      <c r="P10" s="22">
        <v>16860</v>
      </c>
      <c r="Q10" s="2">
        <v>51293</v>
      </c>
      <c r="R10" s="22">
        <v>14380</v>
      </c>
      <c r="S10" s="2">
        <v>53314</v>
      </c>
      <c r="T10" s="22">
        <v>11771</v>
      </c>
      <c r="U10" s="22">
        <v>12532</v>
      </c>
      <c r="V10" s="22">
        <v>19323</v>
      </c>
      <c r="W10" s="27">
        <v>46415</v>
      </c>
      <c r="X10" s="22">
        <v>10687</v>
      </c>
      <c r="Y10" s="22">
        <v>12041</v>
      </c>
      <c r="Z10" s="22">
        <v>16979</v>
      </c>
      <c r="AA10" s="22">
        <v>12664</v>
      </c>
      <c r="AB10" s="22">
        <v>16826</v>
      </c>
      <c r="AC10" s="22">
        <v>9744</v>
      </c>
      <c r="AD10" s="22">
        <v>13898</v>
      </c>
      <c r="AE10" s="22">
        <v>18223</v>
      </c>
      <c r="AF10" s="22">
        <v>23080</v>
      </c>
      <c r="AG10" s="22">
        <v>26422</v>
      </c>
      <c r="AH10" s="31">
        <v>6977</v>
      </c>
      <c r="AI10" s="31"/>
      <c r="AJ10" s="31">
        <v>16818</v>
      </c>
      <c r="AK10" s="22">
        <v>6289</v>
      </c>
      <c r="AL10" s="31"/>
      <c r="AM10" s="22">
        <v>19981</v>
      </c>
      <c r="AN10" s="31">
        <v>15911</v>
      </c>
      <c r="AO10" s="22">
        <v>98135</v>
      </c>
      <c r="AP10" s="31"/>
      <c r="AQ10" s="22">
        <v>17353</v>
      </c>
      <c r="AR10" s="22">
        <v>38166</v>
      </c>
      <c r="AS10" s="22">
        <v>16391</v>
      </c>
      <c r="AT10" s="31">
        <v>94829</v>
      </c>
      <c r="AU10" s="22">
        <v>24228</v>
      </c>
      <c r="AV10" s="22">
        <v>9045</v>
      </c>
      <c r="AW10" s="22">
        <v>13161</v>
      </c>
      <c r="AX10" s="22">
        <v>36058</v>
      </c>
      <c r="AY10" s="2">
        <v>11237</v>
      </c>
      <c r="AZ10" s="2">
        <v>28183</v>
      </c>
      <c r="BA10" s="2">
        <v>31279</v>
      </c>
      <c r="BB10" s="2">
        <v>39743</v>
      </c>
      <c r="BC10" s="2">
        <v>39125</v>
      </c>
      <c r="BD10" s="2">
        <v>15079</v>
      </c>
      <c r="BE10" s="2">
        <v>40447</v>
      </c>
      <c r="BF10" s="2">
        <v>15482</v>
      </c>
      <c r="BG10" s="55">
        <v>14686</v>
      </c>
      <c r="BH10" s="2">
        <v>27160</v>
      </c>
      <c r="BI10" s="2">
        <v>16018</v>
      </c>
      <c r="BJ10" s="2">
        <v>15413</v>
      </c>
      <c r="BK10" s="2">
        <v>19292</v>
      </c>
      <c r="BL10" s="2">
        <v>17953</v>
      </c>
      <c r="BM10" s="2">
        <v>12179</v>
      </c>
      <c r="BN10" s="2">
        <v>14739</v>
      </c>
      <c r="BO10" s="2"/>
      <c r="BP10" s="2"/>
      <c r="BQ10" s="2"/>
      <c r="BR10" s="2"/>
      <c r="BS10" s="2">
        <v>11511</v>
      </c>
      <c r="BT10" s="2">
        <v>6993</v>
      </c>
      <c r="BU10" s="2">
        <v>23937</v>
      </c>
      <c r="BV10" s="32"/>
      <c r="BW10" s="2">
        <v>18340</v>
      </c>
      <c r="BX10" s="2">
        <v>23365</v>
      </c>
      <c r="BY10" s="2">
        <v>27202</v>
      </c>
      <c r="BZ10" s="2">
        <v>22255</v>
      </c>
      <c r="CA10" s="2"/>
      <c r="CB10" s="32"/>
      <c r="CC10" s="32"/>
      <c r="CD10" s="2">
        <v>11769</v>
      </c>
      <c r="CE10" s="2">
        <v>10741</v>
      </c>
      <c r="CF10" s="2">
        <v>12196</v>
      </c>
      <c r="CG10" s="2">
        <v>12895</v>
      </c>
      <c r="CH10" s="2">
        <v>4720</v>
      </c>
      <c r="CI10" s="2">
        <v>25879</v>
      </c>
      <c r="CJ10" s="2">
        <v>28506</v>
      </c>
      <c r="CK10" s="2">
        <v>19814</v>
      </c>
      <c r="CL10" s="2">
        <v>25879</v>
      </c>
      <c r="CM10" s="2"/>
      <c r="CN10" s="2"/>
      <c r="CO10" s="2"/>
      <c r="CP10" s="2"/>
      <c r="CQ10" s="2">
        <v>15174</v>
      </c>
      <c r="CR10" s="2">
        <v>25442</v>
      </c>
      <c r="CS10" s="2"/>
      <c r="CT10" s="2">
        <v>24856</v>
      </c>
      <c r="CU10" s="2">
        <v>19539</v>
      </c>
      <c r="CV10" s="2">
        <v>20680</v>
      </c>
      <c r="CW10" s="2"/>
      <c r="CX10" s="2">
        <v>13343</v>
      </c>
      <c r="CY10" s="2"/>
      <c r="CZ10" s="2">
        <v>11728</v>
      </c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</row>
    <row r="11" spans="1:119" x14ac:dyDescent="0.55000000000000004">
      <c r="G11" s="2" t="s">
        <v>5</v>
      </c>
      <c r="H11" s="2">
        <f t="shared" ref="H11:AW11" si="7">$C$5*H10*0.04/0.002*100</f>
        <v>3.3072916799999996</v>
      </c>
      <c r="I11" s="22">
        <f t="shared" si="7"/>
        <v>0.98373031999999994</v>
      </c>
      <c r="J11" s="2">
        <f t="shared" si="7"/>
        <v>3.74530056</v>
      </c>
      <c r="K11" s="22">
        <f t="shared" si="7"/>
        <v>1.0239352400000001</v>
      </c>
      <c r="L11" s="2">
        <f t="shared" si="7"/>
        <v>1.3522337999999998</v>
      </c>
      <c r="M11" s="22">
        <f t="shared" si="7"/>
        <v>0.45998423999999999</v>
      </c>
      <c r="N11" s="2">
        <f t="shared" si="7"/>
        <v>1.1196612400000001</v>
      </c>
      <c r="O11" s="22">
        <f t="shared" si="7"/>
        <v>0.22283348</v>
      </c>
      <c r="P11" s="22">
        <f t="shared" si="7"/>
        <v>1.4034263999999999</v>
      </c>
      <c r="Q11" s="2">
        <f t="shared" si="7"/>
        <v>4.2696293200000008</v>
      </c>
      <c r="R11" s="22">
        <f t="shared" si="7"/>
        <v>1.1969911999999998</v>
      </c>
      <c r="S11" s="2">
        <f t="shared" si="7"/>
        <v>4.4378573600000006</v>
      </c>
      <c r="T11" s="22">
        <f t="shared" si="7"/>
        <v>0.97981804000000006</v>
      </c>
      <c r="U11" s="22">
        <f t="shared" si="7"/>
        <v>1.0431636799999999</v>
      </c>
      <c r="V11" s="22">
        <f t="shared" si="7"/>
        <v>1.6084465199999998</v>
      </c>
      <c r="W11" s="27">
        <f t="shared" si="7"/>
        <v>3.8635846000000003</v>
      </c>
      <c r="X11" s="22">
        <f t="shared" si="7"/>
        <v>0.88958587999999994</v>
      </c>
      <c r="Y11" s="22">
        <f t="shared" si="7"/>
        <v>1.00229284</v>
      </c>
      <c r="Z11" s="22">
        <f t="shared" si="7"/>
        <v>1.4133319599999998</v>
      </c>
      <c r="AA11" s="22">
        <f t="shared" si="7"/>
        <v>1.0541513600000001</v>
      </c>
      <c r="AB11" s="22">
        <f t="shared" si="7"/>
        <v>1.40059624</v>
      </c>
      <c r="AC11" s="22">
        <f t="shared" si="7"/>
        <v>0.8110905599999999</v>
      </c>
      <c r="AD11" s="22">
        <f t="shared" si="7"/>
        <v>1.1568695199999999</v>
      </c>
      <c r="AE11" s="22">
        <f t="shared" si="7"/>
        <v>1.51688252</v>
      </c>
      <c r="AF11" s="22">
        <f t="shared" si="7"/>
        <v>1.9211791999999999</v>
      </c>
      <c r="AG11" s="22">
        <f t="shared" si="7"/>
        <v>2.1993672799999997</v>
      </c>
      <c r="AH11" s="31">
        <f t="shared" si="7"/>
        <v>0.58076548000000006</v>
      </c>
      <c r="AI11" s="31">
        <f t="shared" si="7"/>
        <v>0</v>
      </c>
      <c r="AJ11" s="31">
        <f t="shared" si="7"/>
        <v>1.39993032</v>
      </c>
      <c r="AK11" s="22">
        <f t="shared" si="7"/>
        <v>0.52349635999999999</v>
      </c>
      <c r="AL11" s="31">
        <f t="shared" si="7"/>
        <v>0</v>
      </c>
      <c r="AM11" s="22">
        <f t="shared" si="7"/>
        <v>1.6632184400000001</v>
      </c>
      <c r="AN11" s="31">
        <f t="shared" si="7"/>
        <v>1.32443164</v>
      </c>
      <c r="AO11" s="31">
        <f t="shared" si="7"/>
        <v>8.1687573999999987</v>
      </c>
      <c r="AP11" s="31">
        <f t="shared" si="7"/>
        <v>0</v>
      </c>
      <c r="AQ11" s="22">
        <f t="shared" si="7"/>
        <v>1.4444637199999999</v>
      </c>
      <c r="AR11" s="22">
        <f t="shared" si="7"/>
        <v>3.1769378399999999</v>
      </c>
      <c r="AS11" s="22">
        <f t="shared" si="7"/>
        <v>1.3643868399999999</v>
      </c>
      <c r="AT11" s="31">
        <f t="shared" si="7"/>
        <v>7.8935659600000001</v>
      </c>
      <c r="AU11" s="22">
        <f t="shared" si="7"/>
        <v>2.0167387200000002</v>
      </c>
      <c r="AV11" s="22">
        <f t="shared" si="7"/>
        <v>0.75290579999999996</v>
      </c>
      <c r="AW11" s="22">
        <f t="shared" si="7"/>
        <v>1.0955216400000001</v>
      </c>
      <c r="AX11" s="22">
        <f>$C$5*AX10*0.04/0.002*100</f>
        <v>3.0014679200000001</v>
      </c>
      <c r="AY11" s="22">
        <f>$C$5*AY10*0.04/0.002*100</f>
        <v>0.93536787999999993</v>
      </c>
      <c r="AZ11" s="22">
        <f>$C$5*AZ10*0.04/0.002*100</f>
        <v>2.3459529199999998</v>
      </c>
      <c r="BA11" s="22">
        <f t="shared" ref="BA11:DE11" si="8">$C$5*BA10*0.04/0.002*100</f>
        <v>2.60366396</v>
      </c>
      <c r="BB11" s="22">
        <f t="shared" si="8"/>
        <v>3.3082073199999993</v>
      </c>
      <c r="BC11" s="22">
        <f t="shared" si="8"/>
        <v>3.2567649999999997</v>
      </c>
      <c r="BD11" s="22">
        <f t="shared" si="8"/>
        <v>1.2551759600000001</v>
      </c>
      <c r="BE11" s="22">
        <f t="shared" si="8"/>
        <v>3.3668082799999999</v>
      </c>
      <c r="BF11" s="22">
        <f t="shared" si="8"/>
        <v>1.2887216799999999</v>
      </c>
      <c r="BG11" s="55">
        <f t="shared" si="8"/>
        <v>1.2224626399999998</v>
      </c>
      <c r="BH11" s="22">
        <f t="shared" si="8"/>
        <v>2.2607983999999997</v>
      </c>
      <c r="BI11" s="22">
        <f t="shared" si="8"/>
        <v>1.33333832</v>
      </c>
      <c r="BJ11" s="22">
        <f t="shared" si="8"/>
        <v>1.2829781199999999</v>
      </c>
      <c r="BK11" s="22">
        <f t="shared" si="8"/>
        <v>1.60586608</v>
      </c>
      <c r="BL11" s="22">
        <f t="shared" si="8"/>
        <v>1.4944077199999997</v>
      </c>
      <c r="BM11" s="22">
        <f t="shared" si="8"/>
        <v>1.0137799599999999</v>
      </c>
      <c r="BN11" s="22">
        <f t="shared" si="8"/>
        <v>1.2268743599999998</v>
      </c>
      <c r="BO11" s="22">
        <f t="shared" si="8"/>
        <v>0</v>
      </c>
      <c r="BP11" s="22">
        <f t="shared" si="8"/>
        <v>0</v>
      </c>
      <c r="BQ11" s="22">
        <f t="shared" si="8"/>
        <v>0</v>
      </c>
      <c r="BR11" s="22">
        <f t="shared" si="8"/>
        <v>0</v>
      </c>
      <c r="BS11" s="22">
        <f t="shared" si="8"/>
        <v>0.95817563999999988</v>
      </c>
      <c r="BT11" s="22">
        <f t="shared" si="8"/>
        <v>0.58209732000000003</v>
      </c>
      <c r="BU11" s="22">
        <f t="shared" si="8"/>
        <v>1.9925158799999998</v>
      </c>
      <c r="BV11" s="32">
        <f t="shared" si="8"/>
        <v>0</v>
      </c>
      <c r="BW11" s="22">
        <f t="shared" si="8"/>
        <v>1.5266215999999999</v>
      </c>
      <c r="BX11" s="22">
        <f t="shared" si="8"/>
        <v>1.9449025999999998</v>
      </c>
      <c r="BY11" s="22">
        <f t="shared" si="8"/>
        <v>2.2642944799999998</v>
      </c>
      <c r="BZ11" s="22">
        <f t="shared" si="8"/>
        <v>1.8525061999999999</v>
      </c>
      <c r="CA11" s="22">
        <f t="shared" si="8"/>
        <v>0</v>
      </c>
      <c r="CB11" s="32">
        <f t="shared" si="8"/>
        <v>0</v>
      </c>
      <c r="CC11" s="32">
        <f t="shared" si="8"/>
        <v>0</v>
      </c>
      <c r="CD11" s="22">
        <f t="shared" si="8"/>
        <v>0.97965155999999998</v>
      </c>
      <c r="CE11" s="22">
        <f t="shared" si="8"/>
        <v>0.89408083999999999</v>
      </c>
      <c r="CF11" s="22">
        <f t="shared" si="8"/>
        <v>1.01519504</v>
      </c>
      <c r="CG11" s="22">
        <f t="shared" si="8"/>
        <v>1.0733797999999999</v>
      </c>
      <c r="CH11" s="22">
        <f t="shared" si="8"/>
        <v>0.39289279999999999</v>
      </c>
      <c r="CI11" s="22">
        <f t="shared" si="8"/>
        <v>2.1541679599999997</v>
      </c>
      <c r="CJ11" s="22">
        <f t="shared" si="8"/>
        <v>2.3728394399999999</v>
      </c>
      <c r="CK11" s="22">
        <f t="shared" si="8"/>
        <v>1.6493173599999997</v>
      </c>
      <c r="CL11" s="22">
        <f t="shared" si="8"/>
        <v>2.1541679599999997</v>
      </c>
      <c r="CM11" s="22">
        <f t="shared" si="8"/>
        <v>0</v>
      </c>
      <c r="CN11" s="22">
        <f t="shared" si="8"/>
        <v>0</v>
      </c>
      <c r="CO11" s="22">
        <f t="shared" si="8"/>
        <v>0</v>
      </c>
      <c r="CP11" s="22">
        <f t="shared" si="8"/>
        <v>0</v>
      </c>
      <c r="CQ11" s="22">
        <f t="shared" si="8"/>
        <v>1.2630837599999998</v>
      </c>
      <c r="CR11" s="22">
        <f t="shared" si="8"/>
        <v>2.1177920800000001</v>
      </c>
      <c r="CS11" s="22">
        <f t="shared" si="8"/>
        <v>0</v>
      </c>
      <c r="CT11" s="22">
        <f t="shared" si="8"/>
        <v>2.0690134399999995</v>
      </c>
      <c r="CU11" s="22">
        <f t="shared" si="8"/>
        <v>1.62642636</v>
      </c>
      <c r="CV11" s="22">
        <f t="shared" si="8"/>
        <v>1.7214031999999997</v>
      </c>
      <c r="CW11" s="22">
        <f t="shared" si="8"/>
        <v>0</v>
      </c>
      <c r="CX11" s="22">
        <f t="shared" si="8"/>
        <v>1.11067132</v>
      </c>
      <c r="CY11" s="22">
        <f t="shared" si="8"/>
        <v>0</v>
      </c>
      <c r="CZ11" s="22">
        <f t="shared" si="8"/>
        <v>0.97623871999999978</v>
      </c>
      <c r="DA11" s="22">
        <f t="shared" si="8"/>
        <v>0</v>
      </c>
      <c r="DB11" s="22">
        <f t="shared" si="8"/>
        <v>0</v>
      </c>
      <c r="DC11" s="22">
        <f t="shared" si="8"/>
        <v>0</v>
      </c>
      <c r="DD11" s="22">
        <f t="shared" si="8"/>
        <v>0</v>
      </c>
      <c r="DE11" s="22">
        <f t="shared" si="8"/>
        <v>0</v>
      </c>
      <c r="DF11" s="2"/>
      <c r="DG11" s="2"/>
      <c r="DH11" s="2"/>
      <c r="DI11" s="2"/>
      <c r="DJ11" s="2"/>
      <c r="DK11" s="2"/>
      <c r="DL11" s="2"/>
      <c r="DM11" s="2"/>
      <c r="DN11" s="2"/>
      <c r="DO11" s="2"/>
    </row>
    <row r="12" spans="1:119" x14ac:dyDescent="0.55000000000000004">
      <c r="D12" t="s">
        <v>15</v>
      </c>
      <c r="E12">
        <v>15.4</v>
      </c>
      <c r="F12" s="3" t="s">
        <v>14</v>
      </c>
      <c r="G12" s="2" t="s">
        <v>4</v>
      </c>
      <c r="H12" s="2">
        <v>41796</v>
      </c>
      <c r="I12" s="22">
        <v>25229</v>
      </c>
      <c r="J12" s="2">
        <v>36934</v>
      </c>
      <c r="K12" s="22">
        <v>22294</v>
      </c>
      <c r="L12" s="2">
        <v>33675</v>
      </c>
      <c r="M12" s="22">
        <v>18889</v>
      </c>
      <c r="N12" s="2">
        <v>23664</v>
      </c>
      <c r="O12" s="22">
        <v>8595</v>
      </c>
      <c r="P12" s="22">
        <v>25846</v>
      </c>
      <c r="Q12" s="2">
        <v>43758</v>
      </c>
      <c r="R12" s="22">
        <v>27340</v>
      </c>
      <c r="S12" s="2">
        <v>63953</v>
      </c>
      <c r="T12" s="22">
        <v>25862</v>
      </c>
      <c r="U12" s="22">
        <v>26038</v>
      </c>
      <c r="V12" s="22">
        <v>24645</v>
      </c>
      <c r="W12" s="27">
        <v>50650</v>
      </c>
      <c r="X12" s="22">
        <v>25133</v>
      </c>
      <c r="Y12" s="22">
        <v>26627</v>
      </c>
      <c r="Z12" s="22">
        <v>42123</v>
      </c>
      <c r="AA12" s="22">
        <v>27508</v>
      </c>
      <c r="AB12" s="22">
        <v>27637</v>
      </c>
      <c r="AC12" s="22">
        <v>23159</v>
      </c>
      <c r="AD12" s="22">
        <v>27305</v>
      </c>
      <c r="AE12" s="22">
        <v>26711</v>
      </c>
      <c r="AF12" s="22">
        <v>26756</v>
      </c>
      <c r="AG12" s="22">
        <v>25594</v>
      </c>
      <c r="AH12" s="31">
        <v>20283</v>
      </c>
      <c r="AI12" s="31"/>
      <c r="AJ12" s="31">
        <v>16818</v>
      </c>
      <c r="AK12" s="22">
        <v>19487</v>
      </c>
      <c r="AL12" s="31"/>
      <c r="AM12" s="31">
        <v>64487</v>
      </c>
      <c r="AN12" s="31">
        <v>24812</v>
      </c>
      <c r="AO12" s="22">
        <v>23514</v>
      </c>
      <c r="AP12" s="22">
        <v>19785</v>
      </c>
      <c r="AQ12" s="22">
        <v>24480</v>
      </c>
      <c r="AR12" s="22">
        <v>21266</v>
      </c>
      <c r="AS12" s="22">
        <v>26107</v>
      </c>
      <c r="AT12" s="31">
        <v>24634</v>
      </c>
      <c r="AU12" s="31">
        <v>131517</v>
      </c>
      <c r="AV12" s="22">
        <v>28621</v>
      </c>
      <c r="AW12" s="22">
        <v>25523</v>
      </c>
      <c r="AX12" s="31">
        <v>650411</v>
      </c>
      <c r="AY12" s="31"/>
      <c r="AZ12" s="2">
        <v>28170</v>
      </c>
      <c r="BA12" s="2">
        <v>49526</v>
      </c>
      <c r="BB12" s="2">
        <v>28172</v>
      </c>
      <c r="BC12" s="2">
        <v>28173</v>
      </c>
      <c r="BD12" s="2">
        <v>27045</v>
      </c>
      <c r="BE12" s="2">
        <v>41587</v>
      </c>
      <c r="BF12" s="2">
        <v>34755</v>
      </c>
      <c r="BG12" s="55">
        <v>33789</v>
      </c>
      <c r="BH12" s="2">
        <v>43673</v>
      </c>
      <c r="BI12" s="2">
        <v>24656</v>
      </c>
      <c r="BJ12" s="2">
        <v>24877</v>
      </c>
      <c r="BK12" s="2">
        <v>40623</v>
      </c>
      <c r="BL12" s="2">
        <v>26309</v>
      </c>
      <c r="BM12" s="2">
        <v>43889</v>
      </c>
      <c r="BN12" s="2">
        <v>22785</v>
      </c>
      <c r="BO12" s="2"/>
      <c r="BP12" s="2"/>
      <c r="BQ12" s="2"/>
      <c r="BR12" s="2"/>
      <c r="BS12" s="2">
        <v>24167</v>
      </c>
      <c r="BT12" s="2">
        <v>24962</v>
      </c>
      <c r="BU12" s="2">
        <v>22154</v>
      </c>
      <c r="BV12" s="32"/>
      <c r="BW12" s="2">
        <v>25670</v>
      </c>
      <c r="BX12" s="2">
        <v>20563</v>
      </c>
      <c r="BY12" s="2">
        <v>19998</v>
      </c>
      <c r="BZ12" s="2">
        <v>24777</v>
      </c>
      <c r="CA12" s="2"/>
      <c r="CB12" s="32"/>
      <c r="CC12" s="32"/>
      <c r="CD12" s="2">
        <v>25614</v>
      </c>
      <c r="CE12" s="2">
        <v>25463</v>
      </c>
      <c r="CF12" s="2">
        <v>24450</v>
      </c>
      <c r="CG12" s="2">
        <v>27193</v>
      </c>
      <c r="CH12" s="2">
        <v>10476</v>
      </c>
      <c r="CI12" s="2">
        <v>24243</v>
      </c>
      <c r="CJ12" s="2">
        <v>29180</v>
      </c>
      <c r="CK12" s="2">
        <v>21059</v>
      </c>
      <c r="CL12" s="2">
        <v>24243</v>
      </c>
      <c r="CM12" s="2"/>
      <c r="CN12" s="2"/>
      <c r="CO12" s="2"/>
      <c r="CP12" s="2"/>
      <c r="CQ12" s="2">
        <v>23234</v>
      </c>
      <c r="CR12" s="2">
        <v>17465</v>
      </c>
      <c r="CS12" s="2"/>
      <c r="CT12" s="2">
        <v>31072</v>
      </c>
      <c r="CU12" s="2">
        <v>23178</v>
      </c>
      <c r="CV12" s="2">
        <v>37765</v>
      </c>
      <c r="CW12" s="2"/>
      <c r="CX12" s="2">
        <v>24852</v>
      </c>
      <c r="CY12" s="2"/>
      <c r="CZ12" s="2">
        <v>25714</v>
      </c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</row>
    <row r="13" spans="1:119" x14ac:dyDescent="0.55000000000000004">
      <c r="G13" s="2" t="s">
        <v>5</v>
      </c>
      <c r="H13" s="2">
        <f t="shared" ref="H13:AW13" si="9">$C$8*H12*0.04/0.002*100</f>
        <v>2.8212299999999999</v>
      </c>
      <c r="I13" s="22">
        <f t="shared" si="9"/>
        <v>1.7029575000000001</v>
      </c>
      <c r="J13" s="2">
        <f t="shared" si="9"/>
        <v>2.493045</v>
      </c>
      <c r="K13" s="22">
        <f t="shared" si="9"/>
        <v>1.5048450000000002</v>
      </c>
      <c r="L13" s="2">
        <f t="shared" si="9"/>
        <v>2.2730625</v>
      </c>
      <c r="M13" s="22">
        <f t="shared" si="9"/>
        <v>1.2750075000000001</v>
      </c>
      <c r="N13" s="2">
        <f t="shared" si="9"/>
        <v>1.5973199999999996</v>
      </c>
      <c r="O13" s="22">
        <f t="shared" si="9"/>
        <v>0.58016250000000003</v>
      </c>
      <c r="P13" s="22">
        <f t="shared" si="9"/>
        <v>1.7446049999999997</v>
      </c>
      <c r="Q13" s="2">
        <f t="shared" si="9"/>
        <v>2.9536650000000004</v>
      </c>
      <c r="R13" s="22">
        <f t="shared" si="9"/>
        <v>1.8454500000000003</v>
      </c>
      <c r="S13" s="2">
        <f t="shared" si="9"/>
        <v>4.3168274999999996</v>
      </c>
      <c r="T13" s="22">
        <f t="shared" si="9"/>
        <v>1.7456850000000004</v>
      </c>
      <c r="U13" s="22">
        <f t="shared" si="9"/>
        <v>1.7575650000000003</v>
      </c>
      <c r="V13" s="22">
        <f t="shared" si="9"/>
        <v>1.6635375000000001</v>
      </c>
      <c r="W13" s="27">
        <f t="shared" si="9"/>
        <v>3.4188750000000003</v>
      </c>
      <c r="X13" s="22">
        <f t="shared" si="9"/>
        <v>1.6964774999999999</v>
      </c>
      <c r="Y13" s="22">
        <f t="shared" si="9"/>
        <v>1.7973225000000002</v>
      </c>
      <c r="Z13" s="22">
        <f t="shared" si="9"/>
        <v>2.8433024999999996</v>
      </c>
      <c r="AA13" s="22">
        <f t="shared" si="9"/>
        <v>1.8567900000000002</v>
      </c>
      <c r="AB13" s="22">
        <f t="shared" si="9"/>
        <v>1.8654975</v>
      </c>
      <c r="AC13" s="22">
        <f t="shared" si="9"/>
        <v>1.5632325000000002</v>
      </c>
      <c r="AD13" s="22">
        <f t="shared" si="9"/>
        <v>1.8430875000000002</v>
      </c>
      <c r="AE13" s="22">
        <f t="shared" si="9"/>
        <v>1.8029924999999998</v>
      </c>
      <c r="AF13" s="22">
        <f t="shared" si="9"/>
        <v>1.8060300000000002</v>
      </c>
      <c r="AG13" s="22">
        <f t="shared" si="9"/>
        <v>1.7275949999999998</v>
      </c>
      <c r="AH13" s="31">
        <f t="shared" si="9"/>
        <v>1.3691024999999999</v>
      </c>
      <c r="AI13" s="31">
        <f t="shared" si="9"/>
        <v>0</v>
      </c>
      <c r="AJ13" s="31">
        <f t="shared" si="9"/>
        <v>1.1352149999999999</v>
      </c>
      <c r="AK13" s="22">
        <f t="shared" si="9"/>
        <v>1.3153724999999998</v>
      </c>
      <c r="AL13" s="31">
        <f t="shared" si="9"/>
        <v>0</v>
      </c>
      <c r="AM13" s="31">
        <f t="shared" si="9"/>
        <v>4.3528725000000001</v>
      </c>
      <c r="AN13" s="31">
        <f t="shared" si="9"/>
        <v>1.6748099999999999</v>
      </c>
      <c r="AO13" s="22">
        <f t="shared" si="9"/>
        <v>1.5871949999999999</v>
      </c>
      <c r="AP13" s="22">
        <f t="shared" si="9"/>
        <v>1.3354874999999999</v>
      </c>
      <c r="AQ13" s="22">
        <f t="shared" si="9"/>
        <v>1.6524000000000001</v>
      </c>
      <c r="AR13" s="22">
        <f t="shared" si="9"/>
        <v>1.4354549999999999</v>
      </c>
      <c r="AS13" s="22">
        <f t="shared" si="9"/>
        <v>1.7622225000000002</v>
      </c>
      <c r="AT13" s="31">
        <f t="shared" si="9"/>
        <v>1.6627949999999998</v>
      </c>
      <c r="AU13" s="31">
        <f t="shared" si="9"/>
        <v>8.8773975000000007</v>
      </c>
      <c r="AV13" s="22">
        <f t="shared" si="9"/>
        <v>1.9319175000000002</v>
      </c>
      <c r="AW13" s="22">
        <f t="shared" si="9"/>
        <v>1.7228025</v>
      </c>
      <c r="AX13" s="31">
        <f>$C$8*AX12*0.04/0.002*100</f>
        <v>43.902742500000002</v>
      </c>
      <c r="AY13" s="31">
        <f>$C$8*AY12*0.04/0.002*100</f>
        <v>0</v>
      </c>
      <c r="AZ13" s="31">
        <f>$C$8*AZ12*0.04/0.002*100</f>
        <v>1.9014750000000005</v>
      </c>
      <c r="BA13" s="31">
        <f t="shared" ref="BA13:DE13" si="10">$C$8*BA12*0.04/0.002*100</f>
        <v>3.3430050000000002</v>
      </c>
      <c r="BB13" s="31">
        <f t="shared" si="10"/>
        <v>1.9016099999999998</v>
      </c>
      <c r="BC13" s="31">
        <f t="shared" si="10"/>
        <v>1.9016774999999999</v>
      </c>
      <c r="BD13" s="2">
        <f t="shared" si="10"/>
        <v>1.8255375</v>
      </c>
      <c r="BE13" s="2">
        <f t="shared" si="10"/>
        <v>2.8071225000000002</v>
      </c>
      <c r="BF13" s="2">
        <f t="shared" si="10"/>
        <v>2.3459625000000002</v>
      </c>
      <c r="BG13" s="55">
        <f t="shared" si="10"/>
        <v>2.2807575000000004</v>
      </c>
      <c r="BH13" s="31">
        <f t="shared" si="10"/>
        <v>2.9479275000000005</v>
      </c>
      <c r="BI13" s="2">
        <f t="shared" si="10"/>
        <v>1.66428</v>
      </c>
      <c r="BJ13" s="2">
        <f t="shared" si="10"/>
        <v>1.6791975000000001</v>
      </c>
      <c r="BK13" s="2">
        <f t="shared" si="10"/>
        <v>2.7420525000000002</v>
      </c>
      <c r="BL13" s="2">
        <f t="shared" si="10"/>
        <v>1.7758575000000003</v>
      </c>
      <c r="BM13" s="31">
        <f t="shared" si="10"/>
        <v>2.9625075000000005</v>
      </c>
      <c r="BN13" s="2">
        <f t="shared" si="10"/>
        <v>1.5379874999999998</v>
      </c>
      <c r="BO13" s="2">
        <f t="shared" si="10"/>
        <v>0</v>
      </c>
      <c r="BP13" s="2">
        <f t="shared" si="10"/>
        <v>0</v>
      </c>
      <c r="BQ13" s="2">
        <f t="shared" si="10"/>
        <v>0</v>
      </c>
      <c r="BR13" s="2">
        <f t="shared" si="10"/>
        <v>0</v>
      </c>
      <c r="BS13" s="2">
        <f t="shared" si="10"/>
        <v>1.6312725000000001</v>
      </c>
      <c r="BT13" s="2">
        <f t="shared" si="10"/>
        <v>1.6849350000000003</v>
      </c>
      <c r="BU13" s="2">
        <f t="shared" si="10"/>
        <v>1.495395</v>
      </c>
      <c r="BV13" s="32">
        <f t="shared" si="10"/>
        <v>0</v>
      </c>
      <c r="BW13" s="2">
        <f t="shared" si="10"/>
        <v>1.7327250000000003</v>
      </c>
      <c r="BX13" s="2">
        <f t="shared" si="10"/>
        <v>1.3880025</v>
      </c>
      <c r="BY13" s="2">
        <f t="shared" si="10"/>
        <v>1.3498649999999999</v>
      </c>
      <c r="BZ13" s="2">
        <f t="shared" si="10"/>
        <v>1.6724474999999999</v>
      </c>
      <c r="CA13" s="2">
        <f t="shared" si="10"/>
        <v>0</v>
      </c>
      <c r="CB13" s="32">
        <f t="shared" si="10"/>
        <v>0</v>
      </c>
      <c r="CC13" s="32">
        <f t="shared" si="10"/>
        <v>0</v>
      </c>
      <c r="CD13" s="2">
        <f t="shared" si="10"/>
        <v>1.7289450000000002</v>
      </c>
      <c r="CE13" s="2">
        <f t="shared" si="10"/>
        <v>1.7187524999999999</v>
      </c>
      <c r="CF13" s="2">
        <f t="shared" si="10"/>
        <v>1.6503750000000001</v>
      </c>
      <c r="CG13" s="2">
        <f t="shared" si="10"/>
        <v>1.8355275</v>
      </c>
      <c r="CH13" s="2">
        <f t="shared" si="10"/>
        <v>0.70713000000000004</v>
      </c>
      <c r="CI13" s="2">
        <f t="shared" si="10"/>
        <v>1.6364025</v>
      </c>
      <c r="CJ13" s="2">
        <f t="shared" si="10"/>
        <v>1.9696499999999999</v>
      </c>
      <c r="CK13" s="2">
        <f t="shared" si="10"/>
        <v>1.4214825000000002</v>
      </c>
      <c r="CL13" s="2">
        <f t="shared" si="10"/>
        <v>1.6364025</v>
      </c>
      <c r="CM13" s="2">
        <f t="shared" si="10"/>
        <v>0</v>
      </c>
      <c r="CN13" s="2">
        <f t="shared" si="10"/>
        <v>0</v>
      </c>
      <c r="CO13" s="2">
        <f t="shared" si="10"/>
        <v>0</v>
      </c>
      <c r="CP13" s="2">
        <f t="shared" si="10"/>
        <v>0</v>
      </c>
      <c r="CQ13" s="2">
        <f t="shared" si="10"/>
        <v>1.568295</v>
      </c>
      <c r="CR13" s="2">
        <f t="shared" si="10"/>
        <v>1.1788874999999999</v>
      </c>
      <c r="CS13" s="2">
        <f t="shared" si="10"/>
        <v>0</v>
      </c>
      <c r="CT13" s="2">
        <f t="shared" si="10"/>
        <v>2.0973599999999997</v>
      </c>
      <c r="CU13" s="2">
        <f t="shared" si="10"/>
        <v>1.5645150000000001</v>
      </c>
      <c r="CV13" s="2">
        <f t="shared" si="10"/>
        <v>2.5491375000000005</v>
      </c>
      <c r="CW13" s="2">
        <f t="shared" si="10"/>
        <v>0</v>
      </c>
      <c r="CX13" s="2">
        <f t="shared" si="10"/>
        <v>1.6775100000000001</v>
      </c>
      <c r="CY13" s="2">
        <f t="shared" si="10"/>
        <v>0</v>
      </c>
      <c r="CZ13" s="2">
        <f t="shared" si="10"/>
        <v>1.735695</v>
      </c>
      <c r="DA13" s="2">
        <f t="shared" si="10"/>
        <v>0</v>
      </c>
      <c r="DB13" s="2">
        <f t="shared" si="10"/>
        <v>0</v>
      </c>
      <c r="DC13" s="2">
        <f t="shared" si="10"/>
        <v>0</v>
      </c>
      <c r="DD13" s="2">
        <f t="shared" si="10"/>
        <v>0</v>
      </c>
      <c r="DE13" s="2">
        <f t="shared" si="10"/>
        <v>0</v>
      </c>
      <c r="DF13" s="2"/>
      <c r="DG13" s="2"/>
      <c r="DH13" s="2"/>
      <c r="DI13" s="2"/>
      <c r="DJ13" s="2"/>
      <c r="DK13" s="2"/>
      <c r="DL13" s="2"/>
      <c r="DM13" s="2"/>
      <c r="DN13" s="2"/>
      <c r="DO13" s="2"/>
    </row>
    <row r="14" spans="1:119" x14ac:dyDescent="0.55000000000000004">
      <c r="D14" t="s">
        <v>6</v>
      </c>
      <c r="E14" t="s">
        <v>13</v>
      </c>
      <c r="F14" s="3" t="s">
        <v>12</v>
      </c>
      <c r="G14" s="2" t="s">
        <v>4</v>
      </c>
      <c r="H14" s="2">
        <v>97835</v>
      </c>
      <c r="I14" s="22">
        <v>18319</v>
      </c>
      <c r="J14" s="2">
        <v>26589</v>
      </c>
      <c r="K14" s="22">
        <v>10461</v>
      </c>
      <c r="L14" s="2">
        <v>258419</v>
      </c>
      <c r="M14" s="22">
        <v>41229</v>
      </c>
      <c r="N14" s="2">
        <v>218504</v>
      </c>
      <c r="O14" s="22">
        <v>27318</v>
      </c>
      <c r="P14" s="22">
        <v>9789</v>
      </c>
      <c r="Q14" s="2">
        <v>33998</v>
      </c>
      <c r="R14" s="22">
        <v>139157</v>
      </c>
      <c r="S14" s="2">
        <v>140219</v>
      </c>
      <c r="T14" s="22">
        <v>16438</v>
      </c>
      <c r="U14" s="22">
        <v>14919</v>
      </c>
      <c r="V14" s="22">
        <v>19692</v>
      </c>
      <c r="W14" s="27">
        <v>96940</v>
      </c>
      <c r="X14" s="22">
        <v>21237</v>
      </c>
      <c r="Y14" s="22">
        <v>17446</v>
      </c>
      <c r="Z14" s="22">
        <v>71674</v>
      </c>
      <c r="AA14" s="22">
        <v>18776</v>
      </c>
      <c r="AB14" s="22">
        <v>11105</v>
      </c>
      <c r="AC14" s="22">
        <v>30299</v>
      </c>
      <c r="AD14" s="22">
        <v>15587</v>
      </c>
      <c r="AE14" s="22">
        <v>9544</v>
      </c>
      <c r="AF14" s="22">
        <v>7493</v>
      </c>
      <c r="AG14" s="22">
        <v>6013</v>
      </c>
      <c r="AH14" s="31">
        <v>24618</v>
      </c>
      <c r="AI14" s="31"/>
      <c r="AJ14" s="31">
        <v>14825</v>
      </c>
      <c r="AK14" s="22">
        <v>25600</v>
      </c>
      <c r="AL14" s="31"/>
      <c r="AM14" s="31"/>
      <c r="AN14" s="31">
        <v>8684</v>
      </c>
      <c r="AO14" s="22">
        <v>16181</v>
      </c>
      <c r="AP14" s="22">
        <v>39102</v>
      </c>
      <c r="AQ14" s="22">
        <v>11912</v>
      </c>
      <c r="AR14" s="22">
        <v>4704</v>
      </c>
      <c r="AS14" s="22">
        <v>21730</v>
      </c>
      <c r="AT14" s="31">
        <v>18181</v>
      </c>
      <c r="AU14" s="31"/>
      <c r="AV14" s="22">
        <v>6683</v>
      </c>
      <c r="AW14" s="22">
        <v>17807</v>
      </c>
      <c r="AX14" s="31"/>
      <c r="AY14" s="31"/>
      <c r="AZ14" s="2">
        <v>3940</v>
      </c>
      <c r="BA14" s="2"/>
      <c r="BB14" s="2"/>
      <c r="BC14" s="2"/>
      <c r="BD14" s="2">
        <v>19711</v>
      </c>
      <c r="BE14" s="2">
        <v>63927</v>
      </c>
      <c r="BF14" s="2">
        <v>310250</v>
      </c>
      <c r="BG14" s="55">
        <v>299531</v>
      </c>
      <c r="BH14" s="2"/>
      <c r="BI14" s="2">
        <v>13790</v>
      </c>
      <c r="BJ14" s="2">
        <v>12486</v>
      </c>
      <c r="BK14" s="2">
        <v>66343</v>
      </c>
      <c r="BL14" s="2">
        <v>11837</v>
      </c>
      <c r="BM14" s="2"/>
      <c r="BN14" s="2">
        <v>8578</v>
      </c>
      <c r="BO14" s="2"/>
      <c r="BP14" s="2"/>
      <c r="BQ14" s="2"/>
      <c r="BR14" s="2"/>
      <c r="BS14" s="2">
        <v>15647</v>
      </c>
      <c r="BT14" s="2">
        <v>42378</v>
      </c>
      <c r="BU14" s="2">
        <v>6347</v>
      </c>
      <c r="BV14" s="32"/>
      <c r="BW14" s="2">
        <v>8294</v>
      </c>
      <c r="BX14" s="2">
        <v>3803</v>
      </c>
      <c r="BY14" s="2">
        <v>5976</v>
      </c>
      <c r="BZ14" s="2">
        <v>7324</v>
      </c>
      <c r="CA14" s="2"/>
      <c r="CB14" s="32"/>
      <c r="CC14" s="32"/>
      <c r="CD14" s="2">
        <f>8416+4880+852</f>
        <v>14148</v>
      </c>
      <c r="CE14" s="2">
        <f>155669+10685</f>
        <v>166354</v>
      </c>
      <c r="CF14" s="2">
        <f>58186+111477+52452+7000</f>
        <v>229115</v>
      </c>
      <c r="CG14" s="2">
        <v>15896</v>
      </c>
      <c r="CH14" s="2">
        <v>28407</v>
      </c>
      <c r="CI14" s="2">
        <v>12495</v>
      </c>
      <c r="CJ14" s="2">
        <v>3089</v>
      </c>
      <c r="CK14" s="2">
        <v>6000</v>
      </c>
      <c r="CL14" s="2">
        <v>7300</v>
      </c>
      <c r="CM14" s="2"/>
      <c r="CN14" s="2"/>
      <c r="CO14" s="2"/>
      <c r="CP14" s="2"/>
      <c r="CQ14" s="2"/>
      <c r="CR14" s="2">
        <v>13483</v>
      </c>
      <c r="CS14" s="2"/>
      <c r="CT14" s="2">
        <v>10331</v>
      </c>
      <c r="CU14" s="2">
        <v>6503</v>
      </c>
      <c r="CV14" s="2">
        <v>347000</v>
      </c>
      <c r="CW14" s="2"/>
      <c r="CX14" s="2">
        <v>7150</v>
      </c>
      <c r="CY14" s="2"/>
      <c r="CZ14" s="2">
        <v>211063</v>
      </c>
      <c r="DA14" s="2"/>
      <c r="DB14" s="2">
        <v>1386733</v>
      </c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</row>
    <row r="15" spans="1:119" x14ac:dyDescent="0.55000000000000004">
      <c r="E15" s="5" t="s">
        <v>23</v>
      </c>
      <c r="G15" s="2" t="s">
        <v>5</v>
      </c>
      <c r="H15" s="2">
        <f>$C$6*H14*0.04/0.002*100</f>
        <v>7.3454517999999993</v>
      </c>
      <c r="I15" s="2">
        <f t="shared" ref="I15:BT15" si="11">$C$6*I14*0.04/0.002*100</f>
        <v>1.3753905199999998</v>
      </c>
      <c r="J15" s="2">
        <f t="shared" si="11"/>
        <v>1.9963021199999997</v>
      </c>
      <c r="K15" s="2">
        <f t="shared" si="11"/>
        <v>0.78541187999999984</v>
      </c>
      <c r="L15" s="2">
        <f t="shared" si="11"/>
        <v>19.402098519999996</v>
      </c>
      <c r="M15" s="2">
        <f t="shared" si="11"/>
        <v>3.0954733199999995</v>
      </c>
      <c r="N15" s="2">
        <f t="shared" si="11"/>
        <v>16.405280320000003</v>
      </c>
      <c r="O15" s="2">
        <f t="shared" si="11"/>
        <v>2.0510354399999997</v>
      </c>
      <c r="P15" s="2">
        <f t="shared" si="11"/>
        <v>0.73495811999999994</v>
      </c>
      <c r="Q15" s="2">
        <f t="shared" si="11"/>
        <v>2.5525698399999999</v>
      </c>
      <c r="R15" s="2">
        <f t="shared" si="11"/>
        <v>10.447907559999999</v>
      </c>
      <c r="S15" s="2">
        <f t="shared" si="11"/>
        <v>10.527642520000001</v>
      </c>
      <c r="T15" s="2">
        <f t="shared" si="11"/>
        <v>1.2341650400000002</v>
      </c>
      <c r="U15" s="2">
        <f t="shared" si="11"/>
        <v>1.1201185199999999</v>
      </c>
      <c r="V15" s="2">
        <f t="shared" si="11"/>
        <v>1.4784753599999998</v>
      </c>
      <c r="W15" s="2">
        <f t="shared" si="11"/>
        <v>7.2782552000000003</v>
      </c>
      <c r="X15" s="2">
        <f t="shared" si="11"/>
        <v>1.59447396</v>
      </c>
      <c r="Y15" s="2">
        <f t="shared" si="11"/>
        <v>1.3098456799999998</v>
      </c>
      <c r="Z15" s="2">
        <f t="shared" si="11"/>
        <v>5.3812839199999996</v>
      </c>
      <c r="AA15" s="2">
        <f t="shared" si="11"/>
        <v>1.40970208</v>
      </c>
      <c r="AB15" s="2">
        <f t="shared" si="11"/>
        <v>0.83376339999999982</v>
      </c>
      <c r="AC15" s="2">
        <f t="shared" si="11"/>
        <v>2.2748489199999997</v>
      </c>
      <c r="AD15" s="2">
        <f t="shared" si="11"/>
        <v>1.1702719599999998</v>
      </c>
      <c r="AE15" s="2">
        <f t="shared" si="11"/>
        <v>0.7165635199999999</v>
      </c>
      <c r="AF15" s="2">
        <f t="shared" si="11"/>
        <v>0.5625744399999999</v>
      </c>
      <c r="AG15" s="2">
        <f t="shared" si="11"/>
        <v>0.45145604</v>
      </c>
      <c r="AH15" s="2">
        <f t="shared" si="11"/>
        <v>1.84831944</v>
      </c>
      <c r="AI15" s="2">
        <f t="shared" si="11"/>
        <v>0</v>
      </c>
      <c r="AJ15" s="2">
        <f t="shared" si="11"/>
        <v>1.1130609999999999</v>
      </c>
      <c r="AK15" s="2">
        <f t="shared" si="11"/>
        <v>1.9220479999999998</v>
      </c>
      <c r="AL15" s="2">
        <f t="shared" si="11"/>
        <v>0</v>
      </c>
      <c r="AM15" s="2">
        <f t="shared" si="11"/>
        <v>0</v>
      </c>
      <c r="AN15" s="2">
        <f t="shared" si="11"/>
        <v>0.65199472000000003</v>
      </c>
      <c r="AO15" s="2">
        <f t="shared" si="11"/>
        <v>1.2148694799999999</v>
      </c>
      <c r="AP15" s="2">
        <f t="shared" si="11"/>
        <v>2.9357781599999999</v>
      </c>
      <c r="AQ15" s="2">
        <f t="shared" si="11"/>
        <v>0.89435295999999975</v>
      </c>
      <c r="AR15" s="2">
        <f t="shared" si="11"/>
        <v>0.35317631999999999</v>
      </c>
      <c r="AS15" s="2">
        <f t="shared" si="11"/>
        <v>1.6314883999999998</v>
      </c>
      <c r="AT15" s="2">
        <f t="shared" si="11"/>
        <v>1.3650294799999998</v>
      </c>
      <c r="AU15" s="2">
        <f t="shared" si="11"/>
        <v>0</v>
      </c>
      <c r="AV15" s="2">
        <f t="shared" si="11"/>
        <v>0.50175963999999995</v>
      </c>
      <c r="AW15" s="2">
        <f t="shared" si="11"/>
        <v>1.3369495599999999</v>
      </c>
      <c r="AX15" s="2">
        <f t="shared" si="11"/>
        <v>0</v>
      </c>
      <c r="AY15" s="2">
        <f t="shared" si="11"/>
        <v>0</v>
      </c>
      <c r="AZ15" s="2">
        <f t="shared" si="11"/>
        <v>0.2958152</v>
      </c>
      <c r="BA15" s="2">
        <f t="shared" si="11"/>
        <v>0</v>
      </c>
      <c r="BB15" s="2">
        <f t="shared" si="11"/>
        <v>0</v>
      </c>
      <c r="BC15" s="2">
        <f t="shared" si="11"/>
        <v>0</v>
      </c>
      <c r="BD15" s="2">
        <f t="shared" si="11"/>
        <v>1.4799018800000001</v>
      </c>
      <c r="BE15" s="2">
        <f t="shared" si="11"/>
        <v>4.7996391599999999</v>
      </c>
      <c r="BF15" s="2">
        <f t="shared" si="11"/>
        <v>23.293569999999999</v>
      </c>
      <c r="BG15" s="2">
        <f t="shared" si="11"/>
        <v>22.488787479999999</v>
      </c>
      <c r="BH15" s="2">
        <f t="shared" si="11"/>
        <v>0</v>
      </c>
      <c r="BI15" s="2">
        <f t="shared" si="11"/>
        <v>1.0353532000000001</v>
      </c>
      <c r="BJ15" s="2">
        <f t="shared" si="11"/>
        <v>0.93744887999999993</v>
      </c>
      <c r="BK15" s="2">
        <f t="shared" si="11"/>
        <v>4.9810324399999999</v>
      </c>
      <c r="BL15" s="2">
        <f t="shared" si="11"/>
        <v>0.88872195999999992</v>
      </c>
      <c r="BM15" s="2">
        <f t="shared" si="11"/>
        <v>0</v>
      </c>
      <c r="BN15" s="2">
        <f t="shared" si="11"/>
        <v>0.64403624000000004</v>
      </c>
      <c r="BO15" s="2">
        <f t="shared" si="11"/>
        <v>0</v>
      </c>
      <c r="BP15" s="2">
        <f t="shared" si="11"/>
        <v>0</v>
      </c>
      <c r="BQ15" s="2">
        <f t="shared" si="11"/>
        <v>0</v>
      </c>
      <c r="BR15" s="2">
        <f t="shared" si="11"/>
        <v>0</v>
      </c>
      <c r="BS15" s="2">
        <f t="shared" si="11"/>
        <v>1.1747767600000001</v>
      </c>
      <c r="BT15" s="2">
        <f t="shared" si="11"/>
        <v>3.1817402399999994</v>
      </c>
      <c r="BU15" s="2">
        <f t="shared" ref="BU15:DI15" si="12">$C$6*BU14*0.04/0.002*100</f>
        <v>0.47653275999999989</v>
      </c>
      <c r="BV15" s="2">
        <f t="shared" si="12"/>
        <v>0</v>
      </c>
      <c r="BW15" s="2">
        <f t="shared" si="12"/>
        <v>0.62271352000000002</v>
      </c>
      <c r="BX15" s="2">
        <f t="shared" si="12"/>
        <v>0.28552923999999996</v>
      </c>
      <c r="BY15" s="2">
        <f t="shared" si="12"/>
        <v>0.44867807999999998</v>
      </c>
      <c r="BZ15" s="2">
        <f t="shared" si="12"/>
        <v>0.54988591999999992</v>
      </c>
      <c r="CA15" s="2">
        <f t="shared" si="12"/>
        <v>0</v>
      </c>
      <c r="CB15" s="2">
        <f t="shared" si="12"/>
        <v>0</v>
      </c>
      <c r="CC15" s="2">
        <f t="shared" si="12"/>
        <v>0</v>
      </c>
      <c r="CD15" s="2">
        <f t="shared" si="12"/>
        <v>1.0622318400000001</v>
      </c>
      <c r="CE15" s="2">
        <f t="shared" si="12"/>
        <v>12.489858320000002</v>
      </c>
      <c r="CF15" s="2">
        <f t="shared" si="12"/>
        <v>17.201954199999996</v>
      </c>
      <c r="CG15" s="2">
        <f t="shared" si="12"/>
        <v>1.1934716799999998</v>
      </c>
      <c r="CH15" s="2">
        <f t="shared" si="12"/>
        <v>2.1327975600000002</v>
      </c>
      <c r="CI15" s="2">
        <f t="shared" si="12"/>
        <v>0.93812459999999998</v>
      </c>
      <c r="CJ15" s="2">
        <f t="shared" si="12"/>
        <v>0.23192211999999998</v>
      </c>
      <c r="CK15" s="2">
        <f t="shared" si="12"/>
        <v>0.45047999999999999</v>
      </c>
      <c r="CL15" s="2">
        <f t="shared" si="12"/>
        <v>0.54808400000000002</v>
      </c>
      <c r="CM15" s="2">
        <f t="shared" si="12"/>
        <v>0</v>
      </c>
      <c r="CN15" s="2">
        <f t="shared" si="12"/>
        <v>0</v>
      </c>
      <c r="CO15" s="2">
        <f t="shared" si="12"/>
        <v>0</v>
      </c>
      <c r="CP15" s="2">
        <f t="shared" si="12"/>
        <v>0</v>
      </c>
      <c r="CQ15" s="2">
        <f t="shared" si="12"/>
        <v>0</v>
      </c>
      <c r="CR15" s="2">
        <f t="shared" si="12"/>
        <v>1.0123036400000001</v>
      </c>
      <c r="CS15" s="2">
        <f t="shared" si="12"/>
        <v>0</v>
      </c>
      <c r="CT15" s="2">
        <f t="shared" si="12"/>
        <v>0.77565148000000006</v>
      </c>
      <c r="CU15" s="2">
        <f t="shared" si="12"/>
        <v>0.48824523999999991</v>
      </c>
      <c r="CV15" s="2">
        <f t="shared" si="12"/>
        <v>26.052759999999996</v>
      </c>
      <c r="CW15" s="2">
        <f t="shared" si="12"/>
        <v>0</v>
      </c>
      <c r="CX15" s="2">
        <f t="shared" si="12"/>
        <v>0.53682199999999991</v>
      </c>
      <c r="CY15" s="2">
        <f t="shared" si="12"/>
        <v>0</v>
      </c>
      <c r="CZ15" s="2">
        <f t="shared" si="12"/>
        <v>15.84661004</v>
      </c>
      <c r="DA15" s="2">
        <f t="shared" si="12"/>
        <v>0</v>
      </c>
      <c r="DB15" s="2">
        <f t="shared" si="12"/>
        <v>104.11591363999999</v>
      </c>
      <c r="DC15" s="2">
        <f t="shared" si="12"/>
        <v>0</v>
      </c>
      <c r="DD15" s="2">
        <f t="shared" si="12"/>
        <v>0</v>
      </c>
      <c r="DE15" s="2">
        <f t="shared" si="12"/>
        <v>0</v>
      </c>
      <c r="DF15" s="2">
        <f t="shared" si="12"/>
        <v>0</v>
      </c>
      <c r="DG15" s="2">
        <f t="shared" si="12"/>
        <v>0</v>
      </c>
      <c r="DH15" s="2">
        <f t="shared" si="12"/>
        <v>0</v>
      </c>
      <c r="DI15" s="2">
        <f t="shared" si="12"/>
        <v>0</v>
      </c>
      <c r="DJ15" s="2"/>
      <c r="DK15" s="2"/>
      <c r="DL15" s="2"/>
      <c r="DM15" s="2"/>
      <c r="DN15" s="2"/>
      <c r="DO15" s="2"/>
    </row>
    <row r="16" spans="1:119" x14ac:dyDescent="0.55000000000000004">
      <c r="E16">
        <v>71.7</v>
      </c>
      <c r="F16" s="3" t="s">
        <v>22</v>
      </c>
      <c r="G16" s="2" t="s">
        <v>4</v>
      </c>
      <c r="H16" s="2">
        <v>11676</v>
      </c>
      <c r="I16" s="22">
        <v>7699</v>
      </c>
      <c r="J16" s="2">
        <v>15232</v>
      </c>
      <c r="K16" s="22">
        <v>7598</v>
      </c>
      <c r="L16" s="2">
        <v>8162</v>
      </c>
      <c r="M16" s="22">
        <v>3766</v>
      </c>
      <c r="N16" s="2">
        <v>5903</v>
      </c>
      <c r="O16" s="22">
        <v>2643</v>
      </c>
      <c r="P16" s="22">
        <v>12049</v>
      </c>
      <c r="Q16" s="2">
        <v>15571</v>
      </c>
      <c r="R16" s="22">
        <v>10860</v>
      </c>
      <c r="S16" s="2">
        <v>19453</v>
      </c>
      <c r="T16" s="22">
        <v>8765</v>
      </c>
      <c r="U16" s="22">
        <v>7730</v>
      </c>
      <c r="V16" s="22">
        <v>5574</v>
      </c>
      <c r="W16" s="27">
        <v>11620</v>
      </c>
      <c r="X16" s="22">
        <v>7443</v>
      </c>
      <c r="Y16" s="22">
        <v>6663</v>
      </c>
      <c r="Z16" s="22">
        <v>9179</v>
      </c>
      <c r="AA16" s="22">
        <v>8467</v>
      </c>
      <c r="AB16" s="22">
        <v>9496</v>
      </c>
      <c r="AC16" s="22">
        <v>7367</v>
      </c>
      <c r="AD16" s="22">
        <v>7275</v>
      </c>
      <c r="AE16" s="22">
        <v>11437</v>
      </c>
      <c r="AF16" s="22">
        <v>15723</v>
      </c>
      <c r="AG16" s="22">
        <v>17053</v>
      </c>
      <c r="AH16" s="31">
        <v>6425</v>
      </c>
      <c r="AI16" s="31"/>
      <c r="AJ16" s="31">
        <v>9388</v>
      </c>
      <c r="AK16" s="22">
        <v>6537</v>
      </c>
      <c r="AL16" s="31"/>
      <c r="AM16" s="22">
        <v>12002</v>
      </c>
      <c r="AN16" s="31">
        <v>7384</v>
      </c>
      <c r="AO16" s="22">
        <v>7698</v>
      </c>
      <c r="AP16" s="22">
        <v>5058</v>
      </c>
      <c r="AQ16" s="22">
        <v>11860</v>
      </c>
      <c r="AR16" s="22">
        <v>28914</v>
      </c>
      <c r="AS16" s="22">
        <v>8416</v>
      </c>
      <c r="AT16" s="31">
        <v>7755</v>
      </c>
      <c r="AU16" s="22">
        <v>23262</v>
      </c>
      <c r="AV16" s="22">
        <v>14411</v>
      </c>
      <c r="AW16" s="22">
        <v>6674</v>
      </c>
      <c r="AX16" s="22">
        <v>30682</v>
      </c>
      <c r="AY16" s="2">
        <v>5369</v>
      </c>
      <c r="AZ16" s="2">
        <v>19214</v>
      </c>
      <c r="BA16" s="2">
        <v>19466</v>
      </c>
      <c r="BB16" s="2">
        <v>19216</v>
      </c>
      <c r="BC16" s="2">
        <v>39498</v>
      </c>
      <c r="BD16" s="2">
        <v>6185</v>
      </c>
      <c r="BE16" s="2">
        <v>9405</v>
      </c>
      <c r="BF16" s="2">
        <v>6352</v>
      </c>
      <c r="BG16" s="55">
        <v>6499</v>
      </c>
      <c r="BH16" s="2">
        <v>17646</v>
      </c>
      <c r="BI16" s="2">
        <v>9348</v>
      </c>
      <c r="BJ16" s="2">
        <v>7019</v>
      </c>
      <c r="BK16" s="2">
        <v>11935</v>
      </c>
      <c r="BL16" s="2">
        <v>8553</v>
      </c>
      <c r="BM16" s="2">
        <v>8099</v>
      </c>
      <c r="BN16" s="2">
        <v>5706</v>
      </c>
      <c r="BO16" s="2"/>
      <c r="BP16" s="2"/>
      <c r="BQ16" s="2"/>
      <c r="BR16" s="2"/>
      <c r="BS16" s="2">
        <v>5753</v>
      </c>
      <c r="BT16" s="2">
        <v>4303</v>
      </c>
      <c r="BU16" s="2">
        <v>20093</v>
      </c>
      <c r="BV16" s="32"/>
      <c r="BW16" s="2">
        <v>9970</v>
      </c>
      <c r="BX16" s="2">
        <v>19601</v>
      </c>
      <c r="BY16" s="2">
        <v>26685</v>
      </c>
      <c r="BZ16" s="2">
        <v>13703</v>
      </c>
      <c r="CA16" s="2"/>
      <c r="CB16" s="32"/>
      <c r="CC16" s="32"/>
      <c r="CD16" s="2">
        <v>8325</v>
      </c>
      <c r="CE16" s="2">
        <v>4604</v>
      </c>
      <c r="CF16" s="2">
        <v>6225</v>
      </c>
      <c r="CG16" s="2">
        <v>6885</v>
      </c>
      <c r="CH16" s="2">
        <v>3027</v>
      </c>
      <c r="CI16" s="2">
        <v>21611</v>
      </c>
      <c r="CJ16" s="2">
        <v>19077</v>
      </c>
      <c r="CK16" s="2">
        <v>15306</v>
      </c>
      <c r="CL16" s="2">
        <v>16601</v>
      </c>
      <c r="CM16" s="2"/>
      <c r="CN16" s="2"/>
      <c r="CO16" s="2"/>
      <c r="CP16" s="2"/>
      <c r="CQ16" s="2">
        <v>8156</v>
      </c>
      <c r="CR16" s="2">
        <v>19004</v>
      </c>
      <c r="CS16" s="2"/>
      <c r="CT16" s="2">
        <v>15344</v>
      </c>
      <c r="CU16" s="2">
        <v>13906</v>
      </c>
      <c r="CV16" s="2">
        <v>8469</v>
      </c>
      <c r="CW16" s="2"/>
      <c r="CX16" s="2">
        <v>8890</v>
      </c>
      <c r="CY16" s="2"/>
      <c r="CZ16" s="2">
        <v>7004</v>
      </c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</row>
    <row r="17" spans="5:119" x14ac:dyDescent="0.55000000000000004">
      <c r="G17" s="2" t="s">
        <v>5</v>
      </c>
      <c r="H17" s="2">
        <f>$C$10*H16*0.04/0.002*100</f>
        <v>1.1506725581102364</v>
      </c>
      <c r="I17" s="22">
        <f t="shared" ref="I17:AW17" si="13">$C$10*I16*0.04/0.002*100</f>
        <v>0.75873826866141736</v>
      </c>
      <c r="J17" s="2">
        <f t="shared" si="13"/>
        <v>1.5011171981102363</v>
      </c>
      <c r="K17" s="22">
        <f t="shared" si="13"/>
        <v>0.74878469480314969</v>
      </c>
      <c r="L17" s="2">
        <f t="shared" si="13"/>
        <v>0.80436702803149618</v>
      </c>
      <c r="M17" s="22">
        <f t="shared" si="13"/>
        <v>0.37114018960629924</v>
      </c>
      <c r="N17" s="2">
        <f t="shared" si="13"/>
        <v>0.58174204440944888</v>
      </c>
      <c r="O17" s="22">
        <f t="shared" si="13"/>
        <v>0.26046827433070863</v>
      </c>
      <c r="P17" s="22">
        <f t="shared" si="13"/>
        <v>1.1874317962204723</v>
      </c>
      <c r="Q17" s="2">
        <f t="shared" si="13"/>
        <v>1.5345257281889766</v>
      </c>
      <c r="R17" s="22">
        <f t="shared" si="13"/>
        <v>1.0702555653543309</v>
      </c>
      <c r="S17" s="2">
        <f t="shared" si="13"/>
        <v>1.9170977451968507</v>
      </c>
      <c r="T17" s="22">
        <f t="shared" si="13"/>
        <v>0.86379282047244088</v>
      </c>
      <c r="U17" s="22">
        <f t="shared" si="13"/>
        <v>0.76179332598425198</v>
      </c>
      <c r="V17" s="22">
        <f t="shared" si="13"/>
        <v>0.54931901669291339</v>
      </c>
      <c r="W17" s="27">
        <f t="shared" si="13"/>
        <v>1.1451537448818898</v>
      </c>
      <c r="X17" s="22">
        <f t="shared" si="13"/>
        <v>0.73350940818897647</v>
      </c>
      <c r="Y17" s="22">
        <f t="shared" si="13"/>
        <v>0.65664022393700794</v>
      </c>
      <c r="Z17" s="22">
        <f t="shared" si="13"/>
        <v>0.90459261826771664</v>
      </c>
      <c r="AA17" s="22">
        <f t="shared" si="13"/>
        <v>0.83442485007874012</v>
      </c>
      <c r="AB17" s="22">
        <f t="shared" si="13"/>
        <v>0.93583304314960625</v>
      </c>
      <c r="AC17" s="22">
        <f t="shared" si="13"/>
        <v>0.72601959023622042</v>
      </c>
      <c r="AD17" s="22">
        <f t="shared" si="13"/>
        <v>0.71695296850393708</v>
      </c>
      <c r="AE17" s="22">
        <f t="shared" si="13"/>
        <v>1.1271190516535432</v>
      </c>
      <c r="AF17" s="22">
        <f t="shared" si="13"/>
        <v>1.5495053640944882</v>
      </c>
      <c r="AG17" s="22">
        <f t="shared" si="13"/>
        <v>1.6805771782677166</v>
      </c>
      <c r="AH17" s="31">
        <f t="shared" si="13"/>
        <v>0.63318526771653549</v>
      </c>
      <c r="AI17" s="31">
        <f t="shared" si="13"/>
        <v>0</v>
      </c>
      <c r="AJ17" s="31">
        <f t="shared" si="13"/>
        <v>0.9251896176377955</v>
      </c>
      <c r="AK17" s="22">
        <f t="shared" si="13"/>
        <v>0.64422289417322842</v>
      </c>
      <c r="AL17" s="31">
        <f t="shared" si="13"/>
        <v>0</v>
      </c>
      <c r="AM17" s="22">
        <f t="shared" si="13"/>
        <v>1.1827999351181104</v>
      </c>
      <c r="AN17" s="31">
        <f t="shared" si="13"/>
        <v>0.72769494425196868</v>
      </c>
      <c r="AO17" s="22">
        <f t="shared" si="13"/>
        <v>0.75863971842519695</v>
      </c>
      <c r="AP17" s="22">
        <f t="shared" si="13"/>
        <v>0.49846709480314971</v>
      </c>
      <c r="AQ17" s="22">
        <f t="shared" si="13"/>
        <v>1.1688058015748033</v>
      </c>
      <c r="AR17" s="22">
        <f t="shared" si="13"/>
        <v>2.8494815300787404</v>
      </c>
      <c r="AS17" s="22">
        <f t="shared" si="13"/>
        <v>0.82939878803149625</v>
      </c>
      <c r="AT17" s="31">
        <f t="shared" si="13"/>
        <v>0.76425708188976371</v>
      </c>
      <c r="AU17" s="22">
        <f t="shared" si="13"/>
        <v>2.2924755949606306</v>
      </c>
      <c r="AV17" s="22">
        <f t="shared" si="13"/>
        <v>1.4202074541732284</v>
      </c>
      <c r="AW17" s="22">
        <f t="shared" si="13"/>
        <v>0.65772427653543319</v>
      </c>
      <c r="AX17" s="22">
        <f>$C$10*AX16*0.04/0.002*100</f>
        <v>3.0237183477165357</v>
      </c>
      <c r="AY17" s="22">
        <f>$C$10*AY16*0.04/0.002*100</f>
        <v>0.5291162182677166</v>
      </c>
      <c r="AZ17" s="22">
        <f>$C$10*AZ16*0.04/0.002*100</f>
        <v>1.8935442387401575</v>
      </c>
      <c r="BA17" s="22">
        <f t="shared" ref="BA17:DE17" si="14">$C$10*BA16*0.04/0.002*100</f>
        <v>1.9183788982677166</v>
      </c>
      <c r="BB17" s="35">
        <f t="shared" si="14"/>
        <v>1.8937413392125984</v>
      </c>
      <c r="BC17" s="22">
        <f t="shared" si="14"/>
        <v>3.8925372302362211</v>
      </c>
      <c r="BD17" s="22">
        <f t="shared" si="14"/>
        <v>0.60953321102362212</v>
      </c>
      <c r="BE17" s="22">
        <f t="shared" si="14"/>
        <v>0.92686497165354342</v>
      </c>
      <c r="BF17" s="22">
        <f t="shared" si="14"/>
        <v>0.625991100472441</v>
      </c>
      <c r="BG17" s="55">
        <f t="shared" si="14"/>
        <v>0.6404779851968504</v>
      </c>
      <c r="BH17" s="22">
        <f t="shared" si="14"/>
        <v>1.7390174683464568</v>
      </c>
      <c r="BI17" s="22">
        <f t="shared" si="14"/>
        <v>0.92124760818897644</v>
      </c>
      <c r="BJ17" s="22">
        <f t="shared" si="14"/>
        <v>0.69172410803149609</v>
      </c>
      <c r="BK17" s="22">
        <f t="shared" si="14"/>
        <v>1.1761970692913386</v>
      </c>
      <c r="BL17" s="22">
        <f t="shared" si="14"/>
        <v>0.8429001703937008</v>
      </c>
      <c r="BM17" s="36">
        <f t="shared" si="14"/>
        <v>0.79815836314960642</v>
      </c>
      <c r="BN17" s="36">
        <f t="shared" si="14"/>
        <v>0.56232764787401579</v>
      </c>
      <c r="BO17" s="22">
        <f t="shared" si="14"/>
        <v>0</v>
      </c>
      <c r="BP17" s="22">
        <f t="shared" si="14"/>
        <v>0</v>
      </c>
      <c r="BQ17" s="22">
        <f t="shared" si="14"/>
        <v>0</v>
      </c>
      <c r="BR17" s="22">
        <f t="shared" si="14"/>
        <v>0</v>
      </c>
      <c r="BS17" s="22">
        <f t="shared" si="14"/>
        <v>0.56695950897637803</v>
      </c>
      <c r="BT17" s="22">
        <f t="shared" si="14"/>
        <v>0.42406166645669291</v>
      </c>
      <c r="BU17" s="22">
        <f t="shared" si="14"/>
        <v>1.9801698963779528</v>
      </c>
      <c r="BV17" s="32">
        <f t="shared" si="14"/>
        <v>0</v>
      </c>
      <c r="BW17" s="22">
        <f t="shared" si="14"/>
        <v>0.98254585511811032</v>
      </c>
      <c r="BX17" s="22">
        <f t="shared" si="14"/>
        <v>1.9316831801574805</v>
      </c>
      <c r="BY17" s="22">
        <f t="shared" si="14"/>
        <v>2.6298130535433071</v>
      </c>
      <c r="BZ17" s="22">
        <f t="shared" si="14"/>
        <v>1.3504338869291339</v>
      </c>
      <c r="CA17" s="22">
        <f t="shared" si="14"/>
        <v>0</v>
      </c>
      <c r="CB17" s="32">
        <f t="shared" si="14"/>
        <v>0</v>
      </c>
      <c r="CC17" s="32">
        <f t="shared" si="14"/>
        <v>0</v>
      </c>
      <c r="CD17" s="22">
        <f t="shared" si="14"/>
        <v>0.82043071653543298</v>
      </c>
      <c r="CE17" s="22">
        <f t="shared" si="14"/>
        <v>0.45372528755905511</v>
      </c>
      <c r="CF17" s="22">
        <f t="shared" si="14"/>
        <v>0.61347522047244107</v>
      </c>
      <c r="CG17" s="22">
        <f t="shared" si="14"/>
        <v>0.67851837637795276</v>
      </c>
      <c r="CH17" s="22">
        <f t="shared" si="14"/>
        <v>0.29831156503937006</v>
      </c>
      <c r="CI17" s="22">
        <f t="shared" si="14"/>
        <v>2.1297691549606297</v>
      </c>
      <c r="CJ17" s="22">
        <f t="shared" si="14"/>
        <v>1.8800428563779528</v>
      </c>
      <c r="CK17" s="22">
        <f t="shared" si="14"/>
        <v>1.5084099155905513</v>
      </c>
      <c r="CL17" s="22">
        <f t="shared" si="14"/>
        <v>1.6360324714960632</v>
      </c>
      <c r="CM17" s="22">
        <f>$C$10*CM16*0.04/0.002*100</f>
        <v>0</v>
      </c>
      <c r="CN17" s="22">
        <f t="shared" si="14"/>
        <v>0</v>
      </c>
      <c r="CO17" s="22">
        <f t="shared" si="14"/>
        <v>0</v>
      </c>
      <c r="CP17" s="22">
        <f t="shared" si="14"/>
        <v>0</v>
      </c>
      <c r="CQ17" s="22">
        <f t="shared" si="14"/>
        <v>0.80377572661417329</v>
      </c>
      <c r="CR17" s="22">
        <f t="shared" si="14"/>
        <v>1.8728486891338585</v>
      </c>
      <c r="CS17" s="22">
        <f t="shared" si="14"/>
        <v>0</v>
      </c>
      <c r="CT17" s="22">
        <f t="shared" si="14"/>
        <v>1.5121548245669292</v>
      </c>
      <c r="CU17" s="22">
        <f t="shared" si="14"/>
        <v>1.3704395848818898</v>
      </c>
      <c r="CV17" s="22">
        <f t="shared" si="14"/>
        <v>0.83462195055118127</v>
      </c>
      <c r="CW17" s="22">
        <f t="shared" si="14"/>
        <v>0</v>
      </c>
      <c r="CX17" s="22">
        <f t="shared" si="14"/>
        <v>0.87611159999999999</v>
      </c>
      <c r="CY17" s="22">
        <f t="shared" si="14"/>
        <v>0</v>
      </c>
      <c r="CZ17" s="22">
        <f t="shared" si="14"/>
        <v>0.69024585448818898</v>
      </c>
      <c r="DA17" s="22">
        <f t="shared" si="14"/>
        <v>0</v>
      </c>
      <c r="DB17" s="22">
        <f t="shared" si="14"/>
        <v>0</v>
      </c>
      <c r="DC17" s="22">
        <f t="shared" si="14"/>
        <v>0</v>
      </c>
      <c r="DD17" s="22">
        <f t="shared" si="14"/>
        <v>0</v>
      </c>
      <c r="DE17" s="22">
        <f t="shared" si="14"/>
        <v>0</v>
      </c>
      <c r="DF17" s="2"/>
      <c r="DG17" s="2"/>
      <c r="DH17" s="2"/>
      <c r="DI17" s="2"/>
      <c r="DJ17" s="2"/>
      <c r="DK17" s="2"/>
      <c r="DL17" s="2"/>
      <c r="DM17" s="2"/>
      <c r="DN17" s="2"/>
      <c r="DO17" s="2"/>
    </row>
    <row r="18" spans="5:119" x14ac:dyDescent="0.55000000000000004">
      <c r="E18" s="28" t="s">
        <v>10</v>
      </c>
      <c r="F18" s="28">
        <f>$E$19*F19*0.04*166.14</f>
        <v>2.9516752983743996E-2</v>
      </c>
      <c r="G18" s="2"/>
      <c r="H18" s="2"/>
      <c r="I18" s="2"/>
      <c r="J18" s="2"/>
      <c r="K18" s="2"/>
      <c r="L18" s="2"/>
      <c r="M18" s="2"/>
      <c r="N18" s="2"/>
      <c r="O18" s="2"/>
      <c r="AH18" s="30"/>
      <c r="AI18" s="30"/>
      <c r="AJ18" s="30"/>
      <c r="AL18" s="30"/>
      <c r="AN18" s="30"/>
      <c r="AT18" s="30"/>
    </row>
    <row r="19" spans="5:119" x14ac:dyDescent="0.55000000000000004">
      <c r="E19" s="28">
        <v>2.953E-8</v>
      </c>
      <c r="F19" s="28">
        <v>150408</v>
      </c>
      <c r="G19" s="2"/>
      <c r="H19" s="2"/>
      <c r="I19" s="2"/>
      <c r="J19" s="2"/>
      <c r="K19" s="2"/>
      <c r="L19" s="2"/>
      <c r="M19" s="2"/>
      <c r="N19" s="2"/>
      <c r="O19" s="2"/>
      <c r="AL19" s="30"/>
      <c r="AN19" s="30"/>
    </row>
    <row r="20" spans="5:119" x14ac:dyDescent="0.55000000000000004">
      <c r="E20" s="28">
        <v>6.6168999999999994E-11</v>
      </c>
      <c r="F20" s="28">
        <v>69982346</v>
      </c>
      <c r="G20" s="2" t="s">
        <v>20</v>
      </c>
      <c r="H20" s="2">
        <f>H5+H9+H11+H13+H15+H17</f>
        <v>59.830482058110228</v>
      </c>
      <c r="I20" s="2">
        <f t="shared" ref="I20:AW20" si="15">I5+I9+I11+I13+I15+I17+I19</f>
        <v>18.236827508661417</v>
      </c>
      <c r="J20" s="2">
        <f t="shared" si="15"/>
        <v>72.161045618110236</v>
      </c>
      <c r="K20" s="2">
        <f t="shared" si="15"/>
        <v>19.352021834803146</v>
      </c>
      <c r="L20" s="2">
        <f t="shared" si="15"/>
        <v>45.168105528031489</v>
      </c>
      <c r="M20" s="2">
        <f t="shared" si="15"/>
        <v>9.4768231496062985</v>
      </c>
      <c r="N20" s="2">
        <f t="shared" si="15"/>
        <v>25.195433804409451</v>
      </c>
      <c r="O20" s="2">
        <f t="shared" si="15"/>
        <v>4.2291500743307084</v>
      </c>
      <c r="P20" s="2">
        <f t="shared" si="15"/>
        <v>25.809679916220475</v>
      </c>
      <c r="Q20" s="2">
        <f t="shared" si="15"/>
        <v>76.363019208188987</v>
      </c>
      <c r="R20" s="2">
        <f t="shared" si="15"/>
        <v>28.832245305354327</v>
      </c>
      <c r="S20" s="2">
        <f t="shared" si="15"/>
        <v>82.085107305196871</v>
      </c>
      <c r="T20" s="2">
        <f t="shared" si="15"/>
        <v>18.125723620472439</v>
      </c>
      <c r="U20" s="2">
        <f t="shared" si="15"/>
        <v>19.040626645984254</v>
      </c>
      <c r="V20" s="2">
        <f t="shared" si="15"/>
        <v>15.462236216692911</v>
      </c>
      <c r="W20" s="2">
        <f t="shared" si="15"/>
        <v>69.677252804881888</v>
      </c>
      <c r="X20" s="2">
        <f t="shared" si="15"/>
        <v>16.473660628188977</v>
      </c>
      <c r="Y20" s="2">
        <f t="shared" si="15"/>
        <v>18.248457083937005</v>
      </c>
      <c r="Z20" s="2">
        <f t="shared" si="15"/>
        <v>31.42205995826772</v>
      </c>
      <c r="AA20" s="2">
        <f t="shared" si="15"/>
        <v>17.061295630078742</v>
      </c>
      <c r="AB20" s="2">
        <f t="shared" si="15"/>
        <v>23.96618284314961</v>
      </c>
      <c r="AC20" s="2">
        <f t="shared" si="15"/>
        <v>13.815988310236222</v>
      </c>
      <c r="AD20" s="2">
        <f t="shared" si="15"/>
        <v>19.962019888503935</v>
      </c>
      <c r="AE20" s="2">
        <f t="shared" si="15"/>
        <v>29.410424171653545</v>
      </c>
      <c r="AF20" s="2">
        <f t="shared" si="15"/>
        <v>41.049914424094482</v>
      </c>
      <c r="AG20" s="2">
        <f t="shared" si="15"/>
        <v>47.914773858267715</v>
      </c>
      <c r="AH20" s="2">
        <f t="shared" si="15"/>
        <v>10.341277487716537</v>
      </c>
      <c r="AI20" s="2">
        <f t="shared" si="15"/>
        <v>0.70375500000000002</v>
      </c>
      <c r="AJ20" s="2">
        <f t="shared" si="15"/>
        <v>27.018038697637792</v>
      </c>
      <c r="AK20" s="2">
        <f t="shared" si="15"/>
        <v>10.399873874173229</v>
      </c>
      <c r="AL20" s="2">
        <f t="shared" si="15"/>
        <v>0</v>
      </c>
      <c r="AM20" s="2">
        <f t="shared" si="15"/>
        <v>33.193132255118115</v>
      </c>
      <c r="AN20" s="31">
        <f t="shared" si="15"/>
        <v>24.778060064251974</v>
      </c>
      <c r="AO20" s="2">
        <f t="shared" si="15"/>
        <v>26.338061078425199</v>
      </c>
      <c r="AP20" s="2">
        <f t="shared" si="15"/>
        <v>9.0661245348031514</v>
      </c>
      <c r="AQ20" s="2">
        <f t="shared" si="15"/>
        <v>23.4566650615748</v>
      </c>
      <c r="AR20" s="2">
        <f t="shared" si="15"/>
        <v>52.359697790078748</v>
      </c>
      <c r="AS20" s="2">
        <f t="shared" si="15"/>
        <v>20.406554748031496</v>
      </c>
      <c r="AT20" s="2">
        <f t="shared" si="15"/>
        <v>24.627996341889766</v>
      </c>
      <c r="AU20" s="2">
        <f t="shared" si="15"/>
        <v>46.680394494960623</v>
      </c>
      <c r="AV20" s="2">
        <f t="shared" si="15"/>
        <v>36.658836894173227</v>
      </c>
      <c r="AW20" s="2">
        <f t="shared" si="15"/>
        <v>17.135496196535431</v>
      </c>
      <c r="AX20" s="2">
        <f>AX5+AX9+AX11+AX13+AX15+AX17+AX19</f>
        <v>98.518808767716536</v>
      </c>
      <c r="AY20" s="2">
        <f>AY5+AY9+AY11+AY13+AY15+AY17+AY19</f>
        <v>12.302776198267717</v>
      </c>
      <c r="AZ20" s="2">
        <f>AZ5+AZ9+AZ11+AZ13+AZ15+AZ17+AZ19</f>
        <v>41.777474318740161</v>
      </c>
      <c r="BA20" s="2">
        <f t="shared" ref="BA20:DC20" si="16">BA5+BA9+BA11+BA13+BA15+BA17+BA19</f>
        <v>42.497705598267721</v>
      </c>
      <c r="BB20" s="2">
        <f t="shared" si="16"/>
        <v>44.225494899212599</v>
      </c>
      <c r="BC20" s="2">
        <f t="shared" si="16"/>
        <v>46.01471093023622</v>
      </c>
      <c r="BD20" s="2">
        <f t="shared" si="16"/>
        <v>19.993817351023619</v>
      </c>
      <c r="BE20" s="2">
        <f t="shared" si="16"/>
        <v>58.669615471653543</v>
      </c>
      <c r="BF20" s="2">
        <f t="shared" si="16"/>
        <v>41.512797880472441</v>
      </c>
      <c r="BG20" s="2">
        <f t="shared" si="16"/>
        <v>33.364776045196848</v>
      </c>
      <c r="BH20" s="2">
        <f t="shared" si="16"/>
        <v>33.703771908346454</v>
      </c>
      <c r="BI20" s="2">
        <f t="shared" si="16"/>
        <v>24.95069118818898</v>
      </c>
      <c r="BJ20" s="2">
        <f t="shared" si="16"/>
        <v>24.4233395080315</v>
      </c>
      <c r="BK20" s="2">
        <f t="shared" si="16"/>
        <v>36.645814049291339</v>
      </c>
      <c r="BL20" s="2">
        <f t="shared" si="16"/>
        <v>26.118123550393705</v>
      </c>
      <c r="BM20" s="2">
        <f t="shared" si="16"/>
        <v>18.264837943149608</v>
      </c>
      <c r="BN20" s="2">
        <f t="shared" si="16"/>
        <v>15.692411627874018</v>
      </c>
      <c r="BO20" s="2">
        <f t="shared" si="16"/>
        <v>1.0930949999999999</v>
      </c>
      <c r="BP20" s="2">
        <f t="shared" si="16"/>
        <v>0.59028749999999997</v>
      </c>
      <c r="BQ20" s="2">
        <f t="shared" si="16"/>
        <v>16.363620000000001</v>
      </c>
      <c r="BR20" s="2">
        <f t="shared" si="16"/>
        <v>7.00542</v>
      </c>
      <c r="BS20" s="2">
        <f t="shared" si="16"/>
        <v>19.191753408976378</v>
      </c>
      <c r="BT20" s="2">
        <f t="shared" si="16"/>
        <v>12.200697946456692</v>
      </c>
      <c r="BU20" s="2">
        <f t="shared" si="16"/>
        <v>50.811306656377951</v>
      </c>
      <c r="BV20" s="2">
        <f t="shared" si="16"/>
        <v>13.699867500000002</v>
      </c>
      <c r="BW20" s="2">
        <f t="shared" si="16"/>
        <v>32.626524895118109</v>
      </c>
      <c r="BX20" s="2">
        <f t="shared" si="16"/>
        <v>49.634570220157485</v>
      </c>
      <c r="BY20" s="2">
        <f t="shared" si="16"/>
        <v>59.484402833543314</v>
      </c>
      <c r="BZ20" s="2">
        <f t="shared" si="16"/>
        <v>40.67079428692913</v>
      </c>
      <c r="CA20" s="2">
        <f t="shared" si="16"/>
        <v>39.150945</v>
      </c>
      <c r="CB20" s="2">
        <f t="shared" si="16"/>
        <v>5.6808675000000006</v>
      </c>
      <c r="CC20" s="2">
        <f t="shared" si="16"/>
        <v>29.965544999999999</v>
      </c>
      <c r="CD20" s="2">
        <f t="shared" si="16"/>
        <v>19.018698236535435</v>
      </c>
      <c r="CE20" s="2">
        <f t="shared" si="16"/>
        <v>36.903995487559058</v>
      </c>
      <c r="CF20" s="2">
        <f t="shared" si="16"/>
        <v>28.115361140472437</v>
      </c>
      <c r="CG20" s="2">
        <f t="shared" si="16"/>
        <v>19.500627596377949</v>
      </c>
      <c r="CH20" s="2">
        <f t="shared" si="16"/>
        <v>4.9580789050393701</v>
      </c>
      <c r="CI20" s="2">
        <f t="shared" si="16"/>
        <v>43.429253674960634</v>
      </c>
      <c r="CJ20" s="2">
        <f t="shared" si="16"/>
        <v>42.562322316377958</v>
      </c>
      <c r="CK20" s="2">
        <f t="shared" si="16"/>
        <v>39.824713795590554</v>
      </c>
      <c r="CL20" s="2">
        <f t="shared" si="16"/>
        <v>40.829075571496077</v>
      </c>
      <c r="CM20" s="2">
        <f t="shared" si="16"/>
        <v>1.5319125</v>
      </c>
      <c r="CN20" s="2">
        <f t="shared" si="16"/>
        <v>44.794012500000001</v>
      </c>
      <c r="CO20" s="2">
        <f t="shared" si="16"/>
        <v>31.777244999999997</v>
      </c>
      <c r="CP20" s="2">
        <f t="shared" si="16"/>
        <v>14.83812</v>
      </c>
      <c r="CQ20" s="2">
        <f t="shared" si="16"/>
        <v>17.695799046614173</v>
      </c>
      <c r="CR20" s="2">
        <f t="shared" si="16"/>
        <v>50.070696549133871</v>
      </c>
      <c r="CS20" s="2">
        <f t="shared" si="16"/>
        <v>12.409672500000001</v>
      </c>
      <c r="CT20" s="2">
        <f t="shared" si="16"/>
        <v>33.599730604566922</v>
      </c>
      <c r="CU20" s="2">
        <f t="shared" si="16"/>
        <v>42.833066524881886</v>
      </c>
      <c r="CV20" s="2">
        <f t="shared" si="16"/>
        <v>45.722348310551183</v>
      </c>
      <c r="CW20" s="2">
        <f t="shared" si="16"/>
        <v>30.714997500000003</v>
      </c>
      <c r="CX20" s="2">
        <f t="shared" si="16"/>
        <v>24.874108380000006</v>
      </c>
      <c r="CY20" s="2">
        <f t="shared" si="16"/>
        <v>9.9518625000000007</v>
      </c>
      <c r="CZ20" s="2">
        <f t="shared" si="16"/>
        <v>26.633977974488189</v>
      </c>
      <c r="DA20" s="2">
        <f t="shared" si="16"/>
        <v>12.7979325</v>
      </c>
      <c r="DB20" s="2">
        <f t="shared" si="16"/>
        <v>106.95091363999998</v>
      </c>
      <c r="DC20" s="2">
        <f t="shared" si="16"/>
        <v>30.239797500000005</v>
      </c>
    </row>
    <row r="21" spans="5:119" x14ac:dyDescent="0.55000000000000004">
      <c r="E21" s="28"/>
      <c r="F21" s="28">
        <f>$E$20*F20*0.04*166.14</f>
        <v>3.077352640680121E-2</v>
      </c>
      <c r="G21" s="2" t="s">
        <v>21</v>
      </c>
      <c r="H21" s="2">
        <f>H3-H20</f>
        <v>21.496678435716596</v>
      </c>
      <c r="I21" s="2">
        <f t="shared" ref="I21:AW21" si="17">I3-I20</f>
        <v>8.491567553067231</v>
      </c>
      <c r="J21" s="2">
        <f t="shared" si="17"/>
        <v>22.838954381889906</v>
      </c>
      <c r="K21" s="2">
        <f t="shared" si="17"/>
        <v>11.01834853556722</v>
      </c>
      <c r="L21" s="2">
        <f t="shared" si="17"/>
        <v>9.3689315090056908</v>
      </c>
      <c r="M21" s="2">
        <f t="shared" si="17"/>
        <v>8.4552756158257321</v>
      </c>
      <c r="N21" s="2">
        <f t="shared" si="17"/>
        <v>19.619381010405693</v>
      </c>
      <c r="O21" s="2">
        <f t="shared" si="17"/>
        <v>9.4436894318421274</v>
      </c>
      <c r="P21" s="2">
        <f t="shared" si="17"/>
        <v>11.443406503533012</v>
      </c>
      <c r="Q21" s="2">
        <f t="shared" si="17"/>
        <v>18.914758569588827</v>
      </c>
      <c r="R21" s="2">
        <f t="shared" si="17"/>
        <v>1.4763966699544468</v>
      </c>
      <c r="S21" s="2">
        <f t="shared" si="17"/>
        <v>12.667979114556388</v>
      </c>
      <c r="T21" s="2">
        <f t="shared" si="17"/>
        <v>9.0347702066884104</v>
      </c>
      <c r="U21" s="2">
        <f t="shared" si="17"/>
        <v>8.6136943416698202</v>
      </c>
      <c r="V21" s="2">
        <f t="shared" si="17"/>
        <v>5.957516869726863</v>
      </c>
      <c r="W21" s="2">
        <f t="shared" si="17"/>
        <v>-3.5661416937707457</v>
      </c>
      <c r="X21" s="2">
        <f t="shared" si="17"/>
        <v>7.5695492483541678</v>
      </c>
      <c r="Y21" s="2">
        <f t="shared" si="17"/>
        <v>6.1959873605075373</v>
      </c>
      <c r="Z21" s="2">
        <f t="shared" si="17"/>
        <v>5.1828783133374863</v>
      </c>
      <c r="AA21" s="2">
        <f t="shared" si="17"/>
        <v>10.438704369921357</v>
      </c>
      <c r="AB21" s="2">
        <f t="shared" si="17"/>
        <v>9.6140640704308282</v>
      </c>
      <c r="AC21" s="2">
        <f t="shared" si="17"/>
        <v>8.5296907021095052</v>
      </c>
      <c r="AD21" s="2">
        <f t="shared" si="17"/>
        <v>8.3095850497681703</v>
      </c>
      <c r="AE21" s="2">
        <f t="shared" si="17"/>
        <v>5.7130326184703364</v>
      </c>
      <c r="AF21" s="2">
        <f t="shared" si="17"/>
        <v>8.1167522425718133</v>
      </c>
      <c r="AG21" s="2">
        <f t="shared" si="17"/>
        <v>11.529670586176401</v>
      </c>
      <c r="AH21" s="2">
        <f t="shared" si="17"/>
        <v>-10.341277487716537</v>
      </c>
      <c r="AI21" s="2">
        <f t="shared" si="17"/>
        <v>9.7283437654319602</v>
      </c>
      <c r="AJ21" s="2">
        <f t="shared" si="17"/>
        <v>5.3585045122384543</v>
      </c>
      <c r="AK21" s="2">
        <f t="shared" si="17"/>
        <v>7.3161755085426936</v>
      </c>
      <c r="AL21" s="2">
        <f t="shared" si="17"/>
        <v>34.38271604938268</v>
      </c>
      <c r="AM21" s="2">
        <f t="shared" si="17"/>
        <v>-11.372144600796943</v>
      </c>
      <c r="AN21" s="2">
        <f>AN3-AN20</f>
        <v>11.610828824636584</v>
      </c>
      <c r="AO21" s="2">
        <f t="shared" si="17"/>
        <v>6.3471241067600772</v>
      </c>
      <c r="AP21" s="2">
        <f t="shared" si="17"/>
        <v>10.193134724456229</v>
      </c>
      <c r="AQ21" s="2">
        <f>AQ3-AQ20</f>
        <v>12.932223827313759</v>
      </c>
      <c r="AR21" s="2">
        <f t="shared" si="17"/>
        <v>33.1032651728841</v>
      </c>
      <c r="AS21" s="2">
        <f t="shared" si="17"/>
        <v>12.679865005054623</v>
      </c>
      <c r="AT21" s="2">
        <f t="shared" si="17"/>
        <v>6.6374357568757638</v>
      </c>
      <c r="AU21" s="2">
        <f t="shared" si="17"/>
        <v>11.745531430965698</v>
      </c>
      <c r="AV21" s="2">
        <f t="shared" si="17"/>
        <v>12.260916192246597</v>
      </c>
      <c r="AW21" s="2">
        <f t="shared" si="17"/>
        <v>7.8027754084028906</v>
      </c>
      <c r="AX21" s="2">
        <f>AX3-AX20</f>
        <v>-24.074364323271737</v>
      </c>
      <c r="AY21" s="2">
        <f>AY3-AY20</f>
        <v>11.555248493090138</v>
      </c>
      <c r="AZ21" s="2">
        <f>AZ3-AZ20</f>
        <v>17.543513335580784</v>
      </c>
      <c r="BA21" s="2" t="e">
        <f>#REF!-BA20</f>
        <v>#REF!</v>
      </c>
      <c r="BB21" s="2">
        <f>BA3-BB20</f>
        <v>15.373270532886025</v>
      </c>
      <c r="BC21" s="2">
        <f>BB3-BC20</f>
        <v>26.300103884578974</v>
      </c>
      <c r="BD21" s="2">
        <f t="shared" ref="BD21:DC21" si="18">BD3-BD20</f>
        <v>7.0740838835442936</v>
      </c>
      <c r="BE21" s="2">
        <f t="shared" si="18"/>
        <v>-58.669615471653543</v>
      </c>
      <c r="BF21" s="2">
        <f t="shared" si="18"/>
        <v>-41.512797880472441</v>
      </c>
      <c r="BG21" s="2">
        <f t="shared" si="18"/>
        <v>-33.364776045196848</v>
      </c>
      <c r="BH21" s="2">
        <f t="shared" si="18"/>
        <v>16.172771301530126</v>
      </c>
      <c r="BI21" s="2">
        <f t="shared" si="18"/>
        <v>-2.5741479783124497</v>
      </c>
      <c r="BJ21" s="2">
        <f t="shared" si="18"/>
        <v>7.1507345660430595</v>
      </c>
      <c r="BK21" s="2">
        <f t="shared" si="18"/>
        <v>4.1257908889801413</v>
      </c>
      <c r="BL21" s="2">
        <f t="shared" si="18"/>
        <v>10.888049289112352</v>
      </c>
      <c r="BM21" s="2">
        <f t="shared" si="18"/>
        <v>8.833927488949108</v>
      </c>
      <c r="BN21" s="2">
        <f t="shared" si="18"/>
        <v>9.029810594348211</v>
      </c>
      <c r="BO21" s="2">
        <f t="shared" si="18"/>
        <v>17.271102530864219</v>
      </c>
      <c r="BP21" s="2">
        <f t="shared" si="18"/>
        <v>11.261564351851691</v>
      </c>
      <c r="BQ21" s="2">
        <f t="shared" si="18"/>
        <v>12.617861481481423</v>
      </c>
      <c r="BR21" s="2">
        <f t="shared" si="18"/>
        <v>27.377296049382679</v>
      </c>
      <c r="BS21" s="2">
        <f t="shared" si="18"/>
        <v>6.3638021465794345</v>
      </c>
      <c r="BT21" s="2">
        <f t="shared" si="18"/>
        <v>13.35485760909912</v>
      </c>
      <c r="BU21" s="2">
        <f t="shared" si="18"/>
        <v>11.009680997942652</v>
      </c>
      <c r="BV21" s="2">
        <f t="shared" si="18"/>
        <v>14.417416450617049</v>
      </c>
      <c r="BW21" s="2">
        <f t="shared" si="18"/>
        <v>13.361129425869549</v>
      </c>
      <c r="BX21" s="2">
        <f t="shared" si="18"/>
        <v>24.593824841570907</v>
      </c>
      <c r="BY21" s="2">
        <f t="shared" si="18"/>
        <v>25.546461363987547</v>
      </c>
      <c r="BZ21" s="2">
        <f t="shared" si="18"/>
        <v>10.28599583652737</v>
      </c>
      <c r="CA21" s="2">
        <f t="shared" si="18"/>
        <v>-13.595389444444187</v>
      </c>
      <c r="CB21" s="2">
        <f t="shared" si="18"/>
        <v>19.874688055555811</v>
      </c>
      <c r="CC21" s="2">
        <f t="shared" si="18"/>
        <v>-4.4099894444441858</v>
      </c>
      <c r="CD21" s="2">
        <f t="shared" si="18"/>
        <v>12.925746207909008</v>
      </c>
      <c r="CE21" s="2">
        <f t="shared" si="18"/>
        <v>-15.545970796200862</v>
      </c>
      <c r="CF21" s="2">
        <f t="shared" si="18"/>
        <v>14.322910464466311</v>
      </c>
      <c r="CG21" s="2">
        <f t="shared" si="18"/>
        <v>34.820360057943034</v>
      </c>
      <c r="CH21" s="2">
        <f t="shared" si="18"/>
        <v>48.56043961347914</v>
      </c>
      <c r="CI21" s="2">
        <f t="shared" si="18"/>
        <v>17.928771016396986</v>
      </c>
      <c r="CJ21" s="2">
        <f t="shared" si="18"/>
        <v>14.598171510782592</v>
      </c>
      <c r="CK21" s="2">
        <f t="shared" si="18"/>
        <v>12.737014599470989</v>
      </c>
      <c r="CL21" s="2">
        <f t="shared" si="18"/>
        <v>11.115368872948522</v>
      </c>
      <c r="CM21" s="2">
        <f t="shared" si="18"/>
        <v>19.826112191358195</v>
      </c>
      <c r="CN21" s="2">
        <f t="shared" si="18"/>
        <v>-23.435987808641805</v>
      </c>
      <c r="CO21" s="2">
        <f t="shared" si="18"/>
        <v>-10.419220308641801</v>
      </c>
      <c r="CP21" s="2">
        <f t="shared" si="18"/>
        <v>6.5199046913581959</v>
      </c>
      <c r="CQ21" s="2">
        <f t="shared" si="18"/>
        <v>10.421484904003432</v>
      </c>
      <c r="CR21" s="2">
        <f t="shared" si="18"/>
        <v>25.916957771853788</v>
      </c>
      <c r="CS21" s="2">
        <f t="shared" si="18"/>
        <v>8.9483521913581949</v>
      </c>
      <c r="CT21" s="2">
        <f t="shared" si="18"/>
        <v>-12.241705913208726</v>
      </c>
      <c r="CU21" s="2">
        <f t="shared" si="18"/>
        <v>-21.47504183352369</v>
      </c>
      <c r="CV21" s="2">
        <f t="shared" si="18"/>
        <v>18.228268973399864</v>
      </c>
      <c r="CW21" s="2">
        <f t="shared" si="18"/>
        <v>28.945496327160491</v>
      </c>
      <c r="CX21" s="2">
        <f t="shared" si="18"/>
        <v>15.774039768148146</v>
      </c>
      <c r="CY21" s="2">
        <f t="shared" si="18"/>
        <v>11.406162191358195</v>
      </c>
      <c r="CZ21" s="2">
        <f t="shared" si="18"/>
        <v>21.82281214896895</v>
      </c>
      <c r="DA21" s="2">
        <f t="shared" si="18"/>
        <v>8.560092191358196</v>
      </c>
      <c r="DB21" s="2">
        <f t="shared" si="18"/>
        <v>-85.592888948641786</v>
      </c>
      <c r="DC21" s="2">
        <f t="shared" si="18"/>
        <v>-8.8817728086418093</v>
      </c>
    </row>
    <row r="22" spans="5:119" x14ac:dyDescent="0.55000000000000004">
      <c r="E22" s="28"/>
      <c r="F22" s="28"/>
      <c r="G22" s="2" t="s">
        <v>9</v>
      </c>
      <c r="H22" s="2"/>
      <c r="I22" s="2" t="s">
        <v>10</v>
      </c>
      <c r="J22" s="2"/>
      <c r="K22" s="2" t="s">
        <v>19</v>
      </c>
      <c r="L22" s="2"/>
      <c r="M22" s="2" t="s">
        <v>11</v>
      </c>
      <c r="N22" s="2"/>
      <c r="O22" t="s">
        <v>32</v>
      </c>
      <c r="Q22" t="s">
        <v>40</v>
      </c>
      <c r="S22" t="s">
        <v>41</v>
      </c>
      <c r="T22" t="s">
        <v>44</v>
      </c>
      <c r="U22" t="s">
        <v>49</v>
      </c>
      <c r="V22" t="s">
        <v>49</v>
      </c>
      <c r="W22" t="s">
        <v>47</v>
      </c>
      <c r="X22" t="s">
        <v>52</v>
      </c>
      <c r="Z22" t="s">
        <v>54</v>
      </c>
      <c r="AA22" t="s">
        <v>57</v>
      </c>
      <c r="AB22" t="s">
        <v>69</v>
      </c>
      <c r="AC22" t="s">
        <v>60</v>
      </c>
      <c r="AD22" t="s">
        <v>70</v>
      </c>
      <c r="AE22" t="s">
        <v>72</v>
      </c>
      <c r="AF22" t="s">
        <v>73</v>
      </c>
      <c r="AG22" t="s">
        <v>75</v>
      </c>
      <c r="AH22" t="s">
        <v>76</v>
      </c>
      <c r="AI22" t="s">
        <v>79</v>
      </c>
      <c r="AJ22" t="s">
        <v>77</v>
      </c>
      <c r="AK22" t="s">
        <v>78</v>
      </c>
      <c r="AL22" t="s">
        <v>80</v>
      </c>
      <c r="AM22" t="s">
        <v>113</v>
      </c>
      <c r="AN22" t="s">
        <v>90</v>
      </c>
      <c r="AO22" t="s">
        <v>111</v>
      </c>
      <c r="AP22" t="s">
        <v>132</v>
      </c>
      <c r="AQ22" t="s">
        <v>129</v>
      </c>
      <c r="AR22" t="s">
        <v>130</v>
      </c>
      <c r="AS22" s="30" t="s">
        <v>90</v>
      </c>
      <c r="AT22" t="s">
        <v>148</v>
      </c>
      <c r="AU22" t="s">
        <v>153</v>
      </c>
      <c r="AV22" t="s">
        <v>162</v>
      </c>
      <c r="AW22" t="s">
        <v>163</v>
      </c>
      <c r="AX22" t="s">
        <v>189</v>
      </c>
      <c r="AY22" t="s">
        <v>192</v>
      </c>
      <c r="AZ22" t="s">
        <v>197</v>
      </c>
      <c r="BA22" t="s">
        <v>198</v>
      </c>
      <c r="BB22" t="s">
        <v>199</v>
      </c>
      <c r="BC22" t="s">
        <v>200</v>
      </c>
      <c r="BD22" s="34" t="s">
        <v>9</v>
      </c>
      <c r="BE22" s="34" t="s">
        <v>201</v>
      </c>
      <c r="BF22" t="s">
        <v>206</v>
      </c>
      <c r="BG22" t="s">
        <v>207</v>
      </c>
      <c r="BH22" t="s">
        <v>208</v>
      </c>
      <c r="BI22" t="s">
        <v>209</v>
      </c>
      <c r="BJ22" t="s">
        <v>210</v>
      </c>
      <c r="BK22" t="s">
        <v>211</v>
      </c>
      <c r="BL22" t="s">
        <v>212</v>
      </c>
      <c r="BM22" t="s">
        <v>213</v>
      </c>
      <c r="BN22" t="s">
        <v>215</v>
      </c>
      <c r="BR22" t="s">
        <v>235</v>
      </c>
    </row>
    <row r="23" spans="5:119" x14ac:dyDescent="0.55000000000000004">
      <c r="E23" s="28"/>
      <c r="F23" s="28"/>
      <c r="G23" s="2" t="s">
        <v>16</v>
      </c>
      <c r="H23" s="2" t="s">
        <v>17</v>
      </c>
      <c r="I23" s="2" t="s">
        <v>16</v>
      </c>
      <c r="J23" s="2" t="s">
        <v>17</v>
      </c>
      <c r="K23" s="2" t="s">
        <v>16</v>
      </c>
      <c r="L23" s="2" t="s">
        <v>17</v>
      </c>
      <c r="M23" s="2" t="s">
        <v>16</v>
      </c>
      <c r="N23" s="2" t="s">
        <v>17</v>
      </c>
      <c r="O23" s="2" t="s">
        <v>16</v>
      </c>
      <c r="P23" s="2" t="s">
        <v>17</v>
      </c>
      <c r="Q23" s="2" t="s">
        <v>16</v>
      </c>
      <c r="R23" s="2" t="s">
        <v>17</v>
      </c>
      <c r="S23" s="2" t="s">
        <v>17</v>
      </c>
      <c r="T23" s="2" t="s">
        <v>17</v>
      </c>
      <c r="U23" s="2" t="s">
        <v>46</v>
      </c>
      <c r="V23" s="2" t="s">
        <v>46</v>
      </c>
      <c r="W23" s="2" t="s">
        <v>46</v>
      </c>
      <c r="X23" s="2" t="s">
        <v>46</v>
      </c>
      <c r="Z23" s="2" t="s">
        <v>46</v>
      </c>
      <c r="AA23" s="2" t="s">
        <v>46</v>
      </c>
    </row>
    <row r="24" spans="5:119" x14ac:dyDescent="0.55000000000000004">
      <c r="F24" t="s">
        <v>18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v>94.753086419753259</v>
      </c>
      <c r="R24" s="2"/>
      <c r="S24" s="2"/>
      <c r="T24" s="2">
        <v>27.654320987654074</v>
      </c>
      <c r="U24" s="2"/>
      <c r="V24" s="2"/>
      <c r="W24" s="2"/>
      <c r="X24" s="2"/>
      <c r="Y24" s="2">
        <f>Z3</f>
        <v>36.604938271605207</v>
      </c>
      <c r="Z24" s="2">
        <v>27.500000000000099</v>
      </c>
      <c r="AA24" s="2">
        <v>33.580246913580439</v>
      </c>
      <c r="AB24" s="2">
        <v>22.345679012345727</v>
      </c>
      <c r="AC24" s="2">
        <v>28.271604938272105</v>
      </c>
      <c r="AD24" s="2">
        <f t="shared" ref="AD24:AK24" si="19">AE3</f>
        <v>35.123456790123882</v>
      </c>
      <c r="AE24" s="2">
        <f t="shared" si="19"/>
        <v>49.166666666666295</v>
      </c>
      <c r="AF24" s="2">
        <v>59.444444444444116</v>
      </c>
      <c r="AG24" s="2">
        <f t="shared" si="19"/>
        <v>0</v>
      </c>
      <c r="AH24" s="2">
        <f t="shared" si="19"/>
        <v>10.432098765431959</v>
      </c>
      <c r="AI24" s="2">
        <f t="shared" si="19"/>
        <v>32.376543209876246</v>
      </c>
      <c r="AJ24" s="2">
        <v>17.716049382715923</v>
      </c>
      <c r="AK24" s="2">
        <f t="shared" si="19"/>
        <v>34.38271604938268</v>
      </c>
      <c r="AL24" s="2">
        <f>AM3</f>
        <v>21.820987654321172</v>
      </c>
      <c r="AM24" s="2">
        <v>36.388888888888559</v>
      </c>
      <c r="AN24" s="2">
        <v>32.685185185185276</v>
      </c>
      <c r="AO24" s="2">
        <v>19.25925925925938</v>
      </c>
      <c r="AP24" s="2">
        <v>36.388888888888559</v>
      </c>
      <c r="AQ24" s="2">
        <v>85.462962962962848</v>
      </c>
      <c r="AR24" s="2">
        <v>33.086419753086119</v>
      </c>
      <c r="AS24" s="2">
        <v>31.26543209876553</v>
      </c>
      <c r="AT24" s="2">
        <f>AU3</f>
        <v>58.425925925926322</v>
      </c>
      <c r="AU24" s="2">
        <f>AV3</f>
        <v>48.919753086419824</v>
      </c>
      <c r="AV24" s="2">
        <f>AW3</f>
        <v>24.938271604938322</v>
      </c>
      <c r="AW24" s="2">
        <f>AX3</f>
        <v>74.444444444444798</v>
      </c>
      <c r="AX24" s="2">
        <f>AY3</f>
        <v>23.858024691357855</v>
      </c>
      <c r="AY24" s="2">
        <v>59.320987654320945</v>
      </c>
      <c r="AZ24" s="2">
        <v>59.598765432098624</v>
      </c>
      <c r="BA24" s="2">
        <v>72.314814814815193</v>
      </c>
      <c r="BB24" s="2">
        <v>76.851851851852075</v>
      </c>
      <c r="BC24" s="2">
        <v>27.067901234567913</v>
      </c>
      <c r="BD24" s="2">
        <v>0</v>
      </c>
      <c r="BE24" s="2">
        <v>0</v>
      </c>
      <c r="BF24" s="2">
        <v>0</v>
      </c>
      <c r="BG24" s="2">
        <v>49.87654320987658</v>
      </c>
      <c r="BH24" s="2">
        <v>22.37654320987653</v>
      </c>
      <c r="BI24" s="2">
        <v>31.574074074074559</v>
      </c>
      <c r="BJ24" s="2">
        <v>40.77160493827148</v>
      </c>
      <c r="BK24" s="2">
        <v>37.006172839506057</v>
      </c>
      <c r="BL24" s="2">
        <v>27.098765432098716</v>
      </c>
      <c r="BM24" s="2">
        <v>25.555555555555259</v>
      </c>
      <c r="BN24" s="2">
        <f t="shared" ref="BN24:CD24" si="20">BO3</f>
        <v>18.364197530864217</v>
      </c>
      <c r="BO24" s="2">
        <f t="shared" si="20"/>
        <v>11.851851851851691</v>
      </c>
      <c r="BP24" s="2">
        <f t="shared" si="20"/>
        <v>28.981481481481424</v>
      </c>
      <c r="BQ24" s="2">
        <f t="shared" si="20"/>
        <v>34.38271604938268</v>
      </c>
      <c r="BR24" s="2">
        <f t="shared" si="20"/>
        <v>25.555555555555813</v>
      </c>
      <c r="BS24" s="2">
        <f t="shared" si="20"/>
        <v>25.555555555555813</v>
      </c>
      <c r="BT24" s="2">
        <f t="shared" si="20"/>
        <v>61.820987654320604</v>
      </c>
      <c r="BU24" s="2">
        <f t="shared" si="20"/>
        <v>28.11728395061705</v>
      </c>
      <c r="BV24" s="2">
        <f t="shared" si="20"/>
        <v>45.987654320987659</v>
      </c>
      <c r="BW24" s="2">
        <f t="shared" si="20"/>
        <v>74.228395061728392</v>
      </c>
      <c r="BX24" s="2">
        <f t="shared" si="20"/>
        <v>85.03086419753086</v>
      </c>
      <c r="BY24" s="2">
        <f t="shared" si="20"/>
        <v>50.9567901234565</v>
      </c>
      <c r="BZ24" s="2">
        <f t="shared" si="20"/>
        <v>25.555555555555813</v>
      </c>
      <c r="CA24" s="2">
        <f t="shared" si="20"/>
        <v>25.555555555555813</v>
      </c>
      <c r="CB24" s="2">
        <f t="shared" si="20"/>
        <v>25.555555555555813</v>
      </c>
      <c r="CC24" s="2">
        <f t="shared" si="20"/>
        <v>31.944444444444443</v>
      </c>
      <c r="CD24" s="2">
        <f t="shared" si="20"/>
        <v>21.358024691358196</v>
      </c>
      <c r="CE24" s="2">
        <v>42.438271604938748</v>
      </c>
      <c r="CF24" s="2">
        <f t="shared" ref="CF24:CW24" si="21">CG3</f>
        <v>54.320987654320987</v>
      </c>
      <c r="CG24" s="2">
        <f t="shared" si="21"/>
        <v>53.518518518518512</v>
      </c>
      <c r="CH24" s="2">
        <f t="shared" si="21"/>
        <v>61.35802469135762</v>
      </c>
      <c r="CI24" s="2">
        <f t="shared" si="21"/>
        <v>57.16049382716055</v>
      </c>
      <c r="CJ24" s="2">
        <f t="shared" si="21"/>
        <v>52.561728395061543</v>
      </c>
      <c r="CK24" s="2">
        <f t="shared" si="21"/>
        <v>51.944444444444599</v>
      </c>
      <c r="CL24" s="2">
        <f t="shared" si="21"/>
        <v>21.358024691358196</v>
      </c>
      <c r="CM24" s="2">
        <f t="shared" si="21"/>
        <v>21.358024691358196</v>
      </c>
      <c r="CN24" s="2">
        <f t="shared" si="21"/>
        <v>21.358024691358196</v>
      </c>
      <c r="CO24" s="2">
        <f t="shared" si="21"/>
        <v>21.358024691358196</v>
      </c>
      <c r="CP24" s="2">
        <f t="shared" si="21"/>
        <v>28.117283950617605</v>
      </c>
      <c r="CQ24" s="2">
        <f t="shared" si="21"/>
        <v>75.987654320987659</v>
      </c>
      <c r="CR24" s="2">
        <f t="shared" si="21"/>
        <v>21.358024691358196</v>
      </c>
      <c r="CS24" s="2">
        <f t="shared" si="21"/>
        <v>21.358024691358196</v>
      </c>
      <c r="CT24" s="2">
        <f t="shared" si="21"/>
        <v>21.358024691358196</v>
      </c>
      <c r="CU24" s="2">
        <f t="shared" si="21"/>
        <v>63.950617283951047</v>
      </c>
      <c r="CV24" s="2">
        <f t="shared" si="21"/>
        <v>59.660493827160494</v>
      </c>
      <c r="CW24" s="2">
        <f t="shared" si="21"/>
        <v>40.648148148148152</v>
      </c>
    </row>
    <row r="25" spans="5:119" x14ac:dyDescent="0.55000000000000004">
      <c r="F25" t="s">
        <v>2</v>
      </c>
      <c r="G25" s="2">
        <v>39.331642499999994</v>
      </c>
      <c r="H25" s="2">
        <v>11.449282499999999</v>
      </c>
      <c r="I25" s="2">
        <v>55.038622500000002</v>
      </c>
      <c r="J25" s="2">
        <v>13.284067499999999</v>
      </c>
      <c r="K25" s="2">
        <v>17.790030000000002</v>
      </c>
      <c r="L25" s="2">
        <v>3.4493175000000003</v>
      </c>
      <c r="M25" s="2">
        <v>4.2933375000000007</v>
      </c>
      <c r="N25" s="2">
        <v>0.6969375000000001</v>
      </c>
      <c r="O25" s="2">
        <v>57.471254999999999</v>
      </c>
      <c r="P25" s="2">
        <v>18.013455</v>
      </c>
      <c r="Q25" s="2">
        <v>51.882592500000015</v>
      </c>
      <c r="R25" s="2">
        <v>11.530552500000001</v>
      </c>
      <c r="S25" s="2">
        <v>11.165849999999999</v>
      </c>
      <c r="T25" s="2">
        <v>12.377745000000001</v>
      </c>
      <c r="U25" s="2">
        <v>8.7356475000000007</v>
      </c>
      <c r="V25" s="2">
        <v>47.937622499999996</v>
      </c>
      <c r="W25" s="2">
        <v>9.7463250000000006</v>
      </c>
      <c r="X25" s="2">
        <v>11.798730000000001</v>
      </c>
      <c r="Y25" s="2">
        <v>18.651870000000002</v>
      </c>
      <c r="Z25" s="2">
        <v>10.519807500000001</v>
      </c>
      <c r="AA25" s="2">
        <v>16.624912500000004</v>
      </c>
      <c r="AB25" s="2">
        <v>6.8025825000000015</v>
      </c>
      <c r="AC25" s="2">
        <v>13.358722500000001</v>
      </c>
      <c r="AD25" s="2">
        <v>21.166852500000001</v>
      </c>
      <c r="AE25" s="2">
        <v>30.598357500000002</v>
      </c>
      <c r="AF25" s="2">
        <v>36.053505000000001</v>
      </c>
      <c r="AG25" s="2">
        <v>4.3799400000000004</v>
      </c>
      <c r="AH25" s="2">
        <f>AI5</f>
        <v>0.70375500000000002</v>
      </c>
      <c r="AI25" s="2">
        <f>AJ5</f>
        <v>19.962585000000001</v>
      </c>
      <c r="AJ25" s="2">
        <v>4.1843250000000003</v>
      </c>
      <c r="AK25" s="2">
        <f>AL5</f>
        <v>0</v>
      </c>
      <c r="AL25" s="2">
        <f>AM5</f>
        <v>22.5195525</v>
      </c>
      <c r="AM25" s="2">
        <v>18.155205000000002</v>
      </c>
      <c r="AN25" s="2">
        <v>12.493304999999999</v>
      </c>
      <c r="AO25" s="2">
        <v>3.3001425000000002</v>
      </c>
      <c r="AP25" s="2">
        <v>15.648592499999999</v>
      </c>
      <c r="AQ25" s="2">
        <v>35.909797500000003</v>
      </c>
      <c r="AR25" s="2">
        <v>12.4278975</v>
      </c>
      <c r="AS25" s="2">
        <v>10.9875825</v>
      </c>
      <c r="AT25" s="2">
        <f>AU5</f>
        <v>28.509435</v>
      </c>
      <c r="AU25" s="2">
        <v>27.798862499999998</v>
      </c>
      <c r="AV25" s="2">
        <v>10.8543375</v>
      </c>
      <c r="AW25" s="2">
        <f>AX5</f>
        <v>39.259349999999998</v>
      </c>
      <c r="AX25" s="2">
        <v>9.2736225000000001</v>
      </c>
      <c r="AY25" s="2">
        <v>30.652290000000004</v>
      </c>
      <c r="AZ25" s="2">
        <v>26.485447500000003</v>
      </c>
      <c r="BA25" s="2">
        <v>24.090209999999999</v>
      </c>
      <c r="BB25" s="2">
        <v>21.176369999999999</v>
      </c>
      <c r="BC25" s="2">
        <v>12.65868</v>
      </c>
      <c r="BD25" s="2">
        <v>41.090220000000002</v>
      </c>
      <c r="BE25" s="2">
        <v>10.930005</v>
      </c>
      <c r="BF25" s="2">
        <v>7.5529125000000006</v>
      </c>
      <c r="BG25" s="2">
        <v>20.519797499999999</v>
      </c>
      <c r="BH25" s="2">
        <v>17.688307500000001</v>
      </c>
      <c r="BI25" s="2">
        <v>17.671432500000002</v>
      </c>
      <c r="BJ25" s="2">
        <v>22.940145000000005</v>
      </c>
      <c r="BK25" s="2">
        <v>18.583155000000001</v>
      </c>
      <c r="BL25" s="2">
        <v>10.917585000000001</v>
      </c>
      <c r="BM25" s="2">
        <v>9.1196550000000016</v>
      </c>
      <c r="BN25" s="2">
        <f t="shared" ref="BN25:CD25" si="22">BO5</f>
        <v>1.0930949999999999</v>
      </c>
      <c r="BO25" s="2">
        <f t="shared" si="22"/>
        <v>0.59028749999999997</v>
      </c>
      <c r="BP25" s="2">
        <f t="shared" si="22"/>
        <v>16.363620000000001</v>
      </c>
      <c r="BQ25" s="2">
        <f t="shared" si="22"/>
        <v>7.00542</v>
      </c>
      <c r="BR25" s="2">
        <f t="shared" si="22"/>
        <v>13.293315</v>
      </c>
      <c r="BS25" s="2">
        <f t="shared" si="22"/>
        <v>5.4079649999999999</v>
      </c>
      <c r="BT25" s="2">
        <f t="shared" si="22"/>
        <v>38.295450000000002</v>
      </c>
      <c r="BU25" s="2">
        <f t="shared" si="22"/>
        <v>13.699867500000002</v>
      </c>
      <c r="BV25" s="2">
        <f t="shared" si="22"/>
        <v>24.836895000000002</v>
      </c>
      <c r="BW25" s="2">
        <f t="shared" si="22"/>
        <v>37.787377500000005</v>
      </c>
      <c r="BX25" s="2">
        <f t="shared" si="22"/>
        <v>43.950667500000002</v>
      </c>
      <c r="BY25" s="2">
        <f t="shared" si="22"/>
        <v>30.725257500000001</v>
      </c>
      <c r="BZ25" s="2">
        <f t="shared" si="22"/>
        <v>39.150945</v>
      </c>
      <c r="CA25" s="2">
        <f t="shared" si="22"/>
        <v>5.6808675000000006</v>
      </c>
      <c r="CB25" s="2">
        <f t="shared" si="22"/>
        <v>29.965544999999999</v>
      </c>
      <c r="CC25" s="2">
        <f t="shared" si="22"/>
        <v>12.829320000000003</v>
      </c>
      <c r="CD25" s="2">
        <f t="shared" si="22"/>
        <v>8.945707500000001</v>
      </c>
      <c r="CE25" s="2">
        <v>4.9593600000000002</v>
      </c>
      <c r="CF25" s="2">
        <f t="shared" ref="CF25:CW25" si="23">CG5</f>
        <v>12.968910000000001</v>
      </c>
      <c r="CG25" s="2">
        <f t="shared" si="23"/>
        <v>0.81614249999999999</v>
      </c>
      <c r="CH25" s="2">
        <f t="shared" si="23"/>
        <v>22.153972499999998</v>
      </c>
      <c r="CI25" s="2">
        <f t="shared" si="23"/>
        <v>27.8702775</v>
      </c>
      <c r="CJ25" s="2">
        <f t="shared" si="23"/>
        <v>28.619932500000001</v>
      </c>
      <c r="CK25" s="2">
        <f t="shared" si="23"/>
        <v>26.669520000000002</v>
      </c>
      <c r="CL25" s="2">
        <f t="shared" si="23"/>
        <v>1.5319125</v>
      </c>
      <c r="CM25" s="2">
        <f t="shared" si="23"/>
        <v>44.794012500000001</v>
      </c>
      <c r="CN25" s="2">
        <f t="shared" si="23"/>
        <v>31.777244999999997</v>
      </c>
      <c r="CO25" s="2">
        <f t="shared" si="23"/>
        <v>14.83812</v>
      </c>
      <c r="CP25" s="2">
        <f t="shared" si="23"/>
        <v>11.318670000000001</v>
      </c>
      <c r="CQ25" s="2">
        <f t="shared" si="23"/>
        <v>34.696080000000009</v>
      </c>
      <c r="CR25" s="2">
        <f t="shared" si="23"/>
        <v>12.409672500000001</v>
      </c>
      <c r="CS25" s="2">
        <f t="shared" si="23"/>
        <v>20.549497500000001</v>
      </c>
      <c r="CT25" s="2">
        <f t="shared" si="23"/>
        <v>32.976382499999993</v>
      </c>
      <c r="CU25" s="2">
        <f t="shared" si="23"/>
        <v>10.241167500000001</v>
      </c>
      <c r="CV25" s="2">
        <f t="shared" si="23"/>
        <v>30.714997500000003</v>
      </c>
      <c r="CW25" s="2">
        <f t="shared" si="23"/>
        <v>18.413932500000001</v>
      </c>
    </row>
    <row r="26" spans="5:119" x14ac:dyDescent="0.55000000000000004">
      <c r="F26" t="s">
        <v>12</v>
      </c>
      <c r="G26" s="2">
        <v>3.6727258999999997</v>
      </c>
      <c r="H26" s="2">
        <v>0.68769525999999992</v>
      </c>
      <c r="I26" s="2">
        <v>0.99815105999999987</v>
      </c>
      <c r="J26" s="2">
        <v>0.39270593999999992</v>
      </c>
      <c r="K26" s="2">
        <v>9.7010492599999978</v>
      </c>
      <c r="L26" s="2">
        <v>1.5477366599999998</v>
      </c>
      <c r="M26" s="2">
        <v>8.2026401600000014</v>
      </c>
      <c r="N26" s="2">
        <v>1.0255177199999999</v>
      </c>
      <c r="O26" s="2">
        <v>1.2762849199999999</v>
      </c>
      <c r="P26" s="2">
        <v>0.36747905999999997</v>
      </c>
      <c r="Q26" s="2">
        <v>5.2638212600000003</v>
      </c>
      <c r="R26" s="2">
        <v>5.2239537799999995</v>
      </c>
      <c r="S26" s="2">
        <v>0.61708252000000008</v>
      </c>
      <c r="T26" s="2">
        <v>0.56005925999999995</v>
      </c>
      <c r="U26" s="2">
        <v>0.7392376799999999</v>
      </c>
      <c r="V26" s="2">
        <v>3.6391276000000001</v>
      </c>
      <c r="W26" s="2">
        <v>0.79723697999999998</v>
      </c>
      <c r="X26" s="2">
        <v>0.6549228399999999</v>
      </c>
      <c r="Y26" s="2">
        <v>2.6906419599999998</v>
      </c>
      <c r="Z26" s="2">
        <v>0.70485103999999998</v>
      </c>
      <c r="AA26" s="2">
        <v>0.41688169999999991</v>
      </c>
      <c r="AB26" s="2">
        <v>1.1374244599999999</v>
      </c>
      <c r="AC26" s="2">
        <v>0.58513597999999989</v>
      </c>
      <c r="AD26" s="2">
        <v>0.35828175999999995</v>
      </c>
      <c r="AE26" s="2">
        <v>0.28128721999999995</v>
      </c>
      <c r="AF26" s="2">
        <v>0.22572802</v>
      </c>
      <c r="AG26" s="2">
        <v>0.92415972000000002</v>
      </c>
      <c r="AH26" s="2">
        <f>AI15</f>
        <v>0</v>
      </c>
      <c r="AI26" s="2">
        <f>AJ15</f>
        <v>1.1130609999999999</v>
      </c>
      <c r="AJ26" s="2">
        <v>0.96102399999999988</v>
      </c>
      <c r="AK26" s="2">
        <f>AL15</f>
        <v>0</v>
      </c>
      <c r="AL26" s="2">
        <f>AM15</f>
        <v>0</v>
      </c>
      <c r="AM26" s="2">
        <v>0.32599736000000001</v>
      </c>
      <c r="AN26" s="2">
        <v>0.60743473999999997</v>
      </c>
      <c r="AO26" s="2">
        <v>1.46788908</v>
      </c>
      <c r="AP26" s="2">
        <v>0.44717647999999988</v>
      </c>
      <c r="AQ26" s="2">
        <v>0.17658815999999999</v>
      </c>
      <c r="AR26" s="2">
        <v>0.81574419999999992</v>
      </c>
      <c r="AS26" s="2">
        <v>0.6825147399999999</v>
      </c>
      <c r="AT26" s="2">
        <f>AU15</f>
        <v>0</v>
      </c>
      <c r="AU26" s="2">
        <v>0.25087981999999998</v>
      </c>
      <c r="AV26" s="2">
        <v>0.66847477999999994</v>
      </c>
      <c r="AW26" s="2">
        <f>AX15</f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0.73995094000000006</v>
      </c>
      <c r="BD26" s="2">
        <v>2.39981958</v>
      </c>
      <c r="BE26" s="2">
        <v>11.646784999999999</v>
      </c>
      <c r="BF26" s="2">
        <v>11.24439374</v>
      </c>
      <c r="BG26" s="2">
        <v>0</v>
      </c>
      <c r="BH26" s="2">
        <v>0.51767660000000004</v>
      </c>
      <c r="BI26" s="2">
        <v>0.46872443999999996</v>
      </c>
      <c r="BJ26" s="2">
        <v>2.4905162199999999</v>
      </c>
      <c r="BK26" s="2">
        <v>0.44436097999999996</v>
      </c>
      <c r="BL26" s="2">
        <v>0</v>
      </c>
      <c r="BM26" s="2">
        <v>0.32201812000000002</v>
      </c>
      <c r="BN26" s="2">
        <f t="shared" ref="BN26:CD26" si="24">BO15</f>
        <v>0</v>
      </c>
      <c r="BO26" s="2">
        <f t="shared" si="24"/>
        <v>0</v>
      </c>
      <c r="BP26" s="2">
        <f t="shared" si="24"/>
        <v>0</v>
      </c>
      <c r="BQ26" s="2">
        <f t="shared" si="24"/>
        <v>0</v>
      </c>
      <c r="BR26" s="2">
        <f t="shared" si="24"/>
        <v>1.1747767600000001</v>
      </c>
      <c r="BS26" s="2">
        <f t="shared" si="24"/>
        <v>3.1817402399999994</v>
      </c>
      <c r="BT26" s="2">
        <f t="shared" si="24"/>
        <v>0.47653275999999989</v>
      </c>
      <c r="BU26" s="2">
        <f t="shared" si="24"/>
        <v>0</v>
      </c>
      <c r="BV26" s="2">
        <f t="shared" si="24"/>
        <v>0.62271352000000002</v>
      </c>
      <c r="BW26" s="2">
        <f t="shared" si="24"/>
        <v>0.28552923999999996</v>
      </c>
      <c r="BX26" s="2">
        <f t="shared" si="24"/>
        <v>0.44867807999999998</v>
      </c>
      <c r="BY26" s="2">
        <f t="shared" si="24"/>
        <v>0.54988591999999992</v>
      </c>
      <c r="BZ26" s="2">
        <f t="shared" si="24"/>
        <v>0</v>
      </c>
      <c r="CA26" s="2">
        <f t="shared" si="24"/>
        <v>0</v>
      </c>
      <c r="CB26" s="2">
        <f t="shared" si="24"/>
        <v>0</v>
      </c>
      <c r="CC26" s="2">
        <f t="shared" si="24"/>
        <v>1.0622318400000001</v>
      </c>
      <c r="CD26" s="2">
        <f t="shared" si="24"/>
        <v>12.489858320000002</v>
      </c>
      <c r="CE26" s="2">
        <v>8.6009770999999979</v>
      </c>
      <c r="CF26" s="2">
        <f t="shared" ref="CF26:CW26" si="25">CG15</f>
        <v>1.1934716799999998</v>
      </c>
      <c r="CG26" s="2">
        <f t="shared" si="25"/>
        <v>2.1327975600000002</v>
      </c>
      <c r="CH26" s="2">
        <f t="shared" si="25"/>
        <v>0.93812459999999998</v>
      </c>
      <c r="CI26" s="2">
        <f t="shared" si="25"/>
        <v>0.23192211999999998</v>
      </c>
      <c r="CJ26" s="2">
        <f t="shared" si="25"/>
        <v>0.45047999999999999</v>
      </c>
      <c r="CK26" s="2">
        <f t="shared" si="25"/>
        <v>0.54808400000000002</v>
      </c>
      <c r="CL26" s="2">
        <f t="shared" si="25"/>
        <v>0</v>
      </c>
      <c r="CM26" s="2">
        <f t="shared" si="25"/>
        <v>0</v>
      </c>
      <c r="CN26" s="2">
        <f t="shared" si="25"/>
        <v>0</v>
      </c>
      <c r="CO26" s="2">
        <f t="shared" si="25"/>
        <v>0</v>
      </c>
      <c r="CP26" s="2">
        <f t="shared" si="25"/>
        <v>0</v>
      </c>
      <c r="CQ26" s="2">
        <f t="shared" si="25"/>
        <v>1.0123036400000001</v>
      </c>
      <c r="CR26" s="2">
        <f t="shared" si="25"/>
        <v>0</v>
      </c>
      <c r="CS26" s="2">
        <f t="shared" si="25"/>
        <v>0.77565148000000006</v>
      </c>
      <c r="CT26" s="2">
        <f t="shared" si="25"/>
        <v>0.48824523999999991</v>
      </c>
      <c r="CU26" s="2">
        <f t="shared" si="25"/>
        <v>26.052759999999996</v>
      </c>
      <c r="CV26" s="2">
        <f t="shared" si="25"/>
        <v>0</v>
      </c>
      <c r="CW26" s="2">
        <f t="shared" si="25"/>
        <v>0.53682199999999991</v>
      </c>
    </row>
    <row r="27" spans="5:119" x14ac:dyDescent="0.55000000000000004">
      <c r="F27" t="s">
        <v>24</v>
      </c>
      <c r="G27" s="2">
        <v>2.8212299999999999</v>
      </c>
      <c r="H27" s="2">
        <v>1.7029575000000001</v>
      </c>
      <c r="I27" s="2">
        <v>2.493045</v>
      </c>
      <c r="J27" s="2">
        <v>1.5048450000000002</v>
      </c>
      <c r="K27" s="2">
        <v>2.2730625</v>
      </c>
      <c r="L27" s="2">
        <v>1.2750075000000001</v>
      </c>
      <c r="M27" s="2">
        <v>1.5973199999999996</v>
      </c>
      <c r="N27" s="2">
        <v>0.58016250000000003</v>
      </c>
      <c r="O27" s="2">
        <v>2.9536650000000004</v>
      </c>
      <c r="P27" s="2">
        <v>1.7446049999999997</v>
      </c>
      <c r="Q27" s="2">
        <v>4.3168274999999996</v>
      </c>
      <c r="R27" s="2">
        <v>1.8454500000000003</v>
      </c>
      <c r="S27" s="2">
        <v>1.7456850000000004</v>
      </c>
      <c r="T27" s="2">
        <v>0.76179332598425198</v>
      </c>
      <c r="U27" s="2">
        <v>1.6635375000000001</v>
      </c>
      <c r="V27" s="2">
        <v>3.4188750000000003</v>
      </c>
      <c r="W27" s="2">
        <v>1.6964774999999999</v>
      </c>
      <c r="X27" s="2">
        <v>1.7973225000000002</v>
      </c>
      <c r="Y27" s="2">
        <v>2.8433024999999996</v>
      </c>
      <c r="Z27" s="2">
        <v>1.8567900000000002</v>
      </c>
      <c r="AA27" s="2">
        <v>1.8654975</v>
      </c>
      <c r="AB27" s="2">
        <v>1.5632325000000002</v>
      </c>
      <c r="AC27" s="2">
        <v>1.8430875000000002</v>
      </c>
      <c r="AD27" s="2">
        <v>1.8029924999999998</v>
      </c>
      <c r="AE27" s="2">
        <v>1.8060300000000002</v>
      </c>
      <c r="AF27" s="2">
        <v>1.7275949999999998</v>
      </c>
      <c r="AG27" s="2">
        <v>1.3691024999999999</v>
      </c>
      <c r="AH27" s="2">
        <f>AI13</f>
        <v>0</v>
      </c>
      <c r="AI27" s="2">
        <f>AJ13</f>
        <v>1.1352149999999999</v>
      </c>
      <c r="AJ27" s="2">
        <v>1.3153724999999998</v>
      </c>
      <c r="AK27" s="2">
        <f>AL13</f>
        <v>0</v>
      </c>
      <c r="AL27" s="2">
        <f>AM13</f>
        <v>4.3528725000000001</v>
      </c>
      <c r="AM27" s="2">
        <v>1.6748099999999999</v>
      </c>
      <c r="AN27" s="2">
        <v>1.5871949999999999</v>
      </c>
      <c r="AO27" s="2">
        <v>1.3354874999999999</v>
      </c>
      <c r="AP27" s="2">
        <v>1.6524000000000001</v>
      </c>
      <c r="AQ27" s="2">
        <v>1.4354549999999999</v>
      </c>
      <c r="AR27" s="2">
        <v>1.7622225000000002</v>
      </c>
      <c r="AS27" s="2">
        <v>1.6627949999999998</v>
      </c>
      <c r="AT27" s="2">
        <f>AU13</f>
        <v>8.8773975000000007</v>
      </c>
      <c r="AU27" s="2">
        <v>1.9319175000000002</v>
      </c>
      <c r="AV27" s="2">
        <v>1.7228025</v>
      </c>
      <c r="AW27" s="2">
        <f>AX13</f>
        <v>43.902742500000002</v>
      </c>
      <c r="AX27" s="2">
        <v>0</v>
      </c>
      <c r="AY27" s="2">
        <v>1.9014750000000005</v>
      </c>
      <c r="AZ27" s="2">
        <v>3.3430050000000002</v>
      </c>
      <c r="BA27" s="2">
        <v>1.9016099999999998</v>
      </c>
      <c r="BB27" s="2">
        <v>1.9016774999999999</v>
      </c>
      <c r="BC27" s="2">
        <v>1.8255375</v>
      </c>
      <c r="BD27" s="2">
        <v>2.8071225000000002</v>
      </c>
      <c r="BE27" s="2">
        <v>2.3459625000000002</v>
      </c>
      <c r="BF27" s="2">
        <v>2.2807575000000004</v>
      </c>
      <c r="BG27" s="2">
        <v>2.9479275000000005</v>
      </c>
      <c r="BH27" s="2">
        <v>1.66428</v>
      </c>
      <c r="BI27" s="2">
        <v>1.6791975000000001</v>
      </c>
      <c r="BJ27" s="2">
        <v>2.7420525000000002</v>
      </c>
      <c r="BK27" s="2">
        <v>1.7758575000000003</v>
      </c>
      <c r="BL27" s="2">
        <v>2.9625075000000005</v>
      </c>
      <c r="BM27" s="2">
        <v>1.5379874999999998</v>
      </c>
      <c r="BN27" s="2">
        <f t="shared" ref="BN27:CD27" si="26">BO13</f>
        <v>0</v>
      </c>
      <c r="BO27" s="2">
        <f t="shared" si="26"/>
        <v>0</v>
      </c>
      <c r="BP27" s="2">
        <f t="shared" si="26"/>
        <v>0</v>
      </c>
      <c r="BQ27" s="2">
        <f t="shared" si="26"/>
        <v>0</v>
      </c>
      <c r="BR27" s="2">
        <f t="shared" si="26"/>
        <v>1.6312725000000001</v>
      </c>
      <c r="BS27" s="2">
        <f t="shared" si="26"/>
        <v>1.6849350000000003</v>
      </c>
      <c r="BT27" s="2">
        <f t="shared" si="26"/>
        <v>1.495395</v>
      </c>
      <c r="BU27" s="2">
        <f t="shared" si="26"/>
        <v>0</v>
      </c>
      <c r="BV27" s="2">
        <f t="shared" si="26"/>
        <v>1.7327250000000003</v>
      </c>
      <c r="BW27" s="2">
        <f t="shared" si="26"/>
        <v>1.3880025</v>
      </c>
      <c r="BX27" s="2">
        <f t="shared" si="26"/>
        <v>1.3498649999999999</v>
      </c>
      <c r="BY27" s="2">
        <f t="shared" si="26"/>
        <v>1.6724474999999999</v>
      </c>
      <c r="BZ27" s="2">
        <f t="shared" si="26"/>
        <v>0</v>
      </c>
      <c r="CA27" s="2">
        <f t="shared" si="26"/>
        <v>0</v>
      </c>
      <c r="CB27" s="2">
        <f t="shared" si="26"/>
        <v>0</v>
      </c>
      <c r="CC27" s="2">
        <f t="shared" si="26"/>
        <v>1.7289450000000002</v>
      </c>
      <c r="CD27" s="2">
        <f t="shared" si="26"/>
        <v>1.7187524999999999</v>
      </c>
      <c r="CE27" s="2">
        <v>1.6503750000000001</v>
      </c>
      <c r="CF27" s="2">
        <f t="shared" ref="CF27:CW27" si="27">CG13</f>
        <v>1.8355275</v>
      </c>
      <c r="CG27" s="2">
        <f t="shared" si="27"/>
        <v>0.70713000000000004</v>
      </c>
      <c r="CH27" s="2">
        <f t="shared" si="27"/>
        <v>1.6364025</v>
      </c>
      <c r="CI27" s="2">
        <f t="shared" si="27"/>
        <v>1.9696499999999999</v>
      </c>
      <c r="CJ27" s="2">
        <f t="shared" si="27"/>
        <v>1.4214825000000002</v>
      </c>
      <c r="CK27" s="2">
        <f t="shared" si="27"/>
        <v>1.6364025</v>
      </c>
      <c r="CL27" s="2">
        <f t="shared" si="27"/>
        <v>0</v>
      </c>
      <c r="CM27" s="2">
        <f t="shared" si="27"/>
        <v>0</v>
      </c>
      <c r="CN27" s="2">
        <f t="shared" si="27"/>
        <v>0</v>
      </c>
      <c r="CO27" s="2">
        <f t="shared" si="27"/>
        <v>0</v>
      </c>
      <c r="CP27" s="2">
        <f t="shared" si="27"/>
        <v>1.568295</v>
      </c>
      <c r="CQ27" s="2">
        <f t="shared" si="27"/>
        <v>1.1788874999999999</v>
      </c>
      <c r="CR27" s="2">
        <f t="shared" si="27"/>
        <v>0</v>
      </c>
      <c r="CS27" s="2">
        <f t="shared" si="27"/>
        <v>2.0973599999999997</v>
      </c>
      <c r="CT27" s="2">
        <f t="shared" si="27"/>
        <v>1.5645150000000001</v>
      </c>
      <c r="CU27" s="2">
        <f t="shared" si="27"/>
        <v>2.5491375000000005</v>
      </c>
      <c r="CV27" s="2">
        <f t="shared" si="27"/>
        <v>0</v>
      </c>
      <c r="CW27" s="2">
        <f t="shared" si="27"/>
        <v>1.6775100000000001</v>
      </c>
    </row>
    <row r="28" spans="5:119" x14ac:dyDescent="0.55000000000000004">
      <c r="F28" t="s">
        <v>7</v>
      </c>
      <c r="G28" s="2">
        <v>5.8741935200000004</v>
      </c>
      <c r="H28" s="2">
        <v>1.9667284000000003</v>
      </c>
      <c r="I28" s="2">
        <v>7.3866582400000009</v>
      </c>
      <c r="J28" s="2">
        <v>2.0049775200000006</v>
      </c>
      <c r="K28" s="2">
        <v>3.5463136800000004</v>
      </c>
      <c r="L28" s="2">
        <v>0.82590040000000009</v>
      </c>
      <c r="M28" s="2">
        <v>2.0420452</v>
      </c>
      <c r="N28" s="2">
        <v>0.41771288000000006</v>
      </c>
      <c r="O28" s="2">
        <v>7.5813743200000001</v>
      </c>
      <c r="P28" s="2">
        <v>2.7258036000000003</v>
      </c>
      <c r="Q28" s="2">
        <v>9.0030896800000004</v>
      </c>
      <c r="R28" s="2">
        <v>2.7410884800000002</v>
      </c>
      <c r="S28" s="2">
        <v>2.13641272</v>
      </c>
      <c r="T28" s="2">
        <v>1.9802411200000001</v>
      </c>
      <c r="U28" s="2">
        <v>1.4268103200000002</v>
      </c>
      <c r="V28" s="2">
        <v>6.0337617600000009</v>
      </c>
      <c r="W28" s="2">
        <v>1.81328888</v>
      </c>
      <c r="X28" s="2">
        <v>1.6836258400000002</v>
      </c>
      <c r="Y28" s="2">
        <v>2.22767896</v>
      </c>
      <c r="Z28" s="2">
        <v>1.3864198400000003</v>
      </c>
      <c r="AA28" s="2">
        <v>2.3055801599999999</v>
      </c>
      <c r="AB28" s="2">
        <v>1.6382142400000002</v>
      </c>
      <c r="AC28" s="2">
        <v>1.71611544</v>
      </c>
      <c r="AD28" s="2">
        <v>3.0800140800000002</v>
      </c>
      <c r="AE28" s="2">
        <v>4.6122679199999999</v>
      </c>
      <c r="AF28" s="2">
        <v>5.80227336</v>
      </c>
      <c r="AG28" s="2">
        <v>1.5299647999999999</v>
      </c>
      <c r="AH28" s="2">
        <f>AI9</f>
        <v>0</v>
      </c>
      <c r="AI28" s="2">
        <f>AJ9</f>
        <v>2.48205776</v>
      </c>
      <c r="AJ28" s="2">
        <v>1.8104091200000001</v>
      </c>
      <c r="AK28" s="2">
        <f>AL9</f>
        <v>0</v>
      </c>
      <c r="AL28" s="2">
        <f>AM9</f>
        <v>3.47468888</v>
      </c>
      <c r="AM28" s="2">
        <v>2.2439237600000004</v>
      </c>
      <c r="AN28" s="2">
        <v>2.1152944800000002</v>
      </c>
      <c r="AO28" s="2">
        <v>0.99624928000000001</v>
      </c>
      <c r="AP28" s="2">
        <v>2.64805008</v>
      </c>
      <c r="AQ28" s="2">
        <v>8.6348496000000008</v>
      </c>
      <c r="AR28" s="2">
        <v>2.3911607199999998</v>
      </c>
      <c r="AS28" s="2">
        <v>1.9547663200000003</v>
      </c>
      <c r="AT28" s="2">
        <f>AU9</f>
        <v>4.9843476799999991</v>
      </c>
      <c r="AU28" s="2">
        <v>4.2531840000000001</v>
      </c>
      <c r="AV28" s="2">
        <v>1.4681607200000002</v>
      </c>
      <c r="AW28" s="2">
        <f>AX9</f>
        <v>9.3315300000000025</v>
      </c>
      <c r="AX28" s="2">
        <v>1.5646695999999998</v>
      </c>
      <c r="AY28" s="2">
        <v>4.6883969600000004</v>
      </c>
      <c r="AZ28" s="2">
        <v>8.1472102400000015</v>
      </c>
      <c r="BA28" s="2">
        <v>13.031726240000003</v>
      </c>
      <c r="BB28" s="2">
        <v>15.787361200000003</v>
      </c>
      <c r="BC28" s="2">
        <v>2.1649888000000006</v>
      </c>
      <c r="BD28" s="2">
        <v>5.678960560000001</v>
      </c>
      <c r="BE28" s="2">
        <v>3.0285476</v>
      </c>
      <c r="BF28" s="2">
        <v>2.7591054400000004</v>
      </c>
      <c r="BG28" s="2">
        <v>6.2362310400000007</v>
      </c>
      <c r="BH28" s="2">
        <v>2.3081645600000003</v>
      </c>
      <c r="BI28" s="2">
        <v>2.1605584000000002</v>
      </c>
      <c r="BJ28" s="2">
        <v>3.20052096</v>
      </c>
      <c r="BK28" s="2">
        <v>2.5330812000000003</v>
      </c>
      <c r="BL28" s="2">
        <v>2.5728071200000002</v>
      </c>
      <c r="BM28" s="2">
        <v>2.6015308800000003</v>
      </c>
      <c r="BN28" s="2">
        <f t="shared" ref="BN28:CD28" si="28">BO9</f>
        <v>0</v>
      </c>
      <c r="BO28" s="2">
        <f t="shared" si="28"/>
        <v>0</v>
      </c>
      <c r="BP28" s="2">
        <f t="shared" si="28"/>
        <v>0</v>
      </c>
      <c r="BQ28" s="2">
        <f t="shared" si="28"/>
        <v>0</v>
      </c>
      <c r="BR28" s="2">
        <f t="shared" si="28"/>
        <v>1.5672540000000001</v>
      </c>
      <c r="BS28" s="2">
        <f t="shared" si="28"/>
        <v>0.91989871999999995</v>
      </c>
      <c r="BT28" s="2">
        <f t="shared" si="28"/>
        <v>6.5712431200000001</v>
      </c>
      <c r="BU28" s="2">
        <f t="shared" si="28"/>
        <v>0</v>
      </c>
      <c r="BV28" s="2">
        <f t="shared" si="28"/>
        <v>2.9250239200000006</v>
      </c>
      <c r="BW28" s="2">
        <f t="shared" si="28"/>
        <v>6.2970752000000001</v>
      </c>
      <c r="BX28" s="2">
        <f t="shared" si="28"/>
        <v>8.8410847200000013</v>
      </c>
      <c r="BY28" s="2">
        <f t="shared" si="28"/>
        <v>4.52026328</v>
      </c>
      <c r="BZ28" s="2">
        <f t="shared" si="28"/>
        <v>0</v>
      </c>
      <c r="CA28" s="2">
        <f t="shared" si="28"/>
        <v>0</v>
      </c>
      <c r="CB28" s="2">
        <f t="shared" si="28"/>
        <v>0</v>
      </c>
      <c r="CC28" s="2">
        <f t="shared" si="28"/>
        <v>1.5981191200000002</v>
      </c>
      <c r="CD28" s="2">
        <f t="shared" si="28"/>
        <v>12.401871040000003</v>
      </c>
      <c r="CE28" s="2">
        <v>2.6750016800000003</v>
      </c>
      <c r="CF28" s="2">
        <f t="shared" ref="CF28:CW28" si="29">CG9</f>
        <v>1.7508202400000001</v>
      </c>
      <c r="CG28" s="2">
        <f t="shared" si="29"/>
        <v>0.61080448000000009</v>
      </c>
      <c r="CH28" s="2">
        <f t="shared" si="29"/>
        <v>14.41681696</v>
      </c>
      <c r="CI28" s="2">
        <f t="shared" si="29"/>
        <v>8.237590400000002</v>
      </c>
      <c r="CJ28" s="2">
        <f t="shared" si="29"/>
        <v>6.1750915200000005</v>
      </c>
      <c r="CK28" s="2">
        <f t="shared" si="29"/>
        <v>8.1848686400000012</v>
      </c>
      <c r="CL28" s="2">
        <f t="shared" si="29"/>
        <v>0</v>
      </c>
      <c r="CM28" s="2">
        <f t="shared" si="29"/>
        <v>0</v>
      </c>
      <c r="CN28" s="2">
        <f t="shared" si="29"/>
        <v>0</v>
      </c>
      <c r="CO28" s="2">
        <f t="shared" si="29"/>
        <v>0</v>
      </c>
      <c r="CP28" s="2">
        <f t="shared" si="29"/>
        <v>2.7419745600000005</v>
      </c>
      <c r="CQ28" s="2">
        <f t="shared" si="29"/>
        <v>9.1927846399999993</v>
      </c>
      <c r="CR28" s="2">
        <f t="shared" si="29"/>
        <v>0</v>
      </c>
      <c r="CS28" s="2">
        <f t="shared" si="29"/>
        <v>6.59605336</v>
      </c>
      <c r="CT28" s="2">
        <f t="shared" si="29"/>
        <v>4.8070578399999997</v>
      </c>
      <c r="CU28" s="2">
        <f t="shared" si="29"/>
        <v>4.32325816</v>
      </c>
      <c r="CV28" s="2">
        <f t="shared" si="29"/>
        <v>0</v>
      </c>
      <c r="CW28" s="2">
        <f t="shared" si="29"/>
        <v>2.2590609600000007</v>
      </c>
    </row>
    <row r="29" spans="5:119" x14ac:dyDescent="0.55000000000000004">
      <c r="F29" t="s">
        <v>8</v>
      </c>
      <c r="G29" s="2">
        <v>3.3072916799999996</v>
      </c>
      <c r="H29" s="2">
        <v>0.98373031999999994</v>
      </c>
      <c r="I29" s="2">
        <v>3.74530056</v>
      </c>
      <c r="J29" s="2">
        <v>1.0239352400000001</v>
      </c>
      <c r="K29" s="2">
        <v>1.3522337999999998</v>
      </c>
      <c r="L29" s="2">
        <v>0.45998423999999999</v>
      </c>
      <c r="M29" s="2">
        <v>1.1196612400000001</v>
      </c>
      <c r="N29" s="2">
        <v>0.22283348</v>
      </c>
      <c r="O29" s="2">
        <v>4.2696293200000008</v>
      </c>
      <c r="P29" s="2">
        <v>1.4034263999999999</v>
      </c>
      <c r="Q29" s="2">
        <v>4.4378573600000006</v>
      </c>
      <c r="R29" s="2">
        <v>1.1969911999999998</v>
      </c>
      <c r="S29" s="2">
        <v>0.97981804000000006</v>
      </c>
      <c r="T29" s="2">
        <v>1.0431636799999999</v>
      </c>
      <c r="U29" s="2">
        <v>1.6084465199999998</v>
      </c>
      <c r="V29" s="2">
        <v>3.8635846000000003</v>
      </c>
      <c r="W29" s="2">
        <v>0.88958587999999994</v>
      </c>
      <c r="X29" s="2">
        <v>1.00229284</v>
      </c>
      <c r="Y29" s="2">
        <v>1.4133319599999998</v>
      </c>
      <c r="Z29" s="2">
        <v>1.0541513600000001</v>
      </c>
      <c r="AA29" s="2">
        <v>1.40059624</v>
      </c>
      <c r="AB29" s="2">
        <v>0.8110905599999999</v>
      </c>
      <c r="AC29" s="2">
        <v>1.1568695199999999</v>
      </c>
      <c r="AD29" s="2">
        <v>1.51688252</v>
      </c>
      <c r="AE29" s="2">
        <v>1.9211791999999999</v>
      </c>
      <c r="AF29" s="2">
        <v>2.1993672799999997</v>
      </c>
      <c r="AG29" s="2">
        <v>0.58076548000000006</v>
      </c>
      <c r="AH29" s="2">
        <f>AI11</f>
        <v>0</v>
      </c>
      <c r="AI29" s="2">
        <f>AJ11</f>
        <v>1.39993032</v>
      </c>
      <c r="AJ29" s="2">
        <v>0.52349635999999999</v>
      </c>
      <c r="AK29" s="2">
        <f>AL11</f>
        <v>0</v>
      </c>
      <c r="AL29" s="2">
        <f>AM11</f>
        <v>1.6632184400000001</v>
      </c>
      <c r="AM29" s="2">
        <v>1.32443164</v>
      </c>
      <c r="AN29" s="2">
        <v>8.1687573999999987</v>
      </c>
      <c r="AO29" s="2">
        <v>0</v>
      </c>
      <c r="AP29" s="2">
        <v>1.4444637199999999</v>
      </c>
      <c r="AQ29" s="2">
        <v>3.1769378399999999</v>
      </c>
      <c r="AR29" s="2">
        <v>1.3643868399999999</v>
      </c>
      <c r="AS29" s="2">
        <v>7.8935659600000001</v>
      </c>
      <c r="AT29" s="2">
        <f>AU11</f>
        <v>2.0167387200000002</v>
      </c>
      <c r="AU29" s="2">
        <v>0.75290579999999996</v>
      </c>
      <c r="AV29" s="2">
        <v>1.0955216400000001</v>
      </c>
      <c r="AW29" s="2">
        <f>AX11</f>
        <v>3.0014679200000001</v>
      </c>
      <c r="AX29" s="2">
        <v>0.93536787999999993</v>
      </c>
      <c r="AY29" s="2">
        <v>2.3459529199999998</v>
      </c>
      <c r="AZ29" s="2">
        <v>2.60366396</v>
      </c>
      <c r="BA29" s="2">
        <v>3.3082073199999993</v>
      </c>
      <c r="BB29" s="2">
        <v>3.2567649999999997</v>
      </c>
      <c r="BC29" s="2">
        <v>1.2551759600000001</v>
      </c>
      <c r="BD29" s="2">
        <v>3.3668082799999999</v>
      </c>
      <c r="BE29" s="2">
        <v>1.2887216799999999</v>
      </c>
      <c r="BF29" s="2">
        <v>1.2224626399999998</v>
      </c>
      <c r="BG29" s="2">
        <v>2.2607983999999997</v>
      </c>
      <c r="BH29" s="2">
        <v>1.33333832</v>
      </c>
      <c r="BI29" s="2">
        <v>1.2829781199999999</v>
      </c>
      <c r="BJ29" s="2">
        <v>1.60586608</v>
      </c>
      <c r="BK29" s="2">
        <v>1.4944077199999997</v>
      </c>
      <c r="BL29" s="2">
        <v>1.0137799599999999</v>
      </c>
      <c r="BM29" s="2">
        <v>1.2268743599999998</v>
      </c>
      <c r="BN29" s="2">
        <f t="shared" ref="BN29:CD29" si="30">BO11</f>
        <v>0</v>
      </c>
      <c r="BO29" s="2">
        <f t="shared" si="30"/>
        <v>0</v>
      </c>
      <c r="BP29" s="2">
        <f t="shared" si="30"/>
        <v>0</v>
      </c>
      <c r="BQ29" s="2">
        <f t="shared" si="30"/>
        <v>0</v>
      </c>
      <c r="BR29" s="2">
        <f t="shared" si="30"/>
        <v>0.95817563999999988</v>
      </c>
      <c r="BS29" s="2">
        <f t="shared" si="30"/>
        <v>0.58209732000000003</v>
      </c>
      <c r="BT29" s="2">
        <f t="shared" si="30"/>
        <v>1.9925158799999998</v>
      </c>
      <c r="BU29" s="2">
        <f t="shared" si="30"/>
        <v>0</v>
      </c>
      <c r="BV29" s="2">
        <f t="shared" si="30"/>
        <v>1.5266215999999999</v>
      </c>
      <c r="BW29" s="2">
        <f t="shared" si="30"/>
        <v>1.9449025999999998</v>
      </c>
      <c r="BX29" s="2">
        <f t="shared" si="30"/>
        <v>2.2642944799999998</v>
      </c>
      <c r="BY29" s="2">
        <f t="shared" si="30"/>
        <v>1.8525061999999999</v>
      </c>
      <c r="BZ29" s="2">
        <f t="shared" si="30"/>
        <v>0</v>
      </c>
      <c r="CA29" s="2">
        <f t="shared" si="30"/>
        <v>0</v>
      </c>
      <c r="CB29" s="2">
        <f t="shared" si="30"/>
        <v>0</v>
      </c>
      <c r="CC29" s="2">
        <f t="shared" si="30"/>
        <v>0.97965155999999998</v>
      </c>
      <c r="CD29" s="2">
        <f t="shared" si="30"/>
        <v>0.89408083999999999</v>
      </c>
      <c r="CE29" s="2">
        <v>1.01519504</v>
      </c>
      <c r="CF29" s="2">
        <f t="shared" ref="CF29:CW29" si="31">CG11</f>
        <v>1.0733797999999999</v>
      </c>
      <c r="CG29" s="2">
        <f t="shared" si="31"/>
        <v>0.39289279999999999</v>
      </c>
      <c r="CH29" s="2">
        <f t="shared" si="31"/>
        <v>2.1541679599999997</v>
      </c>
      <c r="CI29" s="2">
        <f t="shared" si="31"/>
        <v>2.3728394399999999</v>
      </c>
      <c r="CJ29" s="2">
        <f t="shared" si="31"/>
        <v>1.6493173599999997</v>
      </c>
      <c r="CK29" s="2">
        <f t="shared" si="31"/>
        <v>2.1541679599999997</v>
      </c>
      <c r="CL29" s="2">
        <f t="shared" si="31"/>
        <v>0</v>
      </c>
      <c r="CM29" s="2">
        <f t="shared" si="31"/>
        <v>0</v>
      </c>
      <c r="CN29" s="2">
        <f t="shared" si="31"/>
        <v>0</v>
      </c>
      <c r="CO29" s="2">
        <f t="shared" si="31"/>
        <v>0</v>
      </c>
      <c r="CP29" s="2">
        <f t="shared" si="31"/>
        <v>1.2630837599999998</v>
      </c>
      <c r="CQ29" s="2">
        <f t="shared" si="31"/>
        <v>2.1177920800000001</v>
      </c>
      <c r="CR29" s="2">
        <f t="shared" si="31"/>
        <v>0</v>
      </c>
      <c r="CS29" s="2">
        <f t="shared" si="31"/>
        <v>2.0690134399999995</v>
      </c>
      <c r="CT29" s="2">
        <f t="shared" si="31"/>
        <v>1.62642636</v>
      </c>
      <c r="CU29" s="2">
        <f t="shared" si="31"/>
        <v>1.7214031999999997</v>
      </c>
      <c r="CV29" s="2">
        <f t="shared" si="31"/>
        <v>0</v>
      </c>
      <c r="CW29" s="2">
        <f t="shared" si="31"/>
        <v>1.11067132</v>
      </c>
    </row>
    <row r="30" spans="5:119" x14ac:dyDescent="0.55000000000000004">
      <c r="F30" t="s">
        <v>22</v>
      </c>
      <c r="G30" s="2">
        <v>1.1506725581102364</v>
      </c>
      <c r="H30" s="2">
        <v>0.75873826866141736</v>
      </c>
      <c r="I30" s="2">
        <v>1.5011171981102363</v>
      </c>
      <c r="J30" s="2">
        <v>0.74878469480314969</v>
      </c>
      <c r="K30" s="2">
        <v>0.80436702803149618</v>
      </c>
      <c r="L30" s="2">
        <v>0.37114018960629924</v>
      </c>
      <c r="M30" s="2">
        <v>0.58174204440944888</v>
      </c>
      <c r="N30" s="2">
        <v>0.26046827433070863</v>
      </c>
      <c r="O30" s="2">
        <v>1.5345257281889766</v>
      </c>
      <c r="P30" s="2">
        <v>1.1874317962204723</v>
      </c>
      <c r="Q30" s="2">
        <v>1.9170977451968507</v>
      </c>
      <c r="R30" s="2">
        <v>1.0702555653543309</v>
      </c>
      <c r="S30" s="2">
        <v>0.86379282047244088</v>
      </c>
      <c r="T30" s="2">
        <v>0.76179332598425198</v>
      </c>
      <c r="U30" s="2">
        <v>0.54931901669291339</v>
      </c>
      <c r="V30" s="2">
        <v>1.1451537448818898</v>
      </c>
      <c r="W30" s="2">
        <v>0.73350940818897647</v>
      </c>
      <c r="X30" s="2">
        <v>0.65664022393700794</v>
      </c>
      <c r="Y30" s="2">
        <v>0.90459261826771664</v>
      </c>
      <c r="Z30" s="2">
        <v>0.83442485007874012</v>
      </c>
      <c r="AA30" s="2">
        <v>0.93583304314960625</v>
      </c>
      <c r="AB30" s="2">
        <v>0.72601959023622042</v>
      </c>
      <c r="AC30" s="2">
        <v>0.71695296850393708</v>
      </c>
      <c r="AD30" s="2">
        <v>1.1271190516535432</v>
      </c>
      <c r="AE30" s="2">
        <v>1.5495053640944882</v>
      </c>
      <c r="AF30" s="2">
        <v>1.6805771782677166</v>
      </c>
      <c r="AG30" s="2">
        <v>0.63318526771653549</v>
      </c>
      <c r="AH30" s="2">
        <f>AI17</f>
        <v>0</v>
      </c>
      <c r="AI30" s="2">
        <f>AJ17</f>
        <v>0.9251896176377955</v>
      </c>
      <c r="AJ30" s="2">
        <v>0.64422289417322842</v>
      </c>
      <c r="AK30" s="2">
        <f>AL17</f>
        <v>0</v>
      </c>
      <c r="AL30" s="2">
        <f>AM17</f>
        <v>1.1827999351181104</v>
      </c>
      <c r="AM30" s="2">
        <v>0.72769494425196868</v>
      </c>
      <c r="AN30" s="2">
        <v>0.75863971842519695</v>
      </c>
      <c r="AO30" s="2">
        <v>0.49846709480314971</v>
      </c>
      <c r="AP30" s="2">
        <v>1.1688058015748033</v>
      </c>
      <c r="AQ30" s="2">
        <v>2.8494815300787404</v>
      </c>
      <c r="AR30" s="2">
        <v>0.82939878803149625</v>
      </c>
      <c r="AS30" s="2">
        <v>0.76425708188976371</v>
      </c>
      <c r="AT30" s="2">
        <f>AU17</f>
        <v>2.2924755949606306</v>
      </c>
      <c r="AU30" s="2">
        <v>1.4202074541732284</v>
      </c>
      <c r="AV30" s="2">
        <v>0.65772427653543319</v>
      </c>
      <c r="AW30" s="2">
        <f>AX17</f>
        <v>3.0237183477165357</v>
      </c>
      <c r="AX30" s="2">
        <v>0.5291162182677166</v>
      </c>
      <c r="AY30" s="2">
        <v>1.8935442387401575</v>
      </c>
      <c r="AZ30" s="2">
        <v>1.9183788982677166</v>
      </c>
      <c r="BA30" s="2">
        <v>1.8937413392125984</v>
      </c>
      <c r="BB30" s="2">
        <v>3.8925372302362211</v>
      </c>
      <c r="BC30" s="2">
        <v>0.60953321102362212</v>
      </c>
      <c r="BD30" s="2">
        <v>0.92686497165354342</v>
      </c>
      <c r="BE30" s="2">
        <v>0.625991100472441</v>
      </c>
      <c r="BF30" s="2">
        <v>0.6404779851968504</v>
      </c>
      <c r="BG30" s="2">
        <v>1.7390174683464568</v>
      </c>
      <c r="BH30" s="2">
        <v>0.92124760818897644</v>
      </c>
      <c r="BI30" s="2">
        <v>0.69172410803149609</v>
      </c>
      <c r="BJ30" s="2">
        <v>1.1761970692913386</v>
      </c>
      <c r="BK30" s="2">
        <v>0.8429001703937008</v>
      </c>
      <c r="BL30" s="2">
        <v>0.79815836314960642</v>
      </c>
      <c r="BM30" s="2">
        <v>0</v>
      </c>
      <c r="BN30" s="2">
        <f t="shared" ref="BN30:CD30" si="32">BO17</f>
        <v>0</v>
      </c>
      <c r="BO30" s="2">
        <f t="shared" si="32"/>
        <v>0</v>
      </c>
      <c r="BP30" s="2">
        <f t="shared" si="32"/>
        <v>0</v>
      </c>
      <c r="BQ30" s="2">
        <f t="shared" si="32"/>
        <v>0</v>
      </c>
      <c r="BR30" s="2">
        <f t="shared" si="32"/>
        <v>0.56695950897637803</v>
      </c>
      <c r="BS30" s="2">
        <f t="shared" si="32"/>
        <v>0.42406166645669291</v>
      </c>
      <c r="BT30" s="2">
        <f t="shared" si="32"/>
        <v>1.9801698963779528</v>
      </c>
      <c r="BU30" s="2">
        <f t="shared" si="32"/>
        <v>0</v>
      </c>
      <c r="BV30" s="2">
        <f t="shared" si="32"/>
        <v>0.98254585511811032</v>
      </c>
      <c r="BW30" s="2">
        <f t="shared" si="32"/>
        <v>1.9316831801574805</v>
      </c>
      <c r="BX30" s="2">
        <f t="shared" si="32"/>
        <v>2.6298130535433071</v>
      </c>
      <c r="BY30" s="2">
        <f t="shared" si="32"/>
        <v>1.3504338869291339</v>
      </c>
      <c r="BZ30" s="2">
        <f t="shared" si="32"/>
        <v>0</v>
      </c>
      <c r="CA30" s="2">
        <f t="shared" si="32"/>
        <v>0</v>
      </c>
      <c r="CB30" s="2">
        <f t="shared" si="32"/>
        <v>0</v>
      </c>
      <c r="CC30" s="2">
        <f t="shared" si="32"/>
        <v>0.82043071653543298</v>
      </c>
      <c r="CD30" s="2">
        <f t="shared" si="32"/>
        <v>0.45372528755905511</v>
      </c>
      <c r="CE30" s="2">
        <v>0.61347522047244107</v>
      </c>
      <c r="CF30" s="2">
        <f t="shared" ref="CF30:CW30" si="33">CG17</f>
        <v>0.67851837637795276</v>
      </c>
      <c r="CG30" s="2">
        <f t="shared" si="33"/>
        <v>0.29831156503937006</v>
      </c>
      <c r="CH30" s="2">
        <f t="shared" si="33"/>
        <v>2.1297691549606297</v>
      </c>
      <c r="CI30" s="2">
        <f t="shared" si="33"/>
        <v>1.8800428563779528</v>
      </c>
      <c r="CJ30" s="2">
        <f t="shared" si="33"/>
        <v>1.5084099155905513</v>
      </c>
      <c r="CK30" s="2">
        <f t="shared" si="33"/>
        <v>1.6360324714960632</v>
      </c>
      <c r="CL30" s="2">
        <f t="shared" si="33"/>
        <v>0</v>
      </c>
      <c r="CM30" s="2">
        <f t="shared" si="33"/>
        <v>0</v>
      </c>
      <c r="CN30" s="2">
        <f t="shared" si="33"/>
        <v>0</v>
      </c>
      <c r="CO30" s="2">
        <f t="shared" si="33"/>
        <v>0</v>
      </c>
      <c r="CP30" s="2">
        <f t="shared" si="33"/>
        <v>0.80377572661417329</v>
      </c>
      <c r="CQ30" s="2">
        <f t="shared" si="33"/>
        <v>1.8728486891338585</v>
      </c>
      <c r="CR30" s="2">
        <f t="shared" si="33"/>
        <v>0</v>
      </c>
      <c r="CS30" s="2">
        <f t="shared" si="33"/>
        <v>1.5121548245669292</v>
      </c>
      <c r="CT30" s="2">
        <f t="shared" si="33"/>
        <v>1.3704395848818898</v>
      </c>
      <c r="CU30" s="2">
        <f t="shared" si="33"/>
        <v>0.83462195055118127</v>
      </c>
      <c r="CV30" s="2">
        <f t="shared" si="33"/>
        <v>0</v>
      </c>
      <c r="CW30" s="2">
        <f t="shared" si="33"/>
        <v>0.87611159999999999</v>
      </c>
    </row>
    <row r="31" spans="5:119" x14ac:dyDescent="0.55000000000000004">
      <c r="F31" t="s">
        <v>21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v>17.931800374556389</v>
      </c>
      <c r="R31" s="2"/>
      <c r="S31" s="2"/>
      <c r="T31" s="2">
        <v>9.1737536016698229</v>
      </c>
      <c r="U31" s="2"/>
      <c r="V31" s="2"/>
      <c r="W31" s="2"/>
      <c r="X31" s="2"/>
      <c r="Y31" s="2">
        <f>Z21</f>
        <v>5.1828783133374863</v>
      </c>
      <c r="Z31" s="2">
        <v>11.143555409921358</v>
      </c>
      <c r="AA31" s="2">
        <v>10.030945770430826</v>
      </c>
      <c r="AB31" s="2">
        <v>9.6671151621095053</v>
      </c>
      <c r="AC31" s="2">
        <v>8.8947210297681707</v>
      </c>
      <c r="AD31" s="2">
        <v>6.0713143784703369</v>
      </c>
      <c r="AE31" s="2">
        <f t="shared" ref="AE31:AK31" si="34">AF21</f>
        <v>8.1167522425718133</v>
      </c>
      <c r="AF31" s="2">
        <v>11.755398606176399</v>
      </c>
      <c r="AG31" s="2">
        <f t="shared" si="34"/>
        <v>-10.341277487716537</v>
      </c>
      <c r="AH31" s="2">
        <f t="shared" si="34"/>
        <v>9.7283437654319602</v>
      </c>
      <c r="AI31" s="2">
        <f t="shared" si="34"/>
        <v>5.3585045122384543</v>
      </c>
      <c r="AJ31" s="2">
        <v>8.2771995085426937</v>
      </c>
      <c r="AK31" s="2">
        <f t="shared" si="34"/>
        <v>34.38271604938268</v>
      </c>
      <c r="AL31" s="2">
        <f>AM21</f>
        <v>-11.372144600796943</v>
      </c>
      <c r="AM31" s="2">
        <v>11.936826184636587</v>
      </c>
      <c r="AN31" s="2">
        <v>6.9545588467600794</v>
      </c>
      <c r="AO31" s="2">
        <v>11.66102380445623</v>
      </c>
      <c r="AP31" s="2">
        <v>13.379400307313759</v>
      </c>
      <c r="AQ31" s="2">
        <v>33.279853332884102</v>
      </c>
      <c r="AR31" s="2">
        <v>13.49560920505462</v>
      </c>
      <c r="AS31" s="2">
        <v>7.3199504968757658</v>
      </c>
      <c r="AT31" s="2">
        <f>AU21</f>
        <v>11.745531430965698</v>
      </c>
      <c r="AU31" s="2">
        <f>AV21</f>
        <v>12.260916192246597</v>
      </c>
      <c r="AV31" s="2">
        <f>AW21</f>
        <v>7.8027754084028906</v>
      </c>
      <c r="AW31" s="2">
        <f>AX21</f>
        <v>-24.074364323271737</v>
      </c>
      <c r="AX31" s="2">
        <f>AY21</f>
        <v>11.555248493090138</v>
      </c>
      <c r="AY31" s="2">
        <v>17.839328535580783</v>
      </c>
      <c r="AZ31" s="2"/>
      <c r="BA31" s="2">
        <v>15.373270532886025</v>
      </c>
      <c r="BB31" s="2">
        <v>26.300103884578974</v>
      </c>
      <c r="BC31" s="2">
        <v>7.8140348235442936</v>
      </c>
      <c r="BD31" s="2">
        <v>-56.269795891653544</v>
      </c>
      <c r="BE31" s="2">
        <v>-29.866012880472439</v>
      </c>
      <c r="BF31" s="2">
        <v>-25.700109805196849</v>
      </c>
      <c r="BG31" s="2">
        <v>16.172771301530126</v>
      </c>
      <c r="BH31" s="2">
        <v>-2.0564713783124517</v>
      </c>
      <c r="BI31" s="2">
        <v>7.619459006043062</v>
      </c>
      <c r="BJ31" s="2">
        <v>6.6163071089801377</v>
      </c>
      <c r="BK31" s="2">
        <v>11.332410269112355</v>
      </c>
      <c r="BL31" s="2">
        <v>8.833927488949108</v>
      </c>
      <c r="BM31" s="2">
        <v>0</v>
      </c>
      <c r="BN31" s="2">
        <f t="shared" ref="BN31:CD31" si="35">BO21</f>
        <v>17.271102530864219</v>
      </c>
      <c r="BO31" s="2">
        <f t="shared" si="35"/>
        <v>11.261564351851691</v>
      </c>
      <c r="BP31" s="2">
        <f t="shared" si="35"/>
        <v>12.617861481481423</v>
      </c>
      <c r="BQ31" s="2">
        <f t="shared" si="35"/>
        <v>27.377296049382679</v>
      </c>
      <c r="BR31" s="2">
        <f t="shared" si="35"/>
        <v>6.3638021465794345</v>
      </c>
      <c r="BS31" s="2">
        <f t="shared" si="35"/>
        <v>13.35485760909912</v>
      </c>
      <c r="BT31" s="2">
        <f t="shared" si="35"/>
        <v>11.009680997942652</v>
      </c>
      <c r="BU31" s="2">
        <f t="shared" si="35"/>
        <v>14.417416450617049</v>
      </c>
      <c r="BV31" s="2">
        <f t="shared" si="35"/>
        <v>13.361129425869549</v>
      </c>
      <c r="BW31" s="2">
        <f t="shared" si="35"/>
        <v>24.593824841570907</v>
      </c>
      <c r="BX31" s="2">
        <f t="shared" si="35"/>
        <v>25.546461363987547</v>
      </c>
      <c r="BY31" s="2">
        <f t="shared" si="35"/>
        <v>10.28599583652737</v>
      </c>
      <c r="BZ31" s="2">
        <f t="shared" si="35"/>
        <v>-13.595389444444187</v>
      </c>
      <c r="CA31" s="2">
        <f t="shared" si="35"/>
        <v>19.874688055555811</v>
      </c>
      <c r="CB31" s="2">
        <f t="shared" si="35"/>
        <v>-4.4099894444441858</v>
      </c>
      <c r="CC31" s="2">
        <f t="shared" si="35"/>
        <v>12.925746207909008</v>
      </c>
      <c r="CD31" s="2">
        <f t="shared" si="35"/>
        <v>-15.545970796200862</v>
      </c>
      <c r="CE31" s="2">
        <v>22.923887564466309</v>
      </c>
      <c r="CF31" s="2">
        <f>CG21</f>
        <v>34.820360057943034</v>
      </c>
      <c r="CG31" s="2">
        <f>CH21</f>
        <v>48.56043961347914</v>
      </c>
      <c r="CH31" s="2">
        <f>CI21</f>
        <v>17.928771016396986</v>
      </c>
      <c r="CI31" s="2">
        <f>CJ21</f>
        <v>14.598171510782592</v>
      </c>
      <c r="CJ31" s="2">
        <f t="shared" ref="CJ31:CW31" si="36">CK21</f>
        <v>12.737014599470989</v>
      </c>
      <c r="CK31" s="2">
        <f t="shared" si="36"/>
        <v>11.115368872948522</v>
      </c>
      <c r="CL31" s="2">
        <f t="shared" si="36"/>
        <v>19.826112191358195</v>
      </c>
      <c r="CM31" s="2">
        <f t="shared" si="36"/>
        <v>-23.435987808641805</v>
      </c>
      <c r="CN31" s="2">
        <f t="shared" si="36"/>
        <v>-10.419220308641801</v>
      </c>
      <c r="CO31" s="2">
        <f t="shared" si="36"/>
        <v>6.5199046913581959</v>
      </c>
      <c r="CP31" s="2">
        <f t="shared" si="36"/>
        <v>10.421484904003432</v>
      </c>
      <c r="CQ31" s="2">
        <f t="shared" si="36"/>
        <v>25.916957771853788</v>
      </c>
      <c r="CR31" s="2">
        <f t="shared" si="36"/>
        <v>8.9483521913581949</v>
      </c>
      <c r="CS31" s="2">
        <f t="shared" si="36"/>
        <v>-12.241705913208726</v>
      </c>
      <c r="CT31" s="2">
        <f t="shared" si="36"/>
        <v>-21.47504183352369</v>
      </c>
      <c r="CU31" s="2">
        <f t="shared" si="36"/>
        <v>18.228268973399864</v>
      </c>
      <c r="CV31" s="2">
        <f t="shared" si="36"/>
        <v>28.945496327160491</v>
      </c>
      <c r="CW31" s="2">
        <f t="shared" si="36"/>
        <v>15.774039768148146</v>
      </c>
    </row>
    <row r="32" spans="5:119" x14ac:dyDescent="0.55000000000000004">
      <c r="G32" t="s">
        <v>18</v>
      </c>
      <c r="H32" t="s">
        <v>2</v>
      </c>
      <c r="I32" t="s">
        <v>12</v>
      </c>
      <c r="J32" t="s">
        <v>24</v>
      </c>
      <c r="K32" t="s">
        <v>7</v>
      </c>
      <c r="L32" t="s">
        <v>8</v>
      </c>
      <c r="M32" t="s">
        <v>22</v>
      </c>
      <c r="N32" t="s">
        <v>21</v>
      </c>
      <c r="O32" s="24" t="s">
        <v>34</v>
      </c>
      <c r="Q32" s="24" t="s">
        <v>38</v>
      </c>
      <c r="R32" t="s">
        <v>39</v>
      </c>
      <c r="S32" t="s">
        <v>35</v>
      </c>
      <c r="T32" t="s">
        <v>36</v>
      </c>
      <c r="V32" t="s">
        <v>147</v>
      </c>
    </row>
    <row r="33" spans="2:35" x14ac:dyDescent="0.55000000000000004">
      <c r="B33" t="s">
        <v>11</v>
      </c>
      <c r="C33">
        <f>2*H39/100*1000</f>
        <v>85.866750000000025</v>
      </c>
      <c r="D33" t="s">
        <v>37</v>
      </c>
      <c r="E33" s="2" t="s">
        <v>9</v>
      </c>
      <c r="F33" s="2" t="s">
        <v>16</v>
      </c>
      <c r="G33" s="2">
        <f>100-(9.1561-9.0956)/0.324*100</f>
        <v>81.327160493826824</v>
      </c>
      <c r="H33" s="2">
        <v>39.331642499999994</v>
      </c>
      <c r="I33" s="2">
        <v>3.6727258999999997</v>
      </c>
      <c r="J33" s="2">
        <v>2.8212299999999999</v>
      </c>
      <c r="K33" s="2">
        <v>5.8741935200000004</v>
      </c>
      <c r="L33" s="2">
        <v>3.3072916799999996</v>
      </c>
      <c r="M33" s="2">
        <v>1.1506725581102364</v>
      </c>
      <c r="N33" s="2">
        <v>25.1694043357166</v>
      </c>
      <c r="O33" s="2">
        <v>50</v>
      </c>
      <c r="P33" s="2">
        <f>2*H33/100*1000-$C$33</f>
        <v>700.76609999999982</v>
      </c>
      <c r="Q33" s="2">
        <v>1027</v>
      </c>
      <c r="R33">
        <f>P33/O33/Q33*1000</f>
        <v>13.64685686465433</v>
      </c>
      <c r="V33">
        <f>(0.002*H33-$H$40*0.002)/100/0.000357</f>
        <v>2.1644092436974782</v>
      </c>
    </row>
    <row r="34" spans="2:35" x14ac:dyDescent="0.55000000000000004">
      <c r="C34">
        <f>2*H40/100*1000</f>
        <v>13.938750000000001</v>
      </c>
      <c r="D34" t="s">
        <v>37</v>
      </c>
      <c r="E34" s="2"/>
      <c r="F34" s="2" t="s">
        <v>17</v>
      </c>
      <c r="G34" s="22">
        <f>100-(9.3372-9.0998)/0.324*100</f>
        <v>26.728395061728648</v>
      </c>
      <c r="H34" s="22">
        <v>11.449282499999999</v>
      </c>
      <c r="I34" s="22">
        <v>0.68769525999999992</v>
      </c>
      <c r="J34" s="22">
        <v>1.7029575000000001</v>
      </c>
      <c r="K34" s="22">
        <v>1.9667284000000003</v>
      </c>
      <c r="L34" s="22">
        <v>0.98373031999999994</v>
      </c>
      <c r="M34" s="22">
        <v>0.75873826866141736</v>
      </c>
      <c r="N34" s="22">
        <v>9.1792628130672327</v>
      </c>
      <c r="O34" s="22">
        <v>50</v>
      </c>
      <c r="P34" s="22">
        <f>2*H34/100*1000-$C$34</f>
        <v>215.04689999999999</v>
      </c>
      <c r="Q34" s="22">
        <v>1011</v>
      </c>
      <c r="R34" s="23">
        <f t="shared" ref="R34:R93" si="37">P34/O34/Q34*1000</f>
        <v>4.2541424332344215</v>
      </c>
      <c r="V34" s="23">
        <f t="shared" ref="V34:V71" si="38">(0.002*H34-$H$40*0.002)/100/0.000357</f>
        <v>0.60237226890756301</v>
      </c>
    </row>
    <row r="35" spans="2:35" x14ac:dyDescent="0.55000000000000004">
      <c r="E35" s="2" t="s">
        <v>10</v>
      </c>
      <c r="F35" s="2" t="s">
        <v>16</v>
      </c>
      <c r="G35" s="2">
        <f>100-(9.109-9.0928)/0.324*100</f>
        <v>95.000000000000142</v>
      </c>
      <c r="H35" s="2">
        <v>55.038622500000002</v>
      </c>
      <c r="I35" s="2">
        <v>0.99815105999999987</v>
      </c>
      <c r="J35" s="2">
        <v>2.493045</v>
      </c>
      <c r="K35" s="2">
        <v>7.3866582400000009</v>
      </c>
      <c r="L35" s="2">
        <v>3.74530056</v>
      </c>
      <c r="M35" s="2">
        <v>1.5011171981102363</v>
      </c>
      <c r="N35" s="2">
        <v>23.837105441889904</v>
      </c>
      <c r="O35" s="2">
        <v>29.6</v>
      </c>
      <c r="P35" s="2">
        <f>2*H35/100*1000-$C$33</f>
        <v>1014.9056999999999</v>
      </c>
      <c r="Q35" s="2">
        <v>1030</v>
      </c>
      <c r="R35">
        <f>P35/O35/Q35*1000</f>
        <v>33.288693912358958</v>
      </c>
      <c r="V35">
        <f t="shared" si="38"/>
        <v>3.044352100840336</v>
      </c>
    </row>
    <row r="36" spans="2:35" x14ac:dyDescent="0.55000000000000004">
      <c r="E36" s="2"/>
      <c r="F36" s="2" t="s">
        <v>17</v>
      </c>
      <c r="G36" s="22">
        <f>100-(9.3242-9.0986)/0.324*100</f>
        <v>30.370370370370367</v>
      </c>
      <c r="H36" s="26">
        <v>13.284067499999999</v>
      </c>
      <c r="I36" s="22">
        <v>0.39270593999999992</v>
      </c>
      <c r="J36" s="22">
        <v>1.5048450000000002</v>
      </c>
      <c r="K36" s="22">
        <v>2.0049775200000006</v>
      </c>
      <c r="L36" s="22">
        <v>1.0239352400000001</v>
      </c>
      <c r="M36" s="22">
        <v>0.74878469480314969</v>
      </c>
      <c r="N36" s="22">
        <v>11.411054475567219</v>
      </c>
      <c r="O36" s="22">
        <v>29.6</v>
      </c>
      <c r="P36" s="22">
        <f>2*H36/100*1000-$C$34</f>
        <v>251.74260000000001</v>
      </c>
      <c r="Q36" s="22">
        <v>1042</v>
      </c>
      <c r="R36" s="23">
        <f t="shared" si="37"/>
        <v>8.1620130206982413</v>
      </c>
      <c r="V36" s="23">
        <f t="shared" si="38"/>
        <v>0.70516134453781509</v>
      </c>
    </row>
    <row r="37" spans="2:35" x14ac:dyDescent="0.55000000000000004">
      <c r="E37" s="2" t="s">
        <v>19</v>
      </c>
      <c r="F37" s="2" t="s">
        <v>16</v>
      </c>
      <c r="G37" s="2">
        <f>100-(9.2477-9.1004)/0.324*100</f>
        <v>54.53703703703718</v>
      </c>
      <c r="H37" s="2">
        <v>17.790030000000002</v>
      </c>
      <c r="I37" s="2">
        <v>9.7010492599999978</v>
      </c>
      <c r="J37" s="2">
        <v>2.2730625</v>
      </c>
      <c r="K37" s="2">
        <v>3.5463136800000004</v>
      </c>
      <c r="L37" s="2">
        <v>1.3522337999999998</v>
      </c>
      <c r="M37" s="2">
        <v>0.80436702803149618</v>
      </c>
      <c r="N37" s="2">
        <v>19.069980769005689</v>
      </c>
      <c r="O37" s="2">
        <v>43.6</v>
      </c>
      <c r="P37" s="2">
        <f>2*H37/100*1000-$C$33</f>
        <v>269.93385000000001</v>
      </c>
      <c r="Q37" s="2">
        <v>1036</v>
      </c>
      <c r="R37">
        <f t="shared" si="37"/>
        <v>5.9760070932662677</v>
      </c>
      <c r="V37">
        <f t="shared" si="38"/>
        <v>0.95759621848739496</v>
      </c>
    </row>
    <row r="38" spans="2:35" x14ac:dyDescent="0.55000000000000004">
      <c r="E38" s="2"/>
      <c r="F38" s="2" t="s">
        <v>17</v>
      </c>
      <c r="G38" s="22">
        <f>100-(9.3564-9.0905)/0.324*100</f>
        <v>17.932098765432031</v>
      </c>
      <c r="H38" s="22">
        <v>3.4493175000000003</v>
      </c>
      <c r="I38" s="22">
        <v>1.5477366599999998</v>
      </c>
      <c r="J38" s="22">
        <v>1.2750075000000001</v>
      </c>
      <c r="K38" s="22">
        <v>0.82590040000000009</v>
      </c>
      <c r="L38" s="22">
        <v>0.45998423999999999</v>
      </c>
      <c r="M38" s="22">
        <v>0.37114018960629924</v>
      </c>
      <c r="N38" s="22">
        <v>10.003012275825732</v>
      </c>
      <c r="O38" s="22">
        <v>43.6</v>
      </c>
      <c r="P38" s="22">
        <f>2*H38/100*1000-$C$34</f>
        <v>55.047600000000003</v>
      </c>
      <c r="Q38" s="22">
        <v>1045</v>
      </c>
      <c r="R38" s="23">
        <f t="shared" si="37"/>
        <v>1.2081910363899744</v>
      </c>
      <c r="S38" s="6">
        <v>0</v>
      </c>
      <c r="T38" s="6">
        <v>0</v>
      </c>
      <c r="U38" t="s">
        <v>26</v>
      </c>
      <c r="V38" s="23">
        <f t="shared" si="38"/>
        <v>0.1541949579831933</v>
      </c>
    </row>
    <row r="39" spans="2:35" x14ac:dyDescent="0.55000000000000004">
      <c r="E39" s="2" t="s">
        <v>11</v>
      </c>
      <c r="F39" s="2" t="s">
        <v>16</v>
      </c>
      <c r="G39" s="2">
        <v>44.81</v>
      </c>
      <c r="H39" s="2">
        <v>4.2933375000000007</v>
      </c>
      <c r="I39" s="2">
        <v>8.2026401600000014</v>
      </c>
      <c r="J39" s="2">
        <v>1.5973199999999996</v>
      </c>
      <c r="K39" s="2">
        <v>2.0420452</v>
      </c>
      <c r="L39" s="2">
        <v>1.1196612400000001</v>
      </c>
      <c r="M39" s="2">
        <v>0.58174204440944888</v>
      </c>
      <c r="N39" s="2">
        <v>26.98</v>
      </c>
      <c r="O39" s="2">
        <v>0</v>
      </c>
      <c r="P39" s="2">
        <f>2*H39/100*1000-$C$33</f>
        <v>0</v>
      </c>
      <c r="Q39" s="2">
        <v>1031</v>
      </c>
      <c r="R39" t="e">
        <f t="shared" si="37"/>
        <v>#DIV/0!</v>
      </c>
      <c r="S39">
        <v>1.2081910363899744</v>
      </c>
      <c r="T39">
        <v>5.9760070932662677</v>
      </c>
      <c r="U39" t="s">
        <v>19</v>
      </c>
      <c r="V39">
        <f t="shared" si="38"/>
        <v>0.20147899159663871</v>
      </c>
    </row>
    <row r="40" spans="2:35" x14ac:dyDescent="0.55000000000000004">
      <c r="E40" s="2"/>
      <c r="F40" s="2" t="s">
        <v>17</v>
      </c>
      <c r="G40" s="22">
        <f>100-(9.3719-9.0922)/0.324*100</f>
        <v>13.672839506172835</v>
      </c>
      <c r="H40" s="22">
        <v>0.6969375000000001</v>
      </c>
      <c r="I40" s="22">
        <v>1.0255177199999999</v>
      </c>
      <c r="J40" s="22">
        <v>0.58016250000000003</v>
      </c>
      <c r="K40" s="22">
        <v>0.41771288000000006</v>
      </c>
      <c r="L40" s="22">
        <v>0.22283348</v>
      </c>
      <c r="M40" s="22">
        <v>0.26046827433070863</v>
      </c>
      <c r="N40" s="22">
        <v>10.469207151842127</v>
      </c>
      <c r="O40" s="22">
        <v>0</v>
      </c>
      <c r="P40" s="22">
        <f>2*H40/100*1000-$C$34</f>
        <v>0</v>
      </c>
      <c r="Q40" s="22">
        <v>1053</v>
      </c>
      <c r="R40" s="23" t="e">
        <f t="shared" si="37"/>
        <v>#DIV/0!</v>
      </c>
      <c r="S40">
        <v>8.0126517930399004</v>
      </c>
      <c r="T40">
        <v>33.288693912358958</v>
      </c>
      <c r="U40" t="s">
        <v>10</v>
      </c>
      <c r="V40" s="23">
        <f t="shared" si="38"/>
        <v>0</v>
      </c>
    </row>
    <row r="41" spans="2:35" x14ac:dyDescent="0.55000000000000004">
      <c r="E41" t="s">
        <v>32</v>
      </c>
      <c r="F41" s="2" t="s">
        <v>16</v>
      </c>
      <c r="G41" s="2">
        <v>95.28</v>
      </c>
      <c r="H41" s="2">
        <v>57.471254999999999</v>
      </c>
      <c r="I41" s="2">
        <v>1.2762849199999999</v>
      </c>
      <c r="J41" s="2">
        <v>2.9536650000000004</v>
      </c>
      <c r="K41" s="2">
        <v>7.5813743200000001</v>
      </c>
      <c r="L41" s="2">
        <v>4.2696293200000008</v>
      </c>
      <c r="M41" s="2">
        <v>1.5345257281889766</v>
      </c>
      <c r="N41" s="2">
        <v>20.190000000000001</v>
      </c>
      <c r="O41" s="2">
        <v>39.1</v>
      </c>
      <c r="P41" s="2">
        <f>2*H41/100*1000-$C$33</f>
        <v>1063.5583499999998</v>
      </c>
      <c r="Q41" s="2">
        <v>1030</v>
      </c>
      <c r="R41">
        <f t="shared" si="37"/>
        <v>26.408719241178947</v>
      </c>
      <c r="S41">
        <v>9.1956023528812612</v>
      </c>
      <c r="T41">
        <v>39.818479611431158</v>
      </c>
      <c r="U41" t="s">
        <v>40</v>
      </c>
      <c r="V41">
        <f t="shared" si="38"/>
        <v>3.1806340336134449</v>
      </c>
    </row>
    <row r="42" spans="2:35" x14ac:dyDescent="0.55000000000000004">
      <c r="F42" s="2" t="s">
        <v>17</v>
      </c>
      <c r="G42" s="22">
        <v>37.25</v>
      </c>
      <c r="H42" s="22">
        <v>18.013455</v>
      </c>
      <c r="I42" s="22">
        <v>0.36747905999999997</v>
      </c>
      <c r="J42" s="22">
        <v>1.7446049999999997</v>
      </c>
      <c r="K42" s="22">
        <v>2.7258036000000003</v>
      </c>
      <c r="L42" s="22">
        <v>1.4034263999999999</v>
      </c>
      <c r="M42" s="22">
        <v>1.1874317962204723</v>
      </c>
      <c r="N42" s="22">
        <v>11.81</v>
      </c>
      <c r="O42" s="22">
        <v>39.1</v>
      </c>
      <c r="P42" s="22">
        <f>2*H42/100*1000-$C$34</f>
        <v>346.33034999999995</v>
      </c>
      <c r="Q42" s="22">
        <v>1044</v>
      </c>
      <c r="R42" s="23">
        <f t="shared" si="37"/>
        <v>8.4842468471646519</v>
      </c>
      <c r="S42">
        <v>2.8368146352308456</v>
      </c>
      <c r="T42">
        <v>15.401817758345068</v>
      </c>
      <c r="U42" s="29" t="s">
        <v>49</v>
      </c>
      <c r="V42" s="23">
        <f t="shared" si="38"/>
        <v>0.97011302521008402</v>
      </c>
    </row>
    <row r="43" spans="2:35" x14ac:dyDescent="0.55000000000000004">
      <c r="E43" t="s">
        <v>42</v>
      </c>
      <c r="F43" s="2" t="s">
        <v>17</v>
      </c>
      <c r="G43" s="22">
        <v>27.16</v>
      </c>
      <c r="H43" s="22">
        <v>11.165849999999999</v>
      </c>
      <c r="I43" s="22">
        <v>0.61708252000000008</v>
      </c>
      <c r="J43" s="22">
        <v>1.7456850000000004</v>
      </c>
      <c r="K43" s="22">
        <v>2.13641272</v>
      </c>
      <c r="L43" s="22">
        <v>0.97981804000000006</v>
      </c>
      <c r="M43" s="22">
        <v>0.86379282047244088</v>
      </c>
      <c r="N43" s="22">
        <v>9.6518527266884107</v>
      </c>
      <c r="O43" s="22">
        <v>39.1</v>
      </c>
      <c r="P43" s="22">
        <f t="shared" ref="P43:P93" si="39">2*H43/100*1000-$C$34</f>
        <v>209.37824999999998</v>
      </c>
      <c r="Q43" s="22">
        <v>1031</v>
      </c>
      <c r="R43" s="23">
        <f t="shared" si="37"/>
        <v>5.1939306064432262</v>
      </c>
      <c r="S43">
        <v>5.1939306064432262</v>
      </c>
      <c r="T43">
        <v>26.408719241178947</v>
      </c>
      <c r="U43" s="29" t="s">
        <v>32</v>
      </c>
      <c r="V43" s="23">
        <f t="shared" si="38"/>
        <v>0.5864936974789916</v>
      </c>
      <c r="W43" s="6">
        <f>(G43+G44)/2</f>
        <v>27.407160493827035</v>
      </c>
      <c r="X43" s="6">
        <f t="shared" ref="X43:AH43" si="40">(H43+H44)/2</f>
        <v>11.7717975</v>
      </c>
      <c r="Y43" s="6">
        <f t="shared" si="40"/>
        <v>0.58857088999999996</v>
      </c>
      <c r="Z43" s="6">
        <f t="shared" si="40"/>
        <v>1.2537391629921262</v>
      </c>
      <c r="AA43" s="6">
        <f t="shared" si="40"/>
        <v>2.0583269199999998</v>
      </c>
      <c r="AB43" s="6">
        <f t="shared" si="40"/>
        <v>1.0114908599999999</v>
      </c>
      <c r="AC43" s="6">
        <f t="shared" si="40"/>
        <v>0.81279307322834637</v>
      </c>
      <c r="AD43" s="6">
        <f t="shared" si="40"/>
        <v>9.4128031641791168</v>
      </c>
      <c r="AE43" s="6">
        <f t="shared" si="40"/>
        <v>39.1</v>
      </c>
      <c r="AF43" s="6">
        <f t="shared" si="40"/>
        <v>221.49720000000002</v>
      </c>
      <c r="AG43" s="6">
        <f t="shared" si="40"/>
        <v>1046.5</v>
      </c>
      <c r="AH43" s="6">
        <f t="shared" si="40"/>
        <v>5.409977354025723</v>
      </c>
      <c r="AI43" s="23">
        <f>(0.002*X43-$H$40*0.002)/100/0.000357</f>
        <v>0.62044033613445382</v>
      </c>
    </row>
    <row r="44" spans="2:35" x14ac:dyDescent="0.55000000000000004">
      <c r="E44" t="s">
        <v>43</v>
      </c>
      <c r="F44" s="2" t="s">
        <v>17</v>
      </c>
      <c r="G44" s="22">
        <v>27.654320987654074</v>
      </c>
      <c r="H44" s="22">
        <v>12.377745000000001</v>
      </c>
      <c r="I44" s="22">
        <v>0.56005925999999995</v>
      </c>
      <c r="J44" s="22">
        <v>0.76179332598425198</v>
      </c>
      <c r="K44" s="22">
        <v>1.9802411200000001</v>
      </c>
      <c r="L44" s="22">
        <v>1.0431636799999999</v>
      </c>
      <c r="M44" s="22">
        <v>0.76179332598425198</v>
      </c>
      <c r="N44" s="22">
        <v>9.1737536016698229</v>
      </c>
      <c r="O44" s="22">
        <v>39.1</v>
      </c>
      <c r="P44" s="22">
        <f t="shared" si="39"/>
        <v>233.61615000000003</v>
      </c>
      <c r="Q44" s="22">
        <v>1062</v>
      </c>
      <c r="R44" s="23">
        <f t="shared" si="37"/>
        <v>5.6260241016082198</v>
      </c>
      <c r="S44">
        <v>4.2541424332344215</v>
      </c>
      <c r="T44">
        <v>13.64685686465433</v>
      </c>
      <c r="U44" s="29" t="s">
        <v>9</v>
      </c>
      <c r="V44" s="23">
        <f t="shared" si="38"/>
        <v>0.65438697478991603</v>
      </c>
    </row>
    <row r="45" spans="2:35" x14ac:dyDescent="0.55000000000000004">
      <c r="E45" t="s">
        <v>40</v>
      </c>
      <c r="F45" s="2" t="s">
        <v>16</v>
      </c>
      <c r="G45" s="2">
        <v>94.753086419753259</v>
      </c>
      <c r="H45" s="2">
        <v>51.882592500000015</v>
      </c>
      <c r="I45" s="2">
        <v>5.2638212600000003</v>
      </c>
      <c r="J45" s="2">
        <v>4.3168274999999996</v>
      </c>
      <c r="K45" s="2">
        <v>9.0030896800000004</v>
      </c>
      <c r="L45" s="2">
        <v>4.4378573600000006</v>
      </c>
      <c r="M45" s="2">
        <v>1.9170977451968507</v>
      </c>
      <c r="N45" s="2">
        <v>17.931800374556389</v>
      </c>
      <c r="O45" s="2">
        <v>22.7</v>
      </c>
      <c r="P45" s="2">
        <f>2*H45/100*1000-$C$33</f>
        <v>951.78510000000017</v>
      </c>
      <c r="Q45" s="2">
        <v>1053</v>
      </c>
      <c r="R45">
        <f t="shared" si="37"/>
        <v>39.818479611431158</v>
      </c>
      <c r="S45">
        <v>5.3459331721786691</v>
      </c>
      <c r="U45" t="s">
        <v>82</v>
      </c>
      <c r="V45">
        <f t="shared" si="38"/>
        <v>2.8675436974789927</v>
      </c>
      <c r="W45">
        <v>28.271604938272105</v>
      </c>
      <c r="X45">
        <v>13.358722500000001</v>
      </c>
      <c r="Y45">
        <v>0.58513597999999989</v>
      </c>
      <c r="Z45">
        <v>1.8430875000000002</v>
      </c>
      <c r="AA45">
        <v>1.71611544</v>
      </c>
      <c r="AB45">
        <v>1.1568695199999999</v>
      </c>
      <c r="AC45">
        <v>0.71695296850393708</v>
      </c>
      <c r="AD45">
        <v>8.8947210297681707</v>
      </c>
      <c r="AE45">
        <v>29.6</v>
      </c>
      <c r="AF45">
        <v>253.23570000000004</v>
      </c>
      <c r="AG45">
        <v>1088</v>
      </c>
      <c r="AH45">
        <v>7.8632905653815577</v>
      </c>
      <c r="AI45" s="23">
        <f>(0.002*X45-$H$40*0.002)/100/0.000357</f>
        <v>0.70934369747899173</v>
      </c>
    </row>
    <row r="46" spans="2:35" x14ac:dyDescent="0.55000000000000004">
      <c r="F46" s="2" t="s">
        <v>17</v>
      </c>
      <c r="G46" s="22">
        <v>30.31</v>
      </c>
      <c r="H46" s="22">
        <v>11.530552500000001</v>
      </c>
      <c r="I46" s="22">
        <v>5.2239537799999995</v>
      </c>
      <c r="J46" s="22">
        <v>1.8454500000000003</v>
      </c>
      <c r="K46" s="22">
        <v>2.7410884800000002</v>
      </c>
      <c r="L46" s="22">
        <v>1.1969911999999998</v>
      </c>
      <c r="M46" s="22">
        <v>1.0702555653543309</v>
      </c>
      <c r="N46" s="22">
        <v>6.7003504499544499</v>
      </c>
      <c r="O46" s="22">
        <v>22.7</v>
      </c>
      <c r="P46" s="22">
        <f t="shared" si="39"/>
        <v>216.67230000000001</v>
      </c>
      <c r="Q46" s="22">
        <v>1038</v>
      </c>
      <c r="R46" s="23">
        <f t="shared" si="37"/>
        <v>9.1956023528812612</v>
      </c>
      <c r="S46">
        <v>16.427803853754938</v>
      </c>
      <c r="U46" t="s">
        <v>53</v>
      </c>
      <c r="V46" s="23">
        <f t="shared" si="38"/>
        <v>0.60692521008403366</v>
      </c>
      <c r="W46">
        <v>30.370370370370367</v>
      </c>
      <c r="X46">
        <v>13.284067499999999</v>
      </c>
      <c r="Y46">
        <v>0.39270593999999992</v>
      </c>
      <c r="Z46">
        <v>1.5048450000000002</v>
      </c>
      <c r="AA46">
        <v>2.0049775200000006</v>
      </c>
      <c r="AB46">
        <v>1.0239352400000001</v>
      </c>
      <c r="AC46">
        <v>0.74878469480314969</v>
      </c>
      <c r="AD46">
        <v>11.411054475567219</v>
      </c>
      <c r="AE46">
        <v>29.6</v>
      </c>
      <c r="AF46">
        <v>251.74260000000001</v>
      </c>
      <c r="AG46">
        <v>1042</v>
      </c>
      <c r="AH46">
        <v>8.1620130206982413</v>
      </c>
      <c r="AI46" s="23">
        <f>(0.002*X46-$H$40*0.002)/100/0.000357</f>
        <v>0.70516134453781509</v>
      </c>
    </row>
    <row r="47" spans="2:35" x14ac:dyDescent="0.55000000000000004">
      <c r="E47" t="s">
        <v>45</v>
      </c>
      <c r="F47" s="2" t="s">
        <v>16</v>
      </c>
      <c r="G47" s="2"/>
      <c r="H47" s="2">
        <v>47.937622499999996</v>
      </c>
      <c r="I47" s="2">
        <v>3.6391276000000001</v>
      </c>
      <c r="J47" s="2">
        <v>3.4188750000000003</v>
      </c>
      <c r="K47" s="2">
        <v>6.0337617600000009</v>
      </c>
      <c r="L47" s="2">
        <v>3.8635846000000003</v>
      </c>
      <c r="M47" s="2">
        <v>1.1451537448818898</v>
      </c>
      <c r="N47" s="2"/>
      <c r="O47" s="2">
        <v>55.4</v>
      </c>
      <c r="P47" s="2">
        <f>2*H47/100*1000-$C$33</f>
        <v>872.88569999999993</v>
      </c>
      <c r="Q47" s="2">
        <v>1023</v>
      </c>
      <c r="R47" s="25">
        <f t="shared" si="37"/>
        <v>15.401817758345068</v>
      </c>
      <c r="S47">
        <v>8.6515001387182444</v>
      </c>
      <c r="U47" t="s">
        <v>54</v>
      </c>
      <c r="V47">
        <f t="shared" si="38"/>
        <v>2.6465369747899161</v>
      </c>
      <c r="W47" s="6">
        <f>(W45+W46)/2</f>
        <v>29.320987654321236</v>
      </c>
      <c r="X47" s="6">
        <f t="shared" ref="X47:AI47" si="41">(X45+X46)/2</f>
        <v>13.321394999999999</v>
      </c>
      <c r="Y47" s="6">
        <f t="shared" si="41"/>
        <v>0.4889209599999999</v>
      </c>
      <c r="Z47" s="6">
        <f t="shared" si="41"/>
        <v>1.6739662500000003</v>
      </c>
      <c r="AA47" s="6">
        <f t="shared" si="41"/>
        <v>1.8605464800000004</v>
      </c>
      <c r="AB47" s="6">
        <f t="shared" si="41"/>
        <v>1.09040238</v>
      </c>
      <c r="AC47" s="6">
        <f t="shared" si="41"/>
        <v>0.73286883165354344</v>
      </c>
      <c r="AD47" s="6">
        <f t="shared" si="41"/>
        <v>10.152887752667695</v>
      </c>
      <c r="AE47" s="6">
        <f t="shared" si="41"/>
        <v>29.6</v>
      </c>
      <c r="AF47" s="6">
        <f t="shared" si="41"/>
        <v>252.48915000000002</v>
      </c>
      <c r="AG47" s="6">
        <f t="shared" si="41"/>
        <v>1065</v>
      </c>
      <c r="AH47" s="6">
        <f t="shared" si="41"/>
        <v>8.0126517930399004</v>
      </c>
      <c r="AI47" s="6">
        <f t="shared" si="41"/>
        <v>0.70725252100840341</v>
      </c>
    </row>
    <row r="48" spans="2:35" x14ac:dyDescent="0.55000000000000004">
      <c r="F48" s="2" t="s">
        <v>46</v>
      </c>
      <c r="G48" s="22">
        <v>21.419753086419774</v>
      </c>
      <c r="H48" s="22">
        <v>8.7356475000000007</v>
      </c>
      <c r="I48" s="22">
        <v>0.7392376799999999</v>
      </c>
      <c r="J48" s="22">
        <v>1.6635375000000001</v>
      </c>
      <c r="K48" s="22">
        <v>1.4268103200000002</v>
      </c>
      <c r="L48" s="22">
        <v>1.6084465199999998</v>
      </c>
      <c r="M48" s="22">
        <v>0.54931901669291339</v>
      </c>
      <c r="N48" s="22">
        <v>6.6967545497268617</v>
      </c>
      <c r="O48" s="22">
        <v>55.4</v>
      </c>
      <c r="P48" s="22">
        <f t="shared" si="39"/>
        <v>160.77420000000001</v>
      </c>
      <c r="Q48" s="22">
        <v>1023</v>
      </c>
      <c r="R48" s="23">
        <f t="shared" si="37"/>
        <v>2.8368146352308456</v>
      </c>
      <c r="S48">
        <v>3.7035557658362612</v>
      </c>
      <c r="U48" t="s">
        <v>85</v>
      </c>
      <c r="V48" s="23">
        <f t="shared" si="38"/>
        <v>0.45034789915966389</v>
      </c>
    </row>
    <row r="49" spans="5:22" x14ac:dyDescent="0.55000000000000004">
      <c r="E49" t="s">
        <v>47</v>
      </c>
      <c r="F49" s="2" t="s">
        <v>46</v>
      </c>
      <c r="G49" s="22">
        <v>24.043209876543145</v>
      </c>
      <c r="H49" s="22">
        <v>9.7463250000000006</v>
      </c>
      <c r="I49" s="22">
        <v>0.79723697999999998</v>
      </c>
      <c r="J49" s="22">
        <v>1.6964774999999999</v>
      </c>
      <c r="K49" s="22">
        <v>1.81328888</v>
      </c>
      <c r="L49" s="22">
        <v>0.88958587999999994</v>
      </c>
      <c r="M49" s="22">
        <v>0.73350940818897647</v>
      </c>
      <c r="N49" s="22">
        <v>8.3699999999999992</v>
      </c>
      <c r="O49" s="22">
        <v>47.1</v>
      </c>
      <c r="P49" s="22">
        <f t="shared" si="39"/>
        <v>180.98775000000001</v>
      </c>
      <c r="Q49" s="22">
        <v>1030</v>
      </c>
      <c r="R49" s="23">
        <f t="shared" si="37"/>
        <v>3.7307062024611963</v>
      </c>
      <c r="S49">
        <v>1.831319115716616</v>
      </c>
      <c r="U49" s="29" t="s">
        <v>75</v>
      </c>
      <c r="V49" s="23">
        <f t="shared" si="38"/>
        <v>0.50696848739495803</v>
      </c>
    </row>
    <row r="50" spans="5:22" x14ac:dyDescent="0.55000000000000004">
      <c r="E50" t="s">
        <v>52</v>
      </c>
      <c r="F50" s="2" t="s">
        <v>46</v>
      </c>
      <c r="G50" s="22">
        <v>24.444444444444542</v>
      </c>
      <c r="H50" s="22">
        <v>11.798730000000001</v>
      </c>
      <c r="I50" s="22">
        <v>0.6549228399999999</v>
      </c>
      <c r="J50" s="22">
        <v>1.7973225000000002</v>
      </c>
      <c r="K50" s="22">
        <v>1.6836258400000002</v>
      </c>
      <c r="L50" s="22">
        <v>1.00229284</v>
      </c>
      <c r="M50" s="22">
        <v>0.65664022393700794</v>
      </c>
      <c r="N50" s="22">
        <v>6.8509102005075349</v>
      </c>
      <c r="O50" s="22">
        <v>38.6</v>
      </c>
      <c r="P50" s="22">
        <f t="shared" si="39"/>
        <v>222.03585000000001</v>
      </c>
      <c r="Q50" s="22">
        <v>1076</v>
      </c>
      <c r="R50" s="23">
        <f t="shared" si="37"/>
        <v>5.3459331721786691</v>
      </c>
      <c r="S50">
        <v>2.2803676708920637</v>
      </c>
      <c r="U50" t="s">
        <v>111</v>
      </c>
      <c r="V50" s="23">
        <f t="shared" si="38"/>
        <v>0.62194915966386555</v>
      </c>
    </row>
    <row r="51" spans="5:22" x14ac:dyDescent="0.55000000000000004">
      <c r="E51" t="s">
        <v>53</v>
      </c>
      <c r="F51" s="2" t="s">
        <v>46</v>
      </c>
      <c r="G51" s="22">
        <v>36.604938271605207</v>
      </c>
      <c r="H51" s="26">
        <v>18.651870000000002</v>
      </c>
      <c r="I51" s="22">
        <v>2.6906419599999998</v>
      </c>
      <c r="J51" s="22">
        <v>2.8433024999999996</v>
      </c>
      <c r="K51" s="22">
        <v>2.22767896</v>
      </c>
      <c r="L51" s="22">
        <v>1.4133319599999998</v>
      </c>
      <c r="M51" s="22">
        <v>0.90459261826771664</v>
      </c>
      <c r="N51" s="22">
        <v>7.8735202733374869</v>
      </c>
      <c r="O51" s="22">
        <v>20.7</v>
      </c>
      <c r="P51" s="22">
        <f t="shared" si="39"/>
        <v>359.09865000000002</v>
      </c>
      <c r="Q51" s="22">
        <v>1056</v>
      </c>
      <c r="R51" s="23">
        <f t="shared" si="37"/>
        <v>16.427803853754938</v>
      </c>
      <c r="S51">
        <v>4.9655282022053191</v>
      </c>
      <c r="U51" t="s">
        <v>90</v>
      </c>
      <c r="V51" s="23">
        <f t="shared" si="38"/>
        <v>1.0058785714285716</v>
      </c>
    </row>
    <row r="52" spans="5:22" x14ac:dyDescent="0.55000000000000004">
      <c r="E52" t="s">
        <v>54</v>
      </c>
      <c r="F52" s="2" t="s">
        <v>46</v>
      </c>
      <c r="G52" s="22">
        <v>27.500000000000099</v>
      </c>
      <c r="H52" s="22">
        <v>10.519807500000001</v>
      </c>
      <c r="I52" s="22">
        <v>0.70485103999999998</v>
      </c>
      <c r="J52" s="22">
        <v>1.8567900000000002</v>
      </c>
      <c r="K52" s="22">
        <v>1.3864198400000003</v>
      </c>
      <c r="L52" s="22">
        <v>1.0541513600000001</v>
      </c>
      <c r="M52" s="22">
        <v>0.83442485007874012</v>
      </c>
      <c r="N52" s="22">
        <v>11.143555409921358</v>
      </c>
      <c r="O52" s="22">
        <v>20.7</v>
      </c>
      <c r="P52" s="22">
        <f t="shared" si="39"/>
        <v>196.45740000000001</v>
      </c>
      <c r="Q52" s="22">
        <v>1097</v>
      </c>
      <c r="R52" s="23">
        <f t="shared" si="37"/>
        <v>8.6515001387182444</v>
      </c>
      <c r="S52">
        <v>7.3450547696237338</v>
      </c>
      <c r="U52" t="s">
        <v>113</v>
      </c>
      <c r="V52" s="23">
        <f t="shared" si="38"/>
        <v>0.55030084033613447</v>
      </c>
    </row>
    <row r="53" spans="5:22" x14ac:dyDescent="0.55000000000000004">
      <c r="E53" t="s">
        <v>55</v>
      </c>
      <c r="F53" s="2" t="s">
        <v>46</v>
      </c>
      <c r="G53" s="22">
        <v>33.580246913580439</v>
      </c>
      <c r="H53" s="22">
        <v>16.624912500000004</v>
      </c>
      <c r="I53" s="22">
        <v>0.41688169999999991</v>
      </c>
      <c r="J53" s="22">
        <v>1.8654975</v>
      </c>
      <c r="K53" s="22">
        <v>2.3055801599999999</v>
      </c>
      <c r="L53" s="22">
        <v>1.40059624</v>
      </c>
      <c r="M53" s="22">
        <v>0.93583304314960625</v>
      </c>
      <c r="N53" s="22">
        <v>10.030945770430826</v>
      </c>
      <c r="O53" s="22">
        <v>59.3</v>
      </c>
      <c r="P53" s="22">
        <f t="shared" si="39"/>
        <v>318.55950000000007</v>
      </c>
      <c r="Q53" s="22">
        <v>1073</v>
      </c>
      <c r="R53" s="23">
        <f t="shared" si="37"/>
        <v>5.0065221935315565</v>
      </c>
      <c r="U53" t="s">
        <v>123</v>
      </c>
      <c r="V53" s="23">
        <f t="shared" si="38"/>
        <v>0.89232352941176485</v>
      </c>
    </row>
    <row r="54" spans="5:22" x14ac:dyDescent="0.55000000000000004">
      <c r="E54" t="s">
        <v>59</v>
      </c>
      <c r="F54" s="2" t="s">
        <v>46</v>
      </c>
      <c r="G54" s="22">
        <v>22.345679012345727</v>
      </c>
      <c r="H54" s="22">
        <v>6.8025825000000015</v>
      </c>
      <c r="I54" s="22">
        <v>1.1374244599999999</v>
      </c>
      <c r="J54" s="22">
        <v>1.5632325000000002</v>
      </c>
      <c r="K54" s="22">
        <v>1.6382142400000002</v>
      </c>
      <c r="L54" s="22">
        <v>0.8110905599999999</v>
      </c>
      <c r="M54" s="22">
        <v>0.72601959023622042</v>
      </c>
      <c r="N54" s="22">
        <v>9.6671151621095053</v>
      </c>
      <c r="O54" s="22">
        <v>30.7</v>
      </c>
      <c r="P54" s="22">
        <f t="shared" si="39"/>
        <v>122.11290000000002</v>
      </c>
      <c r="Q54" s="22">
        <v>1074</v>
      </c>
      <c r="R54" s="23">
        <f t="shared" si="37"/>
        <v>3.7035557658362612</v>
      </c>
      <c r="U54" t="s">
        <v>124</v>
      </c>
      <c r="V54" s="23">
        <f t="shared" si="38"/>
        <v>0.34205294117647067</v>
      </c>
    </row>
    <row r="55" spans="5:22" x14ac:dyDescent="0.55000000000000004">
      <c r="E55" t="s">
        <v>60</v>
      </c>
      <c r="F55" s="2" t="s">
        <v>46</v>
      </c>
      <c r="G55" s="22">
        <v>28.271604938272105</v>
      </c>
      <c r="H55" s="22">
        <v>13.358722500000001</v>
      </c>
      <c r="I55" s="22">
        <v>0.58513597999999989</v>
      </c>
      <c r="J55" s="22">
        <v>1.8430875000000002</v>
      </c>
      <c r="K55" s="22">
        <v>1.71611544</v>
      </c>
      <c r="L55" s="22">
        <v>1.1568695199999999</v>
      </c>
      <c r="M55" s="22">
        <v>0.71695296850393708</v>
      </c>
      <c r="N55" s="22">
        <v>8.8947210297681707</v>
      </c>
      <c r="O55" s="22">
        <v>29.6</v>
      </c>
      <c r="P55" s="22">
        <f t="shared" si="39"/>
        <v>253.23570000000004</v>
      </c>
      <c r="Q55" s="22">
        <v>1088</v>
      </c>
      <c r="R55" s="23">
        <f t="shared" si="37"/>
        <v>7.8632905653815577</v>
      </c>
      <c r="V55" s="23">
        <f t="shared" si="38"/>
        <v>0.70934369747899173</v>
      </c>
    </row>
    <row r="56" spans="5:22" x14ac:dyDescent="0.55000000000000004">
      <c r="E56" t="s">
        <v>70</v>
      </c>
      <c r="F56" s="2" t="s">
        <v>46</v>
      </c>
      <c r="G56" s="22">
        <v>35.123456790123882</v>
      </c>
      <c r="H56" s="22">
        <v>21.166852500000001</v>
      </c>
      <c r="I56" s="22">
        <v>0.35828175999999995</v>
      </c>
      <c r="J56" s="22">
        <v>1.8029924999999998</v>
      </c>
      <c r="K56" s="22">
        <v>3.0800140800000002</v>
      </c>
      <c r="L56" s="22">
        <v>1.51688252</v>
      </c>
      <c r="M56" s="22">
        <v>1.1271190516535432</v>
      </c>
      <c r="N56" s="22">
        <v>6.0713143784703369</v>
      </c>
      <c r="O56" s="22">
        <v>118.6</v>
      </c>
      <c r="P56" s="22">
        <f t="shared" si="39"/>
        <v>409.39829999999995</v>
      </c>
      <c r="Q56" s="22">
        <v>1096</v>
      </c>
      <c r="R56" s="23">
        <f t="shared" si="37"/>
        <v>3.1495665673736166</v>
      </c>
      <c r="V56" s="23">
        <f t="shared" si="38"/>
        <v>1.1467739495798321</v>
      </c>
    </row>
    <row r="57" spans="5:22" x14ac:dyDescent="0.55000000000000004">
      <c r="E57" t="s">
        <v>72</v>
      </c>
      <c r="F57" s="2" t="s">
        <v>46</v>
      </c>
      <c r="G57" s="22">
        <v>42.99382716049346</v>
      </c>
      <c r="H57" s="22">
        <v>30.598357500000002</v>
      </c>
      <c r="I57" s="22">
        <v>0.28128721999999995</v>
      </c>
      <c r="J57" s="22">
        <v>1.8060300000000002</v>
      </c>
      <c r="K57" s="22">
        <v>4.6122679199999999</v>
      </c>
      <c r="L57" s="22">
        <v>1.9211791999999999</v>
      </c>
      <c r="M57" s="22">
        <v>1.5495053640944882</v>
      </c>
      <c r="N57" s="22">
        <v>2.2251999563989742</v>
      </c>
      <c r="O57" s="22">
        <v>296.39999999999998</v>
      </c>
      <c r="P57" s="22">
        <f t="shared" si="39"/>
        <v>598.02840000000003</v>
      </c>
      <c r="Q57" s="22">
        <v>1079</v>
      </c>
      <c r="R57" s="23">
        <f t="shared" si="37"/>
        <v>1.869916289261687</v>
      </c>
      <c r="V57" s="23">
        <f t="shared" si="38"/>
        <v>1.6751495798319329</v>
      </c>
    </row>
    <row r="58" spans="5:22" x14ac:dyDescent="0.55000000000000004">
      <c r="E58" t="s">
        <v>73</v>
      </c>
      <c r="F58" s="2" t="s">
        <v>46</v>
      </c>
      <c r="G58" s="2">
        <v>59.444444444444116</v>
      </c>
      <c r="H58" s="2">
        <v>36.053505000000001</v>
      </c>
      <c r="I58" s="2">
        <v>0.22572802</v>
      </c>
      <c r="J58" s="2">
        <v>1.7275949999999998</v>
      </c>
      <c r="K58" s="2">
        <v>5.80227336</v>
      </c>
      <c r="L58" s="2">
        <v>2.1993672799999997</v>
      </c>
      <c r="M58" s="2">
        <v>1.6805771782677166</v>
      </c>
      <c r="N58" s="2">
        <v>11.755398606176399</v>
      </c>
      <c r="O58" s="22">
        <v>592.79999999999995</v>
      </c>
      <c r="P58" s="22">
        <f t="shared" si="39"/>
        <v>707.13135</v>
      </c>
      <c r="Q58" s="22">
        <v>1076</v>
      </c>
      <c r="R58" s="23">
        <f t="shared" si="37"/>
        <v>1.1086121280646568</v>
      </c>
      <c r="V58" s="23">
        <f t="shared" si="38"/>
        <v>1.9807600840336133</v>
      </c>
    </row>
    <row r="59" spans="5:22" x14ac:dyDescent="0.55000000000000004">
      <c r="E59" s="30" t="s">
        <v>75</v>
      </c>
      <c r="F59" s="31" t="s">
        <v>46</v>
      </c>
      <c r="G59" s="31"/>
      <c r="H59" s="31">
        <v>4.3799400000000004</v>
      </c>
      <c r="I59" s="31">
        <v>0.92415972000000002</v>
      </c>
      <c r="J59" s="31">
        <v>1.3691024999999999</v>
      </c>
      <c r="K59" s="31">
        <v>1.5299647999999999</v>
      </c>
      <c r="L59" s="31">
        <v>0.58076548000000006</v>
      </c>
      <c r="M59" s="31">
        <v>0.63318526771653549</v>
      </c>
      <c r="N59" s="31"/>
      <c r="O59" s="31">
        <v>36.799999999999997</v>
      </c>
      <c r="P59" s="31">
        <f t="shared" si="39"/>
        <v>73.660050000000012</v>
      </c>
      <c r="Q59" s="31">
        <v>1093</v>
      </c>
      <c r="R59" s="30">
        <f t="shared" si="37"/>
        <v>1.831319115716616</v>
      </c>
      <c r="V59" s="30">
        <f t="shared" si="38"/>
        <v>0.20633067226890761</v>
      </c>
    </row>
    <row r="60" spans="5:22" x14ac:dyDescent="0.55000000000000004">
      <c r="E60" s="30" t="s">
        <v>76</v>
      </c>
      <c r="F60" s="31" t="s">
        <v>46</v>
      </c>
      <c r="G60" s="31"/>
      <c r="H60" s="31">
        <v>0.7</v>
      </c>
      <c r="I60" s="31"/>
      <c r="J60" s="31"/>
      <c r="K60" s="31"/>
      <c r="L60" s="31"/>
      <c r="M60" s="31"/>
      <c r="N60" s="31"/>
      <c r="O60" s="31">
        <v>38.200000000000003</v>
      </c>
      <c r="P60" s="31">
        <f t="shared" si="39"/>
        <v>6.1249999999997584E-2</v>
      </c>
      <c r="Q60" s="31">
        <v>1058</v>
      </c>
      <c r="R60" s="30">
        <f t="shared" si="37"/>
        <v>1.5155039143300501E-3</v>
      </c>
      <c r="V60" s="30">
        <f t="shared" si="38"/>
        <v>1.7156862745097581E-4</v>
      </c>
    </row>
    <row r="61" spans="5:22" x14ac:dyDescent="0.55000000000000004">
      <c r="E61" t="s">
        <v>77</v>
      </c>
      <c r="F61" s="2" t="s">
        <v>46</v>
      </c>
      <c r="G61" s="22">
        <v>17.716049382715923</v>
      </c>
      <c r="H61" s="22">
        <v>4.1843250000000003</v>
      </c>
      <c r="I61" s="22">
        <v>0.96102399999999988</v>
      </c>
      <c r="J61" s="22">
        <v>1.3153724999999998</v>
      </c>
      <c r="K61" s="22">
        <v>1.8104091200000001</v>
      </c>
      <c r="L61" s="22">
        <v>0.52349635999999999</v>
      </c>
      <c r="M61" s="22">
        <v>0.64422289417322842</v>
      </c>
      <c r="N61" s="22">
        <v>8.2771995085426937</v>
      </c>
      <c r="O61" s="22">
        <v>36.799999999999997</v>
      </c>
      <c r="P61" s="22">
        <f t="shared" si="39"/>
        <v>69.747750000000011</v>
      </c>
      <c r="Q61" s="22">
        <v>1095</v>
      </c>
      <c r="R61" s="23">
        <f t="shared" si="37"/>
        <v>1.7308851995235264</v>
      </c>
      <c r="V61" s="23">
        <f t="shared" si="38"/>
        <v>0.19537184873949578</v>
      </c>
    </row>
    <row r="62" spans="5:22" x14ac:dyDescent="0.55000000000000004">
      <c r="E62" s="30" t="s">
        <v>79</v>
      </c>
      <c r="F62" s="31" t="s">
        <v>46</v>
      </c>
      <c r="G62" s="31"/>
      <c r="H62" s="31">
        <v>19.96</v>
      </c>
      <c r="I62" s="31"/>
      <c r="J62" s="31"/>
      <c r="K62" s="31"/>
      <c r="L62" s="31"/>
      <c r="M62" s="31"/>
      <c r="N62" s="31"/>
      <c r="O62" s="31">
        <v>188.4</v>
      </c>
      <c r="P62" s="31">
        <f t="shared" si="39"/>
        <v>385.26124999999996</v>
      </c>
      <c r="Q62" s="31">
        <v>1098</v>
      </c>
      <c r="R62" s="30">
        <f t="shared" si="37"/>
        <v>1.8623962599437696</v>
      </c>
      <c r="V62" s="30">
        <f t="shared" si="38"/>
        <v>1.0791631652661064</v>
      </c>
    </row>
    <row r="63" spans="5:22" x14ac:dyDescent="0.55000000000000004">
      <c r="E63" s="30" t="s">
        <v>78</v>
      </c>
      <c r="F63" s="31" t="s">
        <v>46</v>
      </c>
      <c r="G63" s="31"/>
      <c r="H63" s="31"/>
      <c r="I63" s="31"/>
      <c r="J63" s="31"/>
      <c r="K63" s="31"/>
      <c r="L63" s="31"/>
      <c r="M63" s="31"/>
      <c r="N63" s="31"/>
      <c r="O63" s="31">
        <v>94.2</v>
      </c>
      <c r="P63" s="31">
        <f>2*H63/100*1000-$C$34</f>
        <v>-13.938750000000001</v>
      </c>
      <c r="Q63" s="31">
        <v>1101</v>
      </c>
      <c r="R63" s="30">
        <f t="shared" si="37"/>
        <v>-0.13439577222791094</v>
      </c>
      <c r="V63" s="30">
        <f t="shared" si="38"/>
        <v>-3.9044117647058826E-2</v>
      </c>
    </row>
    <row r="64" spans="5:22" x14ac:dyDescent="0.55000000000000004">
      <c r="E64" t="s">
        <v>80</v>
      </c>
      <c r="F64" s="2" t="s">
        <v>46</v>
      </c>
      <c r="G64" s="22"/>
      <c r="H64" s="22">
        <v>22.52</v>
      </c>
      <c r="I64" s="22"/>
      <c r="J64" s="22"/>
      <c r="K64" s="22"/>
      <c r="L64" s="22"/>
      <c r="M64" s="22"/>
      <c r="N64" s="22"/>
      <c r="O64" s="22">
        <v>41.4</v>
      </c>
      <c r="P64" s="22">
        <f t="shared" si="39"/>
        <v>436.46124999999995</v>
      </c>
      <c r="Q64" s="22">
        <v>1089</v>
      </c>
      <c r="R64" s="23">
        <f t="shared" si="37"/>
        <v>9.6809387240876035</v>
      </c>
      <c r="V64" s="23">
        <f t="shared" si="38"/>
        <v>1.2225805322128849</v>
      </c>
    </row>
    <row r="65" spans="5:22" x14ac:dyDescent="0.55000000000000004">
      <c r="E65" s="30" t="s">
        <v>113</v>
      </c>
      <c r="F65" s="31" t="s">
        <v>46</v>
      </c>
      <c r="G65" s="31">
        <v>36.388888888888559</v>
      </c>
      <c r="H65" s="31">
        <v>18.155205000000002</v>
      </c>
      <c r="I65" s="31">
        <v>0.32599736000000001</v>
      </c>
      <c r="J65" s="31">
        <v>1.6748099999999999</v>
      </c>
      <c r="K65" s="31">
        <v>2.2439237600000004</v>
      </c>
      <c r="L65" s="31">
        <v>1.32443164</v>
      </c>
      <c r="M65" s="31">
        <v>0.72769494425196868</v>
      </c>
      <c r="N65" s="31">
        <v>11.936826184636587</v>
      </c>
      <c r="O65" s="31">
        <v>37.700000000000003</v>
      </c>
      <c r="P65" s="31">
        <f t="shared" si="39"/>
        <v>349.16534999999999</v>
      </c>
      <c r="Q65" s="31">
        <v>1082</v>
      </c>
      <c r="R65" s="30">
        <f t="shared" si="37"/>
        <v>8.5597785317493376</v>
      </c>
      <c r="V65" s="30">
        <f t="shared" si="38"/>
        <v>0.97805420168067236</v>
      </c>
    </row>
    <row r="66" spans="5:22" x14ac:dyDescent="0.55000000000000004">
      <c r="E66" t="s">
        <v>90</v>
      </c>
      <c r="F66" s="2" t="s">
        <v>46</v>
      </c>
      <c r="G66" s="22">
        <v>32.685185185185276</v>
      </c>
      <c r="H66" s="22">
        <v>12.493304999999999</v>
      </c>
      <c r="I66" s="22">
        <v>0.60743473999999997</v>
      </c>
      <c r="J66" s="22">
        <v>1.5871949999999999</v>
      </c>
      <c r="K66" s="22">
        <v>2.1152944800000002</v>
      </c>
      <c r="L66" s="31">
        <v>8.1687573999999987</v>
      </c>
      <c r="M66" s="22">
        <v>0.75863971842519695</v>
      </c>
      <c r="N66" s="22">
        <v>6.9545588467600794</v>
      </c>
      <c r="O66" s="22">
        <v>37.700000000000003</v>
      </c>
      <c r="P66" s="22">
        <f t="shared" si="39"/>
        <v>235.92734999999999</v>
      </c>
      <c r="Q66" s="22">
        <v>1089</v>
      </c>
      <c r="R66" s="23">
        <f t="shared" si="37"/>
        <v>5.7465747418725472</v>
      </c>
      <c r="V66" s="23">
        <f t="shared" si="38"/>
        <v>0.66086092436974786</v>
      </c>
    </row>
    <row r="67" spans="5:22" x14ac:dyDescent="0.55000000000000004">
      <c r="E67" t="s">
        <v>111</v>
      </c>
      <c r="F67" s="2" t="s">
        <v>46</v>
      </c>
      <c r="G67" s="22">
        <v>19.25925925925938</v>
      </c>
      <c r="H67" s="22">
        <v>3.3001425000000002</v>
      </c>
      <c r="I67" s="22">
        <v>1.46788908</v>
      </c>
      <c r="J67" s="22">
        <v>1.3354874999999999</v>
      </c>
      <c r="K67" s="22">
        <v>0.99624928000000001</v>
      </c>
      <c r="L67" s="31">
        <v>0</v>
      </c>
      <c r="M67" s="22">
        <v>0.49846709480314971</v>
      </c>
      <c r="N67" s="22">
        <v>11.66102380445623</v>
      </c>
      <c r="O67" s="2">
        <v>21.1</v>
      </c>
      <c r="P67" s="22">
        <f t="shared" si="39"/>
        <v>52.064099999999996</v>
      </c>
      <c r="Q67" s="2">
        <v>1082</v>
      </c>
      <c r="R67" s="23">
        <f t="shared" si="37"/>
        <v>2.2804925055409058</v>
      </c>
      <c r="V67" s="23">
        <f t="shared" si="38"/>
        <v>0.14583781512605043</v>
      </c>
    </row>
    <row r="68" spans="5:22" x14ac:dyDescent="0.55000000000000004">
      <c r="E68" t="s">
        <v>136</v>
      </c>
      <c r="F68" s="2" t="s">
        <v>46</v>
      </c>
      <c r="G68" s="22">
        <v>36.388888888888559</v>
      </c>
      <c r="H68" s="22">
        <v>15.648592499999999</v>
      </c>
      <c r="I68" s="22">
        <v>0.44717647999999988</v>
      </c>
      <c r="J68" s="22">
        <v>1.6524000000000001</v>
      </c>
      <c r="K68" s="22">
        <v>2.64805008</v>
      </c>
      <c r="L68" s="22">
        <v>1.4444637199999999</v>
      </c>
      <c r="M68" s="22">
        <v>1.1688058015748033</v>
      </c>
      <c r="N68" s="22">
        <v>13.379400307313759</v>
      </c>
      <c r="O68" s="2">
        <v>37.700000000000003</v>
      </c>
      <c r="P68" s="22">
        <f t="shared" si="39"/>
        <v>299.03309999999999</v>
      </c>
      <c r="Q68" s="2">
        <v>1080</v>
      </c>
      <c r="R68" s="23">
        <f t="shared" si="37"/>
        <v>7.3443633952254634</v>
      </c>
      <c r="V68" s="23">
        <f>(0.002*H68-$H$40*0.002)/100/0.000357</f>
        <v>0.83762773109243704</v>
      </c>
    </row>
    <row r="69" spans="5:22" x14ac:dyDescent="0.55000000000000004">
      <c r="E69" t="s">
        <v>184</v>
      </c>
      <c r="F69" s="2" t="s">
        <v>46</v>
      </c>
      <c r="G69" s="22">
        <v>85.462962962962848</v>
      </c>
      <c r="H69" s="22">
        <v>35.909797500000003</v>
      </c>
      <c r="I69" s="22">
        <v>0.17658815999999999</v>
      </c>
      <c r="J69" s="22">
        <v>1.4354549999999999</v>
      </c>
      <c r="K69" s="22">
        <v>8.6348496000000008</v>
      </c>
      <c r="L69" s="22">
        <v>3.1769378399999999</v>
      </c>
      <c r="M69" s="22">
        <v>2.8494815300787404</v>
      </c>
      <c r="N69" s="22">
        <v>33.279853332884102</v>
      </c>
      <c r="O69" s="2"/>
      <c r="P69" s="22">
        <f t="shared" si="39"/>
        <v>704.25720000000001</v>
      </c>
      <c r="Q69" s="2">
        <v>1077</v>
      </c>
      <c r="R69" s="23" t="e">
        <f t="shared" si="37"/>
        <v>#DIV/0!</v>
      </c>
      <c r="V69" s="29">
        <f>(0.002*H69-$H$40*0.002)/100/0.000357</f>
        <v>1.9727092436974791</v>
      </c>
    </row>
    <row r="70" spans="5:22" x14ac:dyDescent="0.55000000000000004">
      <c r="E70" t="s">
        <v>185</v>
      </c>
      <c r="F70" s="2" t="s">
        <v>46</v>
      </c>
      <c r="G70" s="22">
        <v>33.086419753086119</v>
      </c>
      <c r="H70" s="22">
        <v>12.4278975</v>
      </c>
      <c r="I70" s="22">
        <v>0.81574419999999992</v>
      </c>
      <c r="J70" s="22">
        <v>1.7622225000000002</v>
      </c>
      <c r="K70" s="22">
        <v>2.3911607199999998</v>
      </c>
      <c r="L70" s="22">
        <v>1.3643868399999999</v>
      </c>
      <c r="M70" s="22">
        <v>0.82939878803149625</v>
      </c>
      <c r="N70" s="22">
        <v>13.49560920505462</v>
      </c>
      <c r="O70" s="2"/>
      <c r="P70" s="22">
        <f t="shared" si="39"/>
        <v>234.61920000000001</v>
      </c>
      <c r="Q70" s="2">
        <v>1089</v>
      </c>
      <c r="R70" s="23" t="e">
        <f t="shared" si="37"/>
        <v>#DIV/0!</v>
      </c>
      <c r="V70" s="29">
        <f>(0.002*H70-$H$40*0.002)/100/0.000357</f>
        <v>0.65719663865546218</v>
      </c>
    </row>
    <row r="71" spans="5:22" x14ac:dyDescent="0.55000000000000004">
      <c r="E71" t="s">
        <v>186</v>
      </c>
      <c r="F71" s="2" t="s">
        <v>46</v>
      </c>
      <c r="G71" s="22"/>
      <c r="H71" s="22">
        <v>27.798862499999998</v>
      </c>
      <c r="I71" s="22">
        <v>0.25087981999999998</v>
      </c>
      <c r="J71" s="22">
        <v>1.9319175000000002</v>
      </c>
      <c r="K71" s="22">
        <v>4.2531840000000001</v>
      </c>
      <c r="L71" s="22">
        <v>0.75290579999999996</v>
      </c>
      <c r="M71" s="22">
        <v>1.4202074541732284</v>
      </c>
      <c r="N71" s="22"/>
      <c r="O71" s="2"/>
      <c r="P71" s="22">
        <f t="shared" si="39"/>
        <v>542.0385</v>
      </c>
      <c r="Q71" s="2">
        <v>1079</v>
      </c>
      <c r="R71" s="23" t="e">
        <f t="shared" si="37"/>
        <v>#DIV/0!</v>
      </c>
      <c r="V71" s="29">
        <f t="shared" si="38"/>
        <v>1.51831512605042</v>
      </c>
    </row>
    <row r="72" spans="5:22" x14ac:dyDescent="0.55000000000000004">
      <c r="E72" t="s">
        <v>165</v>
      </c>
      <c r="F72" s="2" t="s">
        <v>46</v>
      </c>
      <c r="G72" s="22">
        <v>31.26543209876553</v>
      </c>
      <c r="H72" s="22">
        <v>10.9875825</v>
      </c>
      <c r="I72" s="22">
        <v>0.6825147399999999</v>
      </c>
      <c r="J72" s="22">
        <v>1.6627949999999998</v>
      </c>
      <c r="K72" s="22">
        <v>1.9547663200000003</v>
      </c>
      <c r="L72" s="31">
        <v>7.8935659600000001</v>
      </c>
      <c r="M72" s="22">
        <v>0.76425708188976371</v>
      </c>
      <c r="N72" s="22">
        <v>7.3199504968757658</v>
      </c>
      <c r="O72" s="22">
        <v>37.700000000000003</v>
      </c>
      <c r="P72" s="22">
        <f t="shared" si="39"/>
        <v>205.81289999999998</v>
      </c>
      <c r="Q72" s="2">
        <v>1089</v>
      </c>
      <c r="R72" s="23">
        <f t="shared" si="37"/>
        <v>5.0130653046013531</v>
      </c>
      <c r="V72" s="23">
        <f>(0.002*H72-$H$40*0.002)/100/0.000357</f>
        <v>0.57650672268907566</v>
      </c>
    </row>
    <row r="73" spans="5:22" x14ac:dyDescent="0.55000000000000004">
      <c r="E73" t="s">
        <v>148</v>
      </c>
      <c r="F73" s="2" t="s">
        <v>46</v>
      </c>
      <c r="G73" s="22"/>
      <c r="H73" s="22">
        <v>28.509435</v>
      </c>
      <c r="I73" s="22"/>
      <c r="J73" s="22"/>
      <c r="K73" s="22"/>
      <c r="L73" s="22"/>
      <c r="M73" s="22"/>
      <c r="N73" s="22"/>
      <c r="O73" s="22">
        <v>82.8</v>
      </c>
      <c r="P73" s="22">
        <f t="shared" si="39"/>
        <v>556.24995000000001</v>
      </c>
      <c r="Q73" s="2">
        <v>1053</v>
      </c>
      <c r="R73" s="23">
        <f t="shared" si="37"/>
        <v>6.3798618852966689</v>
      </c>
      <c r="V73" s="23">
        <f t="shared" ref="V73:V92" si="42">(0.002*H73-$H$40*0.002)/100/0.000357</f>
        <v>1.5581231092436973</v>
      </c>
    </row>
    <row r="74" spans="5:22" x14ac:dyDescent="0.55000000000000004">
      <c r="E74" t="s">
        <v>167</v>
      </c>
      <c r="F74" s="2" t="s">
        <v>46</v>
      </c>
      <c r="G74" s="22"/>
      <c r="H74" s="22">
        <v>39.101129999999998</v>
      </c>
      <c r="I74" s="22"/>
      <c r="J74" s="22"/>
      <c r="K74" s="22"/>
      <c r="L74" s="22"/>
      <c r="M74" s="22"/>
      <c r="N74" s="22"/>
      <c r="O74" s="22">
        <v>414.2</v>
      </c>
      <c r="P74" s="22">
        <f t="shared" si="39"/>
        <v>768.08384999999987</v>
      </c>
      <c r="Q74" s="2">
        <v>1072</v>
      </c>
      <c r="R74" s="23">
        <f>P74/O74/Q74*1000</f>
        <v>1.7298313103122722</v>
      </c>
      <c r="V74" s="23">
        <f>(0.002*H74-$H$40*0.002)/100/0.000357</f>
        <v>2.1514953781512602</v>
      </c>
    </row>
    <row r="75" spans="5:22" x14ac:dyDescent="0.55000000000000004">
      <c r="E75" t="s">
        <v>162</v>
      </c>
      <c r="F75" s="2" t="s">
        <v>46</v>
      </c>
      <c r="G75" s="22"/>
      <c r="H75" s="22">
        <v>10.8543375</v>
      </c>
      <c r="I75" s="22">
        <v>0.66847477999999994</v>
      </c>
      <c r="J75" s="22">
        <v>1.7228025</v>
      </c>
      <c r="K75" s="22">
        <v>1.4681607200000002</v>
      </c>
      <c r="L75" s="22">
        <v>1.0955216400000001</v>
      </c>
      <c r="M75" s="22">
        <v>0.65772427653543319</v>
      </c>
      <c r="N75" s="22"/>
      <c r="O75" s="22">
        <v>37.700000000000003</v>
      </c>
      <c r="P75" s="22">
        <f>2*H75/100*1000-$C$34</f>
        <v>203.148</v>
      </c>
      <c r="Q75" s="2">
        <v>1086</v>
      </c>
      <c r="R75" s="23">
        <f t="shared" si="37"/>
        <v>4.9618242302563127</v>
      </c>
      <c r="V75" s="23">
        <f t="shared" si="42"/>
        <v>0.56904201680672273</v>
      </c>
    </row>
    <row r="76" spans="5:22" x14ac:dyDescent="0.55000000000000004">
      <c r="E76" t="s">
        <v>189</v>
      </c>
      <c r="F76" s="2" t="s">
        <v>46</v>
      </c>
      <c r="H76" s="2">
        <v>9.2736225000000001</v>
      </c>
      <c r="I76" s="2">
        <v>0</v>
      </c>
      <c r="J76" s="2">
        <v>0</v>
      </c>
      <c r="K76" s="2">
        <v>1.5646695999999998</v>
      </c>
      <c r="L76" s="2">
        <v>0.93536787999999993</v>
      </c>
      <c r="M76" s="2">
        <v>0.5291162182677166</v>
      </c>
      <c r="O76" s="22">
        <v>23.9</v>
      </c>
      <c r="P76" s="22">
        <f t="shared" si="39"/>
        <v>171.53370000000001</v>
      </c>
      <c r="Q76" s="2">
        <v>1055</v>
      </c>
      <c r="R76" s="23">
        <f t="shared" si="37"/>
        <v>6.8029784449423945</v>
      </c>
      <c r="V76" s="23">
        <f t="shared" si="42"/>
        <v>0.4804865546218488</v>
      </c>
    </row>
    <row r="77" spans="5:22" x14ac:dyDescent="0.55000000000000004">
      <c r="E77" t="s">
        <v>192</v>
      </c>
      <c r="F77" s="2" t="s">
        <v>46</v>
      </c>
      <c r="G77" s="2">
        <v>59.320987654320945</v>
      </c>
      <c r="H77" s="2">
        <v>30.652290000000004</v>
      </c>
      <c r="I77" s="2">
        <v>0</v>
      </c>
      <c r="J77" s="2">
        <v>1.9014750000000005</v>
      </c>
      <c r="K77" s="2">
        <v>4.6883969600000004</v>
      </c>
      <c r="L77" s="2">
        <v>2.3459529199999998</v>
      </c>
      <c r="M77" s="2">
        <v>1.8935442387401575</v>
      </c>
      <c r="N77" s="2">
        <v>17.839328535580783</v>
      </c>
      <c r="O77" s="2">
        <v>17.839328535580783</v>
      </c>
      <c r="P77" s="22">
        <f t="shared" si="39"/>
        <v>599.10705000000007</v>
      </c>
      <c r="Q77" s="2">
        <v>1088</v>
      </c>
      <c r="R77" s="23">
        <f t="shared" si="37"/>
        <v>30.867185445577412</v>
      </c>
      <c r="V77" s="23">
        <f t="shared" si="42"/>
        <v>1.6781710084033616</v>
      </c>
    </row>
    <row r="78" spans="5:22" x14ac:dyDescent="0.55000000000000004">
      <c r="E78" t="s">
        <v>197</v>
      </c>
      <c r="F78" s="2" t="s">
        <v>46</v>
      </c>
      <c r="G78" s="2">
        <v>59.598765432098624</v>
      </c>
      <c r="H78" s="2">
        <v>26.485447500000003</v>
      </c>
      <c r="I78" s="2"/>
      <c r="J78" s="2">
        <v>3.3430050000000002</v>
      </c>
      <c r="K78" s="2">
        <v>8.1472102400000015</v>
      </c>
      <c r="L78" s="2">
        <v>2.60366396</v>
      </c>
      <c r="M78" s="2">
        <v>1.9183788982677166</v>
      </c>
      <c r="N78" s="2"/>
      <c r="O78" s="2">
        <v>20.7</v>
      </c>
      <c r="P78" s="22">
        <f>2*H78/100*1000-$C$34</f>
        <v>515.77020000000005</v>
      </c>
      <c r="Q78" s="2">
        <v>1403</v>
      </c>
      <c r="R78" s="23">
        <f t="shared" si="37"/>
        <v>17.759397564225733</v>
      </c>
      <c r="V78" s="23">
        <f>(0.002*H78-1.09*0.002)/100/0.000357</f>
        <v>1.4227141456582635</v>
      </c>
    </row>
    <row r="79" spans="5:22" x14ac:dyDescent="0.55000000000000004">
      <c r="E79" t="s">
        <v>198</v>
      </c>
      <c r="G79" s="2">
        <v>72.314814814815193</v>
      </c>
      <c r="H79" s="2">
        <v>24.090209999999999</v>
      </c>
      <c r="I79" s="2"/>
      <c r="J79" s="2">
        <v>1.9016099999999998</v>
      </c>
      <c r="K79" s="2">
        <v>13.031726240000003</v>
      </c>
      <c r="L79" s="2">
        <v>3.3082073199999993</v>
      </c>
      <c r="M79" s="2">
        <v>1.8937413392125984</v>
      </c>
      <c r="N79" s="2"/>
      <c r="O79" s="2">
        <v>20.7</v>
      </c>
      <c r="P79" s="22">
        <f t="shared" si="39"/>
        <v>467.86544999999995</v>
      </c>
      <c r="Q79" s="2">
        <v>1682</v>
      </c>
      <c r="R79" s="23">
        <f t="shared" si="37"/>
        <v>13.4376906374399</v>
      </c>
      <c r="V79" s="23">
        <f>(0.002*H79-1.09*0.002)/100/0.000357</f>
        <v>1.2885271708683472</v>
      </c>
    </row>
    <row r="80" spans="5:22" x14ac:dyDescent="0.55000000000000004">
      <c r="E80" t="s">
        <v>199</v>
      </c>
      <c r="G80" s="2">
        <v>76.851851851852075</v>
      </c>
      <c r="H80" s="2">
        <v>21.176369999999999</v>
      </c>
      <c r="I80" s="2"/>
      <c r="J80" s="2">
        <v>1.9016774999999999</v>
      </c>
      <c r="K80" s="2">
        <v>15.787361200000003</v>
      </c>
      <c r="L80" s="2">
        <v>3.2567649999999997</v>
      </c>
      <c r="M80" s="2">
        <v>3.8925372302362211</v>
      </c>
      <c r="N80" s="2"/>
      <c r="O80" s="2">
        <v>20.7</v>
      </c>
      <c r="P80" s="22">
        <f t="shared" si="39"/>
        <v>409.58864999999997</v>
      </c>
      <c r="Q80" s="2">
        <v>2106</v>
      </c>
      <c r="R80" s="23">
        <f>P80/O80/Q80*1000</f>
        <v>9.3954849498327757</v>
      </c>
      <c r="V80" s="23">
        <f>(0.002*H80-1.09*0.002)/100/0.000357</f>
        <v>1.1252868347338936</v>
      </c>
    </row>
    <row r="81" spans="5:22" x14ac:dyDescent="0.55000000000000004">
      <c r="E81" t="s">
        <v>200</v>
      </c>
      <c r="G81" s="2">
        <v>27.067901234567913</v>
      </c>
      <c r="H81" s="2">
        <v>12.65868</v>
      </c>
      <c r="I81" s="2">
        <v>0.73995094000000006</v>
      </c>
      <c r="J81" s="2">
        <v>1.8255375</v>
      </c>
      <c r="K81" s="2">
        <v>2.1649888000000006</v>
      </c>
      <c r="L81" s="2">
        <v>1.2551759600000001</v>
      </c>
      <c r="M81" s="2">
        <v>0.60953321102362212</v>
      </c>
      <c r="N81" s="2">
        <v>7.8140348235442936</v>
      </c>
      <c r="O81" s="2">
        <v>34.299999999999997</v>
      </c>
      <c r="P81" s="22">
        <f t="shared" si="39"/>
        <v>239.23484999999999</v>
      </c>
      <c r="Q81" s="2">
        <v>1080</v>
      </c>
      <c r="R81" s="23">
        <f t="shared" si="37"/>
        <v>6.4581268221574346</v>
      </c>
      <c r="V81" s="23">
        <f t="shared" si="42"/>
        <v>0.67012563025210092</v>
      </c>
    </row>
    <row r="82" spans="5:22" x14ac:dyDescent="0.55000000000000004">
      <c r="E82" s="34" t="s">
        <v>9</v>
      </c>
      <c r="G82" s="2">
        <v>0</v>
      </c>
      <c r="H82" s="2">
        <v>41.090220000000002</v>
      </c>
      <c r="I82" s="2">
        <v>2.39981958</v>
      </c>
      <c r="J82" s="2">
        <v>2.8071225000000002</v>
      </c>
      <c r="K82" s="2">
        <v>5.678960560000001</v>
      </c>
      <c r="L82" s="2">
        <v>3.3668082799999999</v>
      </c>
      <c r="M82" s="2">
        <v>0.92686497165354342</v>
      </c>
      <c r="N82" s="2"/>
      <c r="O82" s="2"/>
      <c r="P82" s="22">
        <f t="shared" si="39"/>
        <v>807.86564999999996</v>
      </c>
      <c r="R82" s="23" t="e">
        <f t="shared" si="37"/>
        <v>#DIV/0!</v>
      </c>
      <c r="V82" s="23">
        <f t="shared" si="42"/>
        <v>2.2629289915966386</v>
      </c>
    </row>
    <row r="83" spans="5:22" x14ac:dyDescent="0.55000000000000004">
      <c r="E83" s="34" t="s">
        <v>201</v>
      </c>
      <c r="G83" s="2">
        <v>0</v>
      </c>
      <c r="H83" s="2">
        <v>10.930005</v>
      </c>
      <c r="I83" s="2">
        <v>11.646784999999999</v>
      </c>
      <c r="J83" s="2">
        <v>2.3459625000000002</v>
      </c>
      <c r="K83" s="2">
        <v>3.0285476</v>
      </c>
      <c r="L83" s="2">
        <v>1.2887216799999999</v>
      </c>
      <c r="M83" s="2">
        <v>0.625991100472441</v>
      </c>
      <c r="N83" s="2"/>
      <c r="O83" s="2"/>
      <c r="P83" s="22">
        <f t="shared" si="39"/>
        <v>204.66135</v>
      </c>
      <c r="R83" s="23" t="e">
        <f t="shared" si="37"/>
        <v>#DIV/0!</v>
      </c>
      <c r="V83" s="23">
        <f t="shared" si="42"/>
        <v>0.57328109243697478</v>
      </c>
    </row>
    <row r="84" spans="5:22" x14ac:dyDescent="0.55000000000000004">
      <c r="E84" t="s">
        <v>206</v>
      </c>
      <c r="G84" s="2">
        <v>0</v>
      </c>
      <c r="H84" s="2">
        <v>7.5529125000000006</v>
      </c>
      <c r="I84" s="2">
        <v>11.24439374</v>
      </c>
      <c r="J84" s="2">
        <v>2.2807575000000004</v>
      </c>
      <c r="K84" s="2">
        <v>2.7591054400000004</v>
      </c>
      <c r="L84" s="2">
        <v>1.2224626399999998</v>
      </c>
      <c r="M84" s="2">
        <v>0.6404779851968504</v>
      </c>
      <c r="N84" s="2"/>
      <c r="O84" s="2"/>
      <c r="P84" s="22">
        <f t="shared" si="39"/>
        <v>137.11950000000002</v>
      </c>
      <c r="R84" s="23" t="e">
        <f t="shared" si="37"/>
        <v>#DIV/0!</v>
      </c>
      <c r="V84" s="23"/>
    </row>
    <row r="85" spans="5:22" x14ac:dyDescent="0.55000000000000004">
      <c r="E85" t="s">
        <v>207</v>
      </c>
      <c r="G85" s="2">
        <v>49.87654320987658</v>
      </c>
      <c r="H85" s="2">
        <v>20.519797499999999</v>
      </c>
      <c r="I85" s="2">
        <v>0</v>
      </c>
      <c r="J85" s="2">
        <v>2.9479275000000005</v>
      </c>
      <c r="K85" s="2">
        <v>6.2362310400000007</v>
      </c>
      <c r="L85" s="2">
        <v>2.2607983999999997</v>
      </c>
      <c r="M85" s="2">
        <v>1.7390174683464568</v>
      </c>
      <c r="N85" s="2">
        <v>16.172771301530126</v>
      </c>
      <c r="O85" s="2">
        <v>10.3</v>
      </c>
      <c r="P85" s="22">
        <f t="shared" si="39"/>
        <v>396.4572</v>
      </c>
      <c r="Q85" s="2">
        <v>1385</v>
      </c>
      <c r="R85" s="23">
        <f t="shared" si="37"/>
        <v>27.791328730153168</v>
      </c>
      <c r="V85" s="23">
        <f>(0.002*H85-1.09*0.002)/100/(0.000357/2)</f>
        <v>2.1770081232492995</v>
      </c>
    </row>
    <row r="86" spans="5:22" x14ac:dyDescent="0.55000000000000004">
      <c r="E86" t="s">
        <v>208</v>
      </c>
      <c r="G86" s="2">
        <v>22.37654320987653</v>
      </c>
      <c r="H86" s="2">
        <v>17.688307500000001</v>
      </c>
      <c r="I86" s="2">
        <v>0.51767660000000004</v>
      </c>
      <c r="J86" s="2">
        <v>1.66428</v>
      </c>
      <c r="K86" s="2">
        <v>2.3081645600000003</v>
      </c>
      <c r="L86" s="2">
        <v>1.33333832</v>
      </c>
      <c r="M86" s="2">
        <v>0.92124760818897644</v>
      </c>
      <c r="N86" s="2"/>
      <c r="O86" s="2">
        <v>52.9</v>
      </c>
      <c r="P86" s="22">
        <f t="shared" si="39"/>
        <v>339.82739999999995</v>
      </c>
      <c r="Q86" s="2">
        <v>1041</v>
      </c>
      <c r="R86" s="23">
        <f t="shared" si="37"/>
        <v>6.1709494832836675</v>
      </c>
      <c r="V86" s="23">
        <f>(0.002*H86-$H$40*0.002)/100/0.000357</f>
        <v>0.9518974789915966</v>
      </c>
    </row>
    <row r="87" spans="5:22" x14ac:dyDescent="0.55000000000000004">
      <c r="E87" t="s">
        <v>209</v>
      </c>
      <c r="G87" s="2">
        <v>31.574074074074559</v>
      </c>
      <c r="H87" s="2">
        <v>17.671432500000002</v>
      </c>
      <c r="I87" s="2">
        <v>0.46872443999999996</v>
      </c>
      <c r="J87" s="2">
        <v>1.6791975000000001</v>
      </c>
      <c r="K87" s="2">
        <v>2.1605584000000002</v>
      </c>
      <c r="L87" s="2">
        <v>1.2829781199999999</v>
      </c>
      <c r="M87" s="2">
        <v>0.69172410803149609</v>
      </c>
      <c r="N87" s="2">
        <v>7.619459006043062</v>
      </c>
      <c r="O87" s="2">
        <v>52.9</v>
      </c>
      <c r="P87" s="22">
        <f t="shared" si="39"/>
        <v>339.48989999999998</v>
      </c>
      <c r="Q87" s="2">
        <v>1067</v>
      </c>
      <c r="R87" s="23">
        <f t="shared" si="37"/>
        <v>6.0146002342131979</v>
      </c>
      <c r="V87" s="23">
        <f t="shared" si="42"/>
        <v>0.9509521008403361</v>
      </c>
    </row>
    <row r="88" spans="5:22" x14ac:dyDescent="0.55000000000000004">
      <c r="E88" t="s">
        <v>210</v>
      </c>
      <c r="G88" s="2">
        <v>40.77160493827148</v>
      </c>
      <c r="H88" s="2">
        <v>22.940145000000005</v>
      </c>
      <c r="I88" s="2">
        <v>2.4905162199999999</v>
      </c>
      <c r="J88" s="2">
        <v>2.7420525000000002</v>
      </c>
      <c r="K88" s="2">
        <v>3.20052096</v>
      </c>
      <c r="L88" s="2">
        <v>1.60586608</v>
      </c>
      <c r="M88" s="2">
        <v>1.1761970692913386</v>
      </c>
      <c r="N88" s="2"/>
      <c r="O88" s="2">
        <v>20.7</v>
      </c>
      <c r="P88" s="22">
        <f t="shared" si="39"/>
        <v>444.86415000000005</v>
      </c>
      <c r="Q88" s="2">
        <v>1068</v>
      </c>
      <c r="R88" s="23">
        <f t="shared" si="37"/>
        <v>20.12267953102101</v>
      </c>
      <c r="V88" s="23">
        <f t="shared" si="42"/>
        <v>1.246118067226891</v>
      </c>
    </row>
    <row r="89" spans="5:22" x14ac:dyDescent="0.55000000000000004">
      <c r="E89" t="s">
        <v>211</v>
      </c>
      <c r="G89" s="2">
        <v>37.006172839506057</v>
      </c>
      <c r="H89" s="2">
        <v>18.583155000000001</v>
      </c>
      <c r="I89" s="2">
        <v>0.44436097999999996</v>
      </c>
      <c r="J89" s="2">
        <v>1.7758575000000003</v>
      </c>
      <c r="K89" s="2">
        <v>2.5330812000000003</v>
      </c>
      <c r="L89" s="2">
        <v>1.4944077199999997</v>
      </c>
      <c r="M89" s="2">
        <v>0.8429001703937008</v>
      </c>
      <c r="N89" s="2">
        <v>11.332410269112355</v>
      </c>
      <c r="O89" s="2">
        <v>29.6</v>
      </c>
      <c r="P89" s="22">
        <f t="shared" si="39"/>
        <v>357.72435000000002</v>
      </c>
      <c r="Q89" s="2">
        <v>1077</v>
      </c>
      <c r="R89" s="23">
        <f t="shared" si="37"/>
        <v>11.22124614168486</v>
      </c>
      <c r="V89" s="23">
        <f t="shared" si="42"/>
        <v>1.0020289915966385</v>
      </c>
    </row>
    <row r="90" spans="5:22" x14ac:dyDescent="0.55000000000000004">
      <c r="E90" t="s">
        <v>212</v>
      </c>
      <c r="G90" s="2">
        <v>27.098765432098716</v>
      </c>
      <c r="H90" s="2">
        <v>10.917585000000001</v>
      </c>
      <c r="I90" s="2">
        <v>0</v>
      </c>
      <c r="J90" s="2">
        <v>2.9625075000000005</v>
      </c>
      <c r="K90" s="2">
        <v>2.5728071200000002</v>
      </c>
      <c r="L90" s="2">
        <v>1.0137799599999999</v>
      </c>
      <c r="M90" s="2">
        <v>0.79815836314960642</v>
      </c>
      <c r="N90" s="2"/>
      <c r="O90" s="2">
        <v>20.7</v>
      </c>
      <c r="P90" s="22">
        <f t="shared" si="39"/>
        <v>204.41295000000002</v>
      </c>
      <c r="Q90" s="2">
        <v>1047</v>
      </c>
      <c r="R90" s="23">
        <f t="shared" si="37"/>
        <v>9.4317304098667023</v>
      </c>
      <c r="V90" s="23">
        <f t="shared" si="42"/>
        <v>0.57258529411764703</v>
      </c>
    </row>
    <row r="91" spans="5:22" x14ac:dyDescent="0.55000000000000004">
      <c r="E91" t="s">
        <v>213</v>
      </c>
      <c r="G91" s="2">
        <v>25.555555555555259</v>
      </c>
      <c r="H91" s="2">
        <v>9.1196550000000016</v>
      </c>
      <c r="I91" s="2">
        <v>0.32201812000000002</v>
      </c>
      <c r="J91" s="2">
        <v>1.5379874999999998</v>
      </c>
      <c r="K91" s="2">
        <v>2.6015308800000003</v>
      </c>
      <c r="L91" s="2">
        <v>1.2268743599999998</v>
      </c>
      <c r="M91" s="2">
        <v>0</v>
      </c>
      <c r="O91" s="2">
        <v>29.6</v>
      </c>
      <c r="P91" s="22">
        <f t="shared" si="39"/>
        <v>168.45435000000003</v>
      </c>
      <c r="Q91" s="2">
        <v>1061</v>
      </c>
      <c r="R91" s="23">
        <f t="shared" si="37"/>
        <v>5.3638316096492353</v>
      </c>
      <c r="V91" s="23">
        <f t="shared" si="42"/>
        <v>0.47186092436974802</v>
      </c>
    </row>
    <row r="92" spans="5:22" x14ac:dyDescent="0.55000000000000004">
      <c r="E92" t="s">
        <v>215</v>
      </c>
      <c r="P92" s="22">
        <f t="shared" si="39"/>
        <v>-13.938750000000001</v>
      </c>
      <c r="Q92" s="2">
        <v>1382</v>
      </c>
      <c r="R92" s="23" t="e">
        <f t="shared" si="37"/>
        <v>#DIV/0!</v>
      </c>
      <c r="V92" s="23">
        <f t="shared" si="42"/>
        <v>-3.9044117647058826E-2</v>
      </c>
    </row>
    <row r="93" spans="5:22" x14ac:dyDescent="0.55000000000000004">
      <c r="E93" t="s">
        <v>235</v>
      </c>
      <c r="H93" s="2">
        <v>4.7</v>
      </c>
      <c r="O93" s="2">
        <v>70</v>
      </c>
      <c r="P93" s="22">
        <f t="shared" si="39"/>
        <v>80.061250000000001</v>
      </c>
      <c r="Q93" s="2">
        <v>1047</v>
      </c>
      <c r="R93" s="23">
        <f t="shared" si="37"/>
        <v>1.0923898212580163</v>
      </c>
      <c r="V93" s="23">
        <f>(0.002*H93-$H$39*0.002)/100/0.000357</f>
        <v>2.2782212885154016E-2</v>
      </c>
    </row>
    <row r="94" spans="5:22" x14ac:dyDescent="0.55000000000000004">
      <c r="H94" s="2">
        <v>42.438271604938748</v>
      </c>
      <c r="I94" s="2">
        <v>4.9593600000000002</v>
      </c>
      <c r="J94" s="2">
        <v>8.6009770999999979</v>
      </c>
      <c r="K94" s="2">
        <v>1.6503750000000001</v>
      </c>
      <c r="L94" s="2">
        <v>2.6750016800000003</v>
      </c>
      <c r="M94" s="2">
        <v>1.01519504</v>
      </c>
      <c r="N94" s="2">
        <v>0.61347522047244107</v>
      </c>
      <c r="O94" s="2">
        <v>22.923887564466309</v>
      </c>
    </row>
  </sheetData>
  <phoneticPr fontId="1"/>
  <dataValidations count="1">
    <dataValidation type="list" allowBlank="1" showInputMessage="1" showErrorMessage="1" sqref="F33:F97 I23:BO23 H2:DE2" xr:uid="{A2CF268A-563F-4946-9447-8A1DB702C57A}">
      <formula1>"milled,Avicel"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0444-1524-440A-B9FD-3801F8C981C5}">
  <dimension ref="A1:FF94"/>
  <sheetViews>
    <sheetView zoomScale="81" zoomScaleNormal="69" workbookViewId="0">
      <pane xSplit="6" topLeftCell="EE1" activePane="topRight" state="frozen"/>
      <selection pane="topRight" activeCell="EL5" sqref="EL5"/>
    </sheetView>
  </sheetViews>
  <sheetFormatPr defaultRowHeight="18" x14ac:dyDescent="0.55000000000000004"/>
  <cols>
    <col min="1" max="4" width="8.6640625" hidden="1" customWidth="1"/>
    <col min="5" max="5" width="9.08203125" bestFit="1" customWidth="1"/>
    <col min="6" max="6" width="11.5" customWidth="1"/>
    <col min="7" max="7" width="12.1640625" customWidth="1"/>
    <col min="8" max="8" width="11.6640625" customWidth="1"/>
    <col min="9" max="9" width="10.5" bestFit="1" customWidth="1"/>
    <col min="10" max="10" width="12" customWidth="1"/>
    <col min="11" max="11" width="11.58203125" customWidth="1"/>
    <col min="12" max="12" width="11.25" customWidth="1"/>
    <col min="13" max="13" width="11.5" customWidth="1"/>
    <col min="14" max="14" width="12" customWidth="1"/>
    <col min="15" max="15" width="11.6640625" customWidth="1"/>
    <col min="16" max="16" width="10.75" customWidth="1"/>
    <col min="17" max="17" width="11.9140625" customWidth="1"/>
    <col min="18" max="18" width="11.25" customWidth="1"/>
    <col min="19" max="19" width="10.83203125" customWidth="1"/>
    <col min="20" max="20" width="10.5" customWidth="1"/>
    <col min="21" max="21" width="12.4140625" customWidth="1"/>
    <col min="22" max="24" width="10.75" bestFit="1" customWidth="1"/>
    <col min="25" max="34" width="10.5" bestFit="1" customWidth="1"/>
    <col min="35" max="35" width="9.4140625" bestFit="1" customWidth="1"/>
    <col min="36" max="36" width="10.5" bestFit="1" customWidth="1"/>
    <col min="37" max="37" width="9.4140625" bestFit="1" customWidth="1"/>
    <col min="39" max="41" width="10.5" bestFit="1" customWidth="1"/>
    <col min="42" max="42" width="9.4140625" bestFit="1" customWidth="1"/>
    <col min="43" max="46" width="10.5" bestFit="1" customWidth="1"/>
    <col min="47" max="61" width="11" bestFit="1" customWidth="1"/>
    <col min="62" max="62" width="11" customWidth="1"/>
    <col min="63" max="66" width="11" bestFit="1" customWidth="1"/>
    <col min="67" max="67" width="9.83203125" bestFit="1" customWidth="1"/>
    <col min="69" max="79" width="11" bestFit="1" customWidth="1"/>
    <col min="80" max="80" width="9.83203125" bestFit="1" customWidth="1"/>
    <col min="81" max="85" width="11" bestFit="1" customWidth="1"/>
    <col min="86" max="86" width="9.83203125" bestFit="1" customWidth="1"/>
    <col min="87" max="90" width="11" bestFit="1" customWidth="1"/>
    <col min="91" max="92" width="12" bestFit="1" customWidth="1"/>
    <col min="93" max="93" width="11" bestFit="1" customWidth="1"/>
    <col min="94" max="95" width="12" bestFit="1" customWidth="1"/>
    <col min="96" max="105" width="11" bestFit="1" customWidth="1"/>
    <col min="106" max="106" width="12" bestFit="1" customWidth="1"/>
    <col min="107" max="107" width="11" bestFit="1" customWidth="1"/>
    <col min="108" max="108" width="11.83203125" customWidth="1"/>
    <col min="109" max="109" width="13.9140625" customWidth="1"/>
    <col min="110" max="110" width="11.83203125" customWidth="1"/>
    <col min="111" max="112" width="11" bestFit="1" customWidth="1"/>
    <col min="113" max="114" width="12" bestFit="1" customWidth="1"/>
    <col min="115" max="119" width="11" bestFit="1" customWidth="1"/>
    <col min="120" max="120" width="9.83203125" bestFit="1" customWidth="1"/>
    <col min="121" max="135" width="11" bestFit="1" customWidth="1"/>
    <col min="136" max="136" width="9.83203125" bestFit="1" customWidth="1"/>
    <col min="137" max="141" width="11" bestFit="1" customWidth="1"/>
    <col min="142" max="142" width="9.83203125" bestFit="1" customWidth="1"/>
  </cols>
  <sheetData>
    <row r="1" spans="1:162" x14ac:dyDescent="0.55000000000000004">
      <c r="D1" t="s">
        <v>1</v>
      </c>
      <c r="G1" s="2"/>
      <c r="H1" s="36" t="s">
        <v>9</v>
      </c>
      <c r="I1" s="2"/>
      <c r="J1" s="2" t="s">
        <v>10</v>
      </c>
      <c r="K1" s="2"/>
      <c r="L1" s="2" t="s">
        <v>19</v>
      </c>
      <c r="M1" s="2"/>
      <c r="N1" s="2" t="s">
        <v>11</v>
      </c>
      <c r="O1" s="2"/>
      <c r="P1" t="s">
        <v>32</v>
      </c>
      <c r="R1" t="s">
        <v>40</v>
      </c>
      <c r="T1" t="s">
        <v>42</v>
      </c>
      <c r="U1" t="s">
        <v>43</v>
      </c>
      <c r="V1" t="s">
        <v>45</v>
      </c>
      <c r="W1" t="s">
        <v>49</v>
      </c>
      <c r="X1" t="s">
        <v>47</v>
      </c>
      <c r="Y1" t="s">
        <v>52</v>
      </c>
      <c r="Z1" t="s">
        <v>53</v>
      </c>
      <c r="AA1" t="s">
        <v>54</v>
      </c>
      <c r="AB1" t="s">
        <v>55</v>
      </c>
      <c r="AC1" t="s">
        <v>81</v>
      </c>
      <c r="AD1" t="s">
        <v>60</v>
      </c>
      <c r="AE1" t="s">
        <v>70</v>
      </c>
      <c r="AF1" t="s">
        <v>72</v>
      </c>
      <c r="AG1" t="s">
        <v>73</v>
      </c>
      <c r="AH1" s="30" t="s">
        <v>75</v>
      </c>
      <c r="AI1" s="30" t="s">
        <v>76</v>
      </c>
      <c r="AJ1" s="30" t="s">
        <v>79</v>
      </c>
      <c r="AK1" t="s">
        <v>77</v>
      </c>
      <c r="AL1" s="30" t="s">
        <v>78</v>
      </c>
      <c r="AM1" t="s">
        <v>80</v>
      </c>
      <c r="AN1" s="30" t="s">
        <v>89</v>
      </c>
      <c r="AO1" t="s">
        <v>90</v>
      </c>
      <c r="AP1" t="s">
        <v>111</v>
      </c>
      <c r="AQ1" t="s">
        <v>132</v>
      </c>
      <c r="AR1" t="s">
        <v>129</v>
      </c>
      <c r="AS1" t="s">
        <v>130</v>
      </c>
      <c r="AT1" s="30" t="s">
        <v>90</v>
      </c>
      <c r="AU1" t="s">
        <v>148</v>
      </c>
      <c r="AV1" t="s">
        <v>153</v>
      </c>
      <c r="AW1" t="s">
        <v>162</v>
      </c>
      <c r="AX1" t="s">
        <v>163</v>
      </c>
      <c r="AY1" t="s">
        <v>189</v>
      </c>
      <c r="AZ1" t="s">
        <v>192</v>
      </c>
      <c r="BA1" t="s">
        <v>197</v>
      </c>
      <c r="BB1" t="s">
        <v>198</v>
      </c>
      <c r="BC1" t="s">
        <v>199</v>
      </c>
      <c r="BD1" t="s">
        <v>200</v>
      </c>
      <c r="BE1" s="34" t="s">
        <v>9</v>
      </c>
      <c r="BF1" s="34" t="s">
        <v>201</v>
      </c>
      <c r="BG1" s="54" t="s">
        <v>206</v>
      </c>
      <c r="BH1" t="s">
        <v>207</v>
      </c>
      <c r="BI1" t="s">
        <v>208</v>
      </c>
      <c r="BJ1" t="s">
        <v>209</v>
      </c>
      <c r="BK1" t="s">
        <v>210</v>
      </c>
      <c r="BL1" t="s">
        <v>211</v>
      </c>
      <c r="BM1" t="s">
        <v>212</v>
      </c>
      <c r="BN1" t="s">
        <v>213</v>
      </c>
      <c r="BO1" t="s">
        <v>215</v>
      </c>
      <c r="BP1" t="s">
        <v>236</v>
      </c>
      <c r="BQ1" t="s">
        <v>235</v>
      </c>
      <c r="BR1" t="s">
        <v>240</v>
      </c>
      <c r="BS1" t="s">
        <v>239</v>
      </c>
      <c r="BT1" t="s">
        <v>241</v>
      </c>
      <c r="BU1" t="s">
        <v>242</v>
      </c>
      <c r="BV1" s="49" t="s">
        <v>244</v>
      </c>
      <c r="BW1" t="s">
        <v>243</v>
      </c>
      <c r="BX1" t="s">
        <v>245</v>
      </c>
      <c r="BY1" t="s">
        <v>247</v>
      </c>
      <c r="BZ1" t="s">
        <v>256</v>
      </c>
      <c r="CA1" t="s">
        <v>257</v>
      </c>
      <c r="CB1" s="49" t="s">
        <v>259</v>
      </c>
      <c r="CC1" s="49" t="s">
        <v>258</v>
      </c>
      <c r="CD1" t="s">
        <v>263</v>
      </c>
      <c r="CE1" t="s">
        <v>265</v>
      </c>
      <c r="CF1" s="66" t="s">
        <v>266</v>
      </c>
      <c r="CG1" t="s">
        <v>271</v>
      </c>
      <c r="CH1" t="s">
        <v>272</v>
      </c>
      <c r="CI1" t="s">
        <v>277</v>
      </c>
      <c r="CJ1" t="s">
        <v>273</v>
      </c>
      <c r="CK1" t="s">
        <v>278</v>
      </c>
      <c r="CL1" t="s">
        <v>276</v>
      </c>
      <c r="CM1" s="5" t="s">
        <v>26</v>
      </c>
      <c r="CN1" s="5" t="s">
        <v>63</v>
      </c>
      <c r="CO1" s="5" t="s">
        <v>288</v>
      </c>
      <c r="CP1" s="5" t="s">
        <v>289</v>
      </c>
      <c r="CQ1" t="s">
        <v>287</v>
      </c>
      <c r="CR1" s="5" t="s">
        <v>290</v>
      </c>
      <c r="CS1" s="52"/>
      <c r="CT1" s="53" t="s">
        <v>291</v>
      </c>
      <c r="CU1" t="s">
        <v>292</v>
      </c>
      <c r="CV1" s="65" t="s">
        <v>294</v>
      </c>
      <c r="CW1" s="56" t="s">
        <v>295</v>
      </c>
      <c r="CX1" t="s">
        <v>293</v>
      </c>
      <c r="CY1" s="56" t="s">
        <v>296</v>
      </c>
      <c r="CZ1" t="s">
        <v>297</v>
      </c>
      <c r="DA1" t="s">
        <v>298</v>
      </c>
      <c r="DB1" s="5" t="s">
        <v>300</v>
      </c>
      <c r="DC1" s="5" t="s">
        <v>299</v>
      </c>
      <c r="DD1" t="s">
        <v>9</v>
      </c>
      <c r="DE1" t="s">
        <v>19</v>
      </c>
      <c r="DF1" t="s">
        <v>301</v>
      </c>
      <c r="DG1" s="60" t="s">
        <v>302</v>
      </c>
      <c r="DH1" t="s">
        <v>246</v>
      </c>
      <c r="DI1">
        <v>404</v>
      </c>
      <c r="DJ1" t="s">
        <v>315</v>
      </c>
      <c r="DK1" t="s">
        <v>316</v>
      </c>
      <c r="DL1" t="s">
        <v>317</v>
      </c>
      <c r="DM1" t="s">
        <v>318</v>
      </c>
      <c r="DN1" t="s">
        <v>319</v>
      </c>
      <c r="DO1" t="s">
        <v>320</v>
      </c>
      <c r="DP1" t="s">
        <v>322</v>
      </c>
      <c r="DQ1" t="s">
        <v>323</v>
      </c>
      <c r="DR1" t="s">
        <v>325</v>
      </c>
      <c r="DT1" t="s">
        <v>326</v>
      </c>
      <c r="DU1" s="66" t="s">
        <v>327</v>
      </c>
      <c r="DV1" s="66" t="s">
        <v>328</v>
      </c>
      <c r="DW1" s="66" t="s">
        <v>329</v>
      </c>
      <c r="DX1" t="s">
        <v>327</v>
      </c>
      <c r="DY1" t="s">
        <v>338</v>
      </c>
      <c r="DZ1" s="66" t="s">
        <v>339</v>
      </c>
      <c r="EA1" s="66" t="s">
        <v>340</v>
      </c>
      <c r="EB1" t="s">
        <v>348</v>
      </c>
      <c r="EC1" t="s">
        <v>349</v>
      </c>
      <c r="ED1" t="s">
        <v>354</v>
      </c>
      <c r="EE1" t="s">
        <v>237</v>
      </c>
      <c r="EF1" t="s">
        <v>357</v>
      </c>
      <c r="EG1" t="s">
        <v>359</v>
      </c>
      <c r="EH1" t="s">
        <v>358</v>
      </c>
      <c r="EI1" t="s">
        <v>360</v>
      </c>
      <c r="EJ1" t="s">
        <v>363</v>
      </c>
      <c r="EK1" t="s">
        <v>362</v>
      </c>
    </row>
    <row r="2" spans="1:162" x14ac:dyDescent="0.55000000000000004">
      <c r="A2" t="s">
        <v>3</v>
      </c>
      <c r="B2" t="s">
        <v>2</v>
      </c>
      <c r="C2" s="1">
        <v>3.3750000000000001E-8</v>
      </c>
      <c r="G2" s="2"/>
      <c r="H2" s="2" t="s">
        <v>16</v>
      </c>
      <c r="I2" s="22" t="s">
        <v>17</v>
      </c>
      <c r="J2" s="2" t="s">
        <v>16</v>
      </c>
      <c r="K2" s="22" t="s">
        <v>17</v>
      </c>
      <c r="L2" s="2" t="s">
        <v>16</v>
      </c>
      <c r="M2" s="22" t="s">
        <v>17</v>
      </c>
      <c r="N2" s="2" t="s">
        <v>16</v>
      </c>
      <c r="O2" s="22" t="s">
        <v>17</v>
      </c>
      <c r="P2" s="22" t="s">
        <v>17</v>
      </c>
      <c r="Q2" s="2" t="s">
        <v>16</v>
      </c>
      <c r="R2" s="22" t="s">
        <v>17</v>
      </c>
      <c r="S2" s="2" t="s">
        <v>16</v>
      </c>
      <c r="T2" s="22" t="s">
        <v>17</v>
      </c>
      <c r="U2" s="22" t="s">
        <v>17</v>
      </c>
      <c r="V2" s="22" t="s">
        <v>17</v>
      </c>
      <c r="W2" s="2" t="s">
        <v>48</v>
      </c>
      <c r="X2" s="22" t="s">
        <v>46</v>
      </c>
      <c r="Y2" s="22" t="s">
        <v>46</v>
      </c>
      <c r="Z2" s="22" t="s">
        <v>46</v>
      </c>
      <c r="AA2" s="22" t="s">
        <v>46</v>
      </c>
      <c r="AB2" s="22" t="s">
        <v>46</v>
      </c>
      <c r="AC2" s="22" t="s">
        <v>46</v>
      </c>
      <c r="AD2" s="22" t="s">
        <v>46</v>
      </c>
      <c r="AE2" s="22" t="s">
        <v>46</v>
      </c>
      <c r="AF2" s="22" t="s">
        <v>46</v>
      </c>
      <c r="AG2" s="22" t="s">
        <v>46</v>
      </c>
      <c r="AH2" s="30" t="s">
        <v>46</v>
      </c>
      <c r="AI2" s="31" t="s">
        <v>46</v>
      </c>
      <c r="AJ2" s="31" t="s">
        <v>46</v>
      </c>
      <c r="AK2" s="22" t="s">
        <v>46</v>
      </c>
      <c r="AL2" s="31" t="s">
        <v>46</v>
      </c>
      <c r="AM2" s="23" t="s">
        <v>46</v>
      </c>
      <c r="AN2" s="30" t="s">
        <v>46</v>
      </c>
      <c r="AO2" s="23" t="s">
        <v>46</v>
      </c>
      <c r="AP2" s="23" t="s">
        <v>46</v>
      </c>
      <c r="AQ2" s="23" t="s">
        <v>46</v>
      </c>
      <c r="AR2" s="23" t="s">
        <v>46</v>
      </c>
      <c r="AS2" s="23" t="s">
        <v>46</v>
      </c>
      <c r="AT2" s="23" t="s">
        <v>46</v>
      </c>
      <c r="AU2" s="23" t="s">
        <v>46</v>
      </c>
      <c r="AV2" s="23" t="s">
        <v>46</v>
      </c>
      <c r="AW2" s="23" t="s">
        <v>46</v>
      </c>
      <c r="AX2" s="23" t="s">
        <v>46</v>
      </c>
      <c r="AY2" s="23" t="s">
        <v>46</v>
      </c>
      <c r="AZ2" s="23" t="s">
        <v>46</v>
      </c>
      <c r="BA2" s="23" t="s">
        <v>46</v>
      </c>
      <c r="BB2" s="23" t="s">
        <v>46</v>
      </c>
      <c r="BC2" s="23" t="s">
        <v>46</v>
      </c>
      <c r="BD2" s="23" t="s">
        <v>46</v>
      </c>
      <c r="BE2" s="23" t="s">
        <v>46</v>
      </c>
      <c r="BF2" s="23" t="s">
        <v>46</v>
      </c>
      <c r="BG2" s="54" t="s">
        <v>46</v>
      </c>
      <c r="BH2" s="23" t="s">
        <v>46</v>
      </c>
      <c r="BI2" s="23" t="s">
        <v>46</v>
      </c>
      <c r="BJ2" s="23" t="s">
        <v>46</v>
      </c>
      <c r="BK2" s="23" t="s">
        <v>46</v>
      </c>
      <c r="BL2" s="23" t="s">
        <v>46</v>
      </c>
      <c r="BM2" s="23" t="s">
        <v>46</v>
      </c>
      <c r="BN2" s="23" t="s">
        <v>46</v>
      </c>
      <c r="BO2" s="23" t="s">
        <v>46</v>
      </c>
      <c r="BP2" s="23" t="s">
        <v>46</v>
      </c>
      <c r="BQ2" s="23" t="s">
        <v>46</v>
      </c>
      <c r="BR2" s="23" t="s">
        <v>46</v>
      </c>
      <c r="BS2" s="23" t="s">
        <v>46</v>
      </c>
      <c r="BT2" s="23" t="s">
        <v>46</v>
      </c>
      <c r="BU2" s="23" t="s">
        <v>46</v>
      </c>
      <c r="BV2" s="49" t="s">
        <v>46</v>
      </c>
      <c r="BW2" s="23" t="s">
        <v>46</v>
      </c>
      <c r="BX2" s="23" t="s">
        <v>46</v>
      </c>
      <c r="BY2" s="23" t="s">
        <v>46</v>
      </c>
      <c r="BZ2" s="23" t="s">
        <v>46</v>
      </c>
      <c r="CA2" s="23" t="s">
        <v>46</v>
      </c>
      <c r="CB2" s="49" t="s">
        <v>46</v>
      </c>
      <c r="CC2" s="49" t="s">
        <v>46</v>
      </c>
      <c r="CD2" s="23" t="s">
        <v>46</v>
      </c>
      <c r="CE2" s="23" t="s">
        <v>46</v>
      </c>
      <c r="CF2" s="23" t="s">
        <v>46</v>
      </c>
      <c r="CG2" s="23" t="s">
        <v>46</v>
      </c>
      <c r="CH2" s="23" t="s">
        <v>46</v>
      </c>
      <c r="CI2" s="23" t="s">
        <v>46</v>
      </c>
      <c r="CJ2" s="23" t="s">
        <v>46</v>
      </c>
      <c r="CK2" s="23" t="s">
        <v>46</v>
      </c>
      <c r="CL2" s="23" t="s">
        <v>46</v>
      </c>
      <c r="CM2" s="23" t="s">
        <v>46</v>
      </c>
      <c r="CN2" s="23" t="s">
        <v>46</v>
      </c>
      <c r="CO2" s="23" t="s">
        <v>46</v>
      </c>
      <c r="CP2" s="23" t="s">
        <v>46</v>
      </c>
      <c r="CQ2" s="23" t="s">
        <v>46</v>
      </c>
      <c r="CR2" s="23" t="s">
        <v>46</v>
      </c>
      <c r="CS2" s="23" t="s">
        <v>46</v>
      </c>
      <c r="CT2" s="23" t="s">
        <v>46</v>
      </c>
      <c r="CU2" s="23" t="s">
        <v>46</v>
      </c>
      <c r="CV2" s="23" t="s">
        <v>46</v>
      </c>
      <c r="CW2" s="23" t="s">
        <v>46</v>
      </c>
      <c r="CX2" s="23" t="s">
        <v>46</v>
      </c>
      <c r="CY2" s="23" t="s">
        <v>46</v>
      </c>
      <c r="CZ2" s="23" t="s">
        <v>46</v>
      </c>
      <c r="DA2" s="23" t="s">
        <v>46</v>
      </c>
      <c r="DB2" s="23" t="s">
        <v>46</v>
      </c>
      <c r="DC2" s="23" t="s">
        <v>46</v>
      </c>
      <c r="DD2" s="23" t="s">
        <v>46</v>
      </c>
      <c r="DE2" s="23" t="s">
        <v>46</v>
      </c>
      <c r="DF2" s="23" t="s">
        <v>46</v>
      </c>
      <c r="DG2" s="23" t="s">
        <v>46</v>
      </c>
      <c r="DH2" s="23" t="s">
        <v>46</v>
      </c>
      <c r="DI2" s="23" t="s">
        <v>46</v>
      </c>
      <c r="DJ2" s="23" t="s">
        <v>46</v>
      </c>
      <c r="DK2" s="23" t="s">
        <v>46</v>
      </c>
      <c r="DL2" s="23" t="s">
        <v>46</v>
      </c>
      <c r="DM2" s="23" t="s">
        <v>46</v>
      </c>
      <c r="DN2" s="23" t="s">
        <v>46</v>
      </c>
      <c r="DO2" s="23" t="s">
        <v>46</v>
      </c>
      <c r="DP2" s="23" t="s">
        <v>46</v>
      </c>
      <c r="DQ2" s="23" t="s">
        <v>46</v>
      </c>
      <c r="DR2" s="23" t="s">
        <v>46</v>
      </c>
      <c r="DS2" s="23" t="s">
        <v>46</v>
      </c>
      <c r="DT2" s="23" t="s">
        <v>46</v>
      </c>
      <c r="DU2" s="23" t="s">
        <v>46</v>
      </c>
      <c r="DV2" s="23" t="s">
        <v>46</v>
      </c>
      <c r="DW2" s="23" t="s">
        <v>46</v>
      </c>
      <c r="DX2" s="23" t="s">
        <v>46</v>
      </c>
      <c r="DY2" s="23" t="s">
        <v>46</v>
      </c>
      <c r="DZ2" s="23" t="s">
        <v>46</v>
      </c>
      <c r="EA2" s="23" t="s">
        <v>46</v>
      </c>
      <c r="EB2" s="23" t="s">
        <v>46</v>
      </c>
      <c r="EC2" s="23" t="s">
        <v>46</v>
      </c>
      <c r="ED2" s="23" t="s">
        <v>46</v>
      </c>
      <c r="EE2" s="23" t="s">
        <v>46</v>
      </c>
      <c r="EF2" s="23" t="s">
        <v>46</v>
      </c>
      <c r="EG2" s="23" t="s">
        <v>46</v>
      </c>
      <c r="EH2" s="23" t="s">
        <v>46</v>
      </c>
      <c r="EI2" s="23" t="s">
        <v>46</v>
      </c>
      <c r="EJ2" s="23" t="s">
        <v>46</v>
      </c>
      <c r="EK2" s="23" t="s">
        <v>46</v>
      </c>
      <c r="EL2" s="23" t="s">
        <v>46</v>
      </c>
      <c r="EM2" s="23" t="s">
        <v>46</v>
      </c>
      <c r="EN2" s="23" t="s">
        <v>46</v>
      </c>
      <c r="EO2" s="23" t="s">
        <v>46</v>
      </c>
      <c r="EP2" s="23" t="s">
        <v>46</v>
      </c>
      <c r="EQ2" s="23" t="s">
        <v>46</v>
      </c>
      <c r="ER2" s="23" t="s">
        <v>46</v>
      </c>
      <c r="ES2" s="23" t="s">
        <v>46</v>
      </c>
      <c r="ET2" s="23" t="s">
        <v>46</v>
      </c>
      <c r="EU2" s="23" t="s">
        <v>46</v>
      </c>
      <c r="EV2" s="23" t="s">
        <v>46</v>
      </c>
      <c r="EW2" s="23" t="s">
        <v>46</v>
      </c>
      <c r="EX2" s="23" t="s">
        <v>46</v>
      </c>
      <c r="EY2" s="23" t="s">
        <v>46</v>
      </c>
      <c r="EZ2" s="23" t="s">
        <v>46</v>
      </c>
      <c r="FA2" s="23" t="s">
        <v>46</v>
      </c>
      <c r="FB2" s="23" t="s">
        <v>46</v>
      </c>
      <c r="FC2" s="23" t="s">
        <v>46</v>
      </c>
      <c r="FD2" s="23" t="s">
        <v>46</v>
      </c>
      <c r="FE2" s="23" t="s">
        <v>46</v>
      </c>
      <c r="FF2" s="23" t="s">
        <v>46</v>
      </c>
    </row>
    <row r="3" spans="1:162" x14ac:dyDescent="0.55000000000000004">
      <c r="B3" t="s">
        <v>6</v>
      </c>
      <c r="C3" s="1">
        <v>3.3750000000000001E-8</v>
      </c>
      <c r="D3">
        <v>324.3</v>
      </c>
      <c r="G3" s="4" t="s">
        <v>18</v>
      </c>
      <c r="H3" s="2">
        <f>100-(9.1561-9.0956)/0.324*100</f>
        <v>81.327160493826824</v>
      </c>
      <c r="I3" s="22">
        <f>100-(9.3372-9.0998)/0.324*100</f>
        <v>26.728395061728648</v>
      </c>
      <c r="J3" s="2">
        <f>100-(9.109-9.0928)/0.324*100</f>
        <v>95.000000000000142</v>
      </c>
      <c r="K3" s="22">
        <f>100-(9.3242-9.0986)/0.324*100</f>
        <v>30.370370370370367</v>
      </c>
      <c r="L3" s="2">
        <f>100-(9.2477-9.1004)/0.324*100</f>
        <v>54.53703703703718</v>
      </c>
      <c r="M3" s="22">
        <f>100-(9.3564-9.0905)/0.324*100</f>
        <v>17.932098765432031</v>
      </c>
      <c r="N3" s="2">
        <f>100-(9.2808-9.102)/0.324*100</f>
        <v>44.814814814815144</v>
      </c>
      <c r="O3" s="22">
        <f>100-(9.3719-9.0922)/0.324*100</f>
        <v>13.672839506172835</v>
      </c>
      <c r="P3" s="22">
        <f>100-(9.3013-9.098)/0.324*100</f>
        <v>37.253086419753487</v>
      </c>
      <c r="Q3" s="2">
        <f>100-(9.1125-9.0972)/0.324*100</f>
        <v>95.277777777777814</v>
      </c>
      <c r="R3" s="22">
        <f>100-(9.3238-9.098)/0.324*100</f>
        <v>30.308641975308774</v>
      </c>
      <c r="S3" s="2">
        <f>100-(9.1123-9.0953)/0.324*100</f>
        <v>94.753086419753259</v>
      </c>
      <c r="T3" s="22">
        <f>100-(9.3333-9.0973)/0.324*100</f>
        <v>27.160493827160849</v>
      </c>
      <c r="U3" s="22">
        <f>100-(9.3315-9.0971)/0.324*100</f>
        <v>27.654320987654074</v>
      </c>
      <c r="V3" s="22">
        <f>100-(9.3514-9.0968)/0.324*100</f>
        <v>21.419753086419774</v>
      </c>
      <c r="W3" s="27">
        <f>100-(9.2034-9.0936)/0.324*100</f>
        <v>66.111111111111143</v>
      </c>
      <c r="X3" s="22">
        <f>100-(9.3398-9.0937)/0.324*100</f>
        <v>24.043209876543145</v>
      </c>
      <c r="Y3" s="22">
        <f>100-(9.3414-9.0966)/0.324*100</f>
        <v>24.444444444444542</v>
      </c>
      <c r="Z3" s="22">
        <f>100-(9.3431-9.1377)/0.324*100</f>
        <v>36.604938271605207</v>
      </c>
      <c r="AA3" s="22">
        <f>100-(9.3306-9.0957)/0.324*100</f>
        <v>27.500000000000099</v>
      </c>
      <c r="AB3" s="22">
        <f>100-(9.3072-9.092)/0.324*100</f>
        <v>33.580246913580439</v>
      </c>
      <c r="AC3" s="22">
        <f>100-(9.4078-9.1562)/0.324*100</f>
        <v>22.345679012345727</v>
      </c>
      <c r="AD3" s="22">
        <f>100-(9.3243-9.0919)/0.324*100</f>
        <v>28.271604938272105</v>
      </c>
      <c r="AE3" s="22">
        <f>100-(9.3006-9.0904)/0.324*100</f>
        <v>35.123456790123882</v>
      </c>
      <c r="AF3" s="22">
        <f>100-(9.2809-9.0962-0.02)/0.324*100</f>
        <v>49.166666666666295</v>
      </c>
      <c r="AG3" s="22">
        <f>100-(9.2588-9.1274)/0.324*100</f>
        <v>59.444444444444116</v>
      </c>
      <c r="AH3" s="31"/>
      <c r="AI3" s="31">
        <f>100-(9.3805-9.0903)/0.324*100</f>
        <v>10.432098765431959</v>
      </c>
      <c r="AJ3" s="31">
        <f>100-(9.3467-9.1276)/0.324*100</f>
        <v>32.376543209876246</v>
      </c>
      <c r="AK3" s="22">
        <f>100-(9.3627-9.0961)/0.324*100</f>
        <v>17.716049382715923</v>
      </c>
      <c r="AL3" s="31">
        <f>100-(9.3494-9.1368)/0.324*100</f>
        <v>34.38271604938268</v>
      </c>
      <c r="AM3" s="22">
        <f>100-(9.3482-9.0949)/0.324*100</f>
        <v>21.820987654321172</v>
      </c>
      <c r="AN3" s="31">
        <f>100-(9.3016-9.0955)/0.324*100</f>
        <v>36.388888888888559</v>
      </c>
      <c r="AO3" s="22">
        <f>100-(9.3414-9.1233)/0.324*100</f>
        <v>32.685185185185276</v>
      </c>
      <c r="AP3" s="22">
        <f>100-(9.3888-9.1272)/0.324*100</f>
        <v>19.25925925925938</v>
      </c>
      <c r="AQ3" s="31">
        <f>100-(9.3016-9.0955)/0.324*100</f>
        <v>36.388888888888559</v>
      </c>
      <c r="AR3" s="22">
        <f>100-(9.1599-9.1128)/0.324*100</f>
        <v>85.462962962962848</v>
      </c>
      <c r="AS3" s="22">
        <f>100-(9.3068-9.09)/0.324*100</f>
        <v>33.086419753086119</v>
      </c>
      <c r="AT3" s="22">
        <f>100-(9.3146-9.0919)/0.324*100</f>
        <v>31.26543209876553</v>
      </c>
      <c r="AU3" s="22">
        <f>100-(9.2618-9.1271)/0.324*100</f>
        <v>58.425925925926322</v>
      </c>
      <c r="AV3" s="22">
        <f>100-(9.3281-9.1626)/0.324*100</f>
        <v>48.919753086419824</v>
      </c>
      <c r="AW3" s="22">
        <f>100-(9.333-9.0898)/0.324*100</f>
        <v>24.938271604938322</v>
      </c>
      <c r="AX3" s="22">
        <f>100-(9.1694-9.0866)/0.324*100</f>
        <v>74.444444444444798</v>
      </c>
      <c r="AY3" s="22">
        <f>100-(9.3368-9.0901)/0.324*100</f>
        <v>23.858024691357855</v>
      </c>
      <c r="AZ3" s="22">
        <f>100-(9.2951-9.1633)/0.324*100</f>
        <v>59.320987654320945</v>
      </c>
      <c r="BA3" s="22">
        <f>100-(9.2306-9.0997)/0.324*100</f>
        <v>59.598765432098624</v>
      </c>
      <c r="BB3" s="22">
        <f>100-(9.2052-9.1155)/0.324*100</f>
        <v>72.314814814815193</v>
      </c>
      <c r="BC3" s="22">
        <f>100-(9.2295-9.1545)/0.324*100</f>
        <v>76.851851851852075</v>
      </c>
      <c r="BD3" s="22">
        <f>100-(9.3476-9.1113)/0.324*100</f>
        <v>27.067901234567913</v>
      </c>
      <c r="BE3" s="22"/>
      <c r="BF3" s="22"/>
      <c r="BG3" s="55"/>
      <c r="BH3" s="22">
        <f>100-(9.251-9.0886)/0.324*100</f>
        <v>49.87654320987658</v>
      </c>
      <c r="BI3" s="22">
        <f>100-(9.3388-9.0873)/0.324*100</f>
        <v>22.37654320987653</v>
      </c>
      <c r="BJ3" s="22">
        <f>100-(9.3578-9.1361)/0.324*100</f>
        <v>31.574074074074559</v>
      </c>
      <c r="BK3" s="22">
        <f>100-(9.2712-9.0793)/0.324*100</f>
        <v>40.77160493827148</v>
      </c>
      <c r="BL3" s="22">
        <f>100-(9.2955-9.0914)/0.324*100</f>
        <v>37.006172839506057</v>
      </c>
      <c r="BM3" s="22">
        <f>100-(9.3105-9.0743)/0.324*100</f>
        <v>27.098765432098716</v>
      </c>
      <c r="BN3" s="22">
        <f>100-(9.3155-9.0716)/0.324*100</f>
        <v>24.722222222222229</v>
      </c>
      <c r="BO3" s="22">
        <f>100-(9.3334-9.0689)/0.324*100</f>
        <v>18.364197530864217</v>
      </c>
      <c r="BP3" s="22">
        <f>100-(9.3535-9.0679)/0.324*100</f>
        <v>11.851851851851691</v>
      </c>
      <c r="BQ3" s="22">
        <f>100-(9.3065-9.0764)/0.324*100</f>
        <v>28.981481481481424</v>
      </c>
      <c r="BR3" s="22">
        <f>100-(9.2908-9.0782)/0.324*100</f>
        <v>34.38271604938268</v>
      </c>
      <c r="BS3" s="22">
        <f>100-(9.3119-9.0707)/0.324*100</f>
        <v>25.555555555555813</v>
      </c>
      <c r="BT3" s="22">
        <f>100-(9.3119-9.0707)/0.324*100</f>
        <v>25.555555555555813</v>
      </c>
      <c r="BU3" s="22">
        <f>100-(9.1919-9.0682)/0.324*100</f>
        <v>61.820987654320604</v>
      </c>
      <c r="BV3" s="32">
        <f>100-(9.3704-9.1375)/0.324*100</f>
        <v>28.11728395061705</v>
      </c>
      <c r="BW3" s="22">
        <f>100-(0.175)/0.324*100</f>
        <v>45.987654320987659</v>
      </c>
      <c r="BX3" s="22">
        <f>100-(0.0835)/0.324*100</f>
        <v>74.228395061728392</v>
      </c>
      <c r="BY3" s="22">
        <f>100-(0.0485)/0.324*100</f>
        <v>85.03086419753086</v>
      </c>
      <c r="BZ3" s="22">
        <f>100-(9.3942-0.2-9.0353)/0.324*100</f>
        <v>50.9567901234565</v>
      </c>
      <c r="CA3" s="22">
        <f>100-(9.3119-9.0707)/0.324*100</f>
        <v>25.555555555555813</v>
      </c>
      <c r="CB3" s="32">
        <f>100-(9.3119-9.0707)/0.324*100</f>
        <v>25.555555555555813</v>
      </c>
      <c r="CC3" s="22">
        <f>100-(9.3119-9.0707)/0.324*100</f>
        <v>25.555555555555813</v>
      </c>
      <c r="CD3" s="22">
        <f>100-(0.2205)/0.324*100</f>
        <v>31.944444444444443</v>
      </c>
      <c r="CE3" s="22">
        <f>100-(9.3986-9.1438)/0.324*100</f>
        <v>21.358024691358196</v>
      </c>
      <c r="CF3" s="22">
        <f>100-(9.3982-9.1422-0.0695)/0.324*100</f>
        <v>42.438271604938748</v>
      </c>
      <c r="CG3" s="22">
        <f>100-(0.148)/0.324*100</f>
        <v>54.320987654320987</v>
      </c>
      <c r="CH3" s="22">
        <v>15</v>
      </c>
      <c r="CI3" s="22">
        <f>100-(9.1834-9.0582)/0.324*100</f>
        <v>61.35802469135762</v>
      </c>
      <c r="CJ3" s="22">
        <f>100-(9.2096-9.0708)/0.324*100</f>
        <v>57.16049382716055</v>
      </c>
      <c r="CK3" s="22">
        <f>100-(9.1872-9.0335)/0.324*100</f>
        <v>52.561728395061543</v>
      </c>
      <c r="CL3" s="22">
        <f>100-(9.2105-9.0548)/0.324*100</f>
        <v>51.944444444444599</v>
      </c>
      <c r="CM3" s="22">
        <f t="shared" ref="CM3:EX3" si="0">100-(9.3986-9.1438)/0.324*100</f>
        <v>21.358024691358196</v>
      </c>
      <c r="CN3" s="22">
        <f t="shared" si="0"/>
        <v>21.358024691358196</v>
      </c>
      <c r="CO3" s="22">
        <f t="shared" si="0"/>
        <v>21.358024691358196</v>
      </c>
      <c r="CP3" s="22">
        <f t="shared" si="0"/>
        <v>21.358024691358196</v>
      </c>
      <c r="CQ3" s="22">
        <f>100-(9.3134-9.0805)/0.324*100</f>
        <v>28.117283950617605</v>
      </c>
      <c r="CR3" s="61">
        <f>100-(0.1078)/0.324*100</f>
        <v>66.728395061728406</v>
      </c>
      <c r="CS3" s="22">
        <f t="shared" si="0"/>
        <v>21.358024691358196</v>
      </c>
      <c r="CT3" s="61">
        <f>100-(0.1644)/0.324*100</f>
        <v>49.259259259259267</v>
      </c>
      <c r="CU3" s="61">
        <f>100-(0.1314)/0.324*100</f>
        <v>59.44444444444445</v>
      </c>
      <c r="CV3" s="2">
        <f>100-(9.2427-9.0569-0.069)/0.324*100</f>
        <v>63.950617283951047</v>
      </c>
      <c r="CW3" s="61">
        <f>100-(0.1307)/0.324*100</f>
        <v>59.660493827160494</v>
      </c>
      <c r="CX3" s="61">
        <f>100-(0.1923)/0.324*100</f>
        <v>40.648148148148152</v>
      </c>
      <c r="CY3" s="22">
        <f t="shared" si="0"/>
        <v>21.358024691358196</v>
      </c>
      <c r="CZ3" s="22">
        <f>100-(9.3356-9.0996-0.069)/0.324*100</f>
        <v>48.456790123457139</v>
      </c>
      <c r="DA3" s="22">
        <f t="shared" si="0"/>
        <v>21.358024691358196</v>
      </c>
      <c r="DB3" s="22">
        <f t="shared" si="0"/>
        <v>21.358024691358196</v>
      </c>
      <c r="DC3" s="22">
        <f t="shared" si="0"/>
        <v>21.358024691358196</v>
      </c>
      <c r="DD3" s="22">
        <f t="shared" si="0"/>
        <v>21.358024691358196</v>
      </c>
      <c r="DE3" s="22">
        <f t="shared" si="0"/>
        <v>21.358024691358196</v>
      </c>
      <c r="DF3" s="22">
        <f>100-(9.3421-9.1445)/0.324*100</f>
        <v>39.012345679012483</v>
      </c>
      <c r="DG3" s="22">
        <f t="shared" si="0"/>
        <v>21.358024691358196</v>
      </c>
      <c r="DH3" s="22">
        <f t="shared" si="0"/>
        <v>21.358024691358196</v>
      </c>
      <c r="DI3" s="22">
        <f t="shared" si="0"/>
        <v>21.358024691358196</v>
      </c>
      <c r="DJ3" s="22">
        <f t="shared" si="0"/>
        <v>21.358024691358196</v>
      </c>
      <c r="DK3" s="22">
        <f>100-(9.3769-9.0989)/0.324*100</f>
        <v>14.197530864197944</v>
      </c>
      <c r="DL3" s="22">
        <f>100-(9.314-9.0577-0.069)/0.324*100</f>
        <v>42.191358024691503</v>
      </c>
      <c r="DM3" s="22">
        <f>100-(9.1695-9.0777)/0.324*100</f>
        <v>71.666666666666913</v>
      </c>
      <c r="DN3" s="22">
        <f>100-(9.2988-9.1467-0.069)/0.324*100</f>
        <v>74.351851851851606</v>
      </c>
      <c r="DO3" s="22">
        <f>100-(9.1348-9.0457)/0.324*100</f>
        <v>72.499999999999943</v>
      </c>
      <c r="DP3" s="22">
        <f>100-(9.3548-9.0554-0.069)/0.324*100</f>
        <v>28.88888888888934</v>
      </c>
      <c r="DQ3" s="22">
        <f>100-(9.107-9.0769)/0.324*100</f>
        <v>90.709876543210143</v>
      </c>
      <c r="DR3" s="22">
        <f t="shared" si="0"/>
        <v>21.358024691358196</v>
      </c>
      <c r="DS3" s="22">
        <f t="shared" si="0"/>
        <v>21.358024691358196</v>
      </c>
      <c r="DT3" s="22">
        <f>100-(9.1016-9.0782)/0.324*100</f>
        <v>92.777777777778169</v>
      </c>
      <c r="DU3" s="22">
        <f>100-(0.19-0.069)/0.324*100</f>
        <v>62.654320987654323</v>
      </c>
      <c r="DV3" s="22">
        <f>100-(9.2786-9.0754)/0.324*100</f>
        <v>37.283950617283736</v>
      </c>
      <c r="DW3" s="22">
        <f>100-(9.3033-9.0715-0.069)/0.324*100</f>
        <v>49.75308641975316</v>
      </c>
      <c r="DX3" s="22">
        <f>100-(9.2737-9.0735-0.069)/0.324*100</f>
        <v>59.506172839505986</v>
      </c>
      <c r="DY3" s="22">
        <f t="shared" si="0"/>
        <v>21.358024691358196</v>
      </c>
      <c r="DZ3" s="22">
        <f>100-(9.3068-9.0735-0.069)/0.324*100</f>
        <v>49.290123456789622</v>
      </c>
      <c r="EA3" s="22">
        <f>100-(9.2729-9.0735)/0.324*100</f>
        <v>38.456790123456571</v>
      </c>
      <c r="EB3" s="22">
        <f>100-(12.2972-12.2844)/0.324*100</f>
        <v>96.049382716049266</v>
      </c>
      <c r="EC3" s="22">
        <f>100-(12.2832-12.2576)/0.324*100</f>
        <v>92.098765432098546</v>
      </c>
      <c r="ED3" s="22">
        <f>100-(12.3622-12.2912)/0.324*100</f>
        <v>78.086419753086503</v>
      </c>
      <c r="EE3" s="22">
        <f>100-(12.4401-12.2938)/0.324*100</f>
        <v>54.845679012345649</v>
      </c>
      <c r="EF3" s="22">
        <f t="shared" si="0"/>
        <v>21.358024691358196</v>
      </c>
      <c r="EG3" s="22">
        <f>100-(9.2702-9.0611)/0.324*100</f>
        <v>35.462962962962607</v>
      </c>
      <c r="EH3" s="22">
        <f>100-(9.2995-9.0659)/0.324*100</f>
        <v>27.901234567900957</v>
      </c>
      <c r="EI3" s="22">
        <f t="shared" si="0"/>
        <v>21.358024691358196</v>
      </c>
      <c r="EJ3" s="22">
        <f>100-(9.2924-9.0579)/0.324*100</f>
        <v>27.623456790123285</v>
      </c>
      <c r="EK3" s="22">
        <f>100-(9.2799-9.0716)/0.324*100</f>
        <v>35.709876543210044</v>
      </c>
      <c r="EL3" s="22">
        <f t="shared" si="0"/>
        <v>21.358024691358196</v>
      </c>
      <c r="EM3" s="22">
        <f t="shared" si="0"/>
        <v>21.358024691358196</v>
      </c>
      <c r="EN3" s="22">
        <f t="shared" si="0"/>
        <v>21.358024691358196</v>
      </c>
      <c r="EO3" s="22">
        <f t="shared" si="0"/>
        <v>21.358024691358196</v>
      </c>
      <c r="EP3" s="22">
        <f t="shared" si="0"/>
        <v>21.358024691358196</v>
      </c>
      <c r="EQ3" s="22">
        <f t="shared" si="0"/>
        <v>21.358024691358196</v>
      </c>
      <c r="ER3" s="22">
        <f t="shared" si="0"/>
        <v>21.358024691358196</v>
      </c>
      <c r="ES3" s="22">
        <f t="shared" si="0"/>
        <v>21.358024691358196</v>
      </c>
      <c r="ET3" s="22">
        <f t="shared" si="0"/>
        <v>21.358024691358196</v>
      </c>
      <c r="EU3" s="22">
        <f t="shared" si="0"/>
        <v>21.358024691358196</v>
      </c>
      <c r="EV3" s="22">
        <f t="shared" si="0"/>
        <v>21.358024691358196</v>
      </c>
      <c r="EW3" s="22">
        <f t="shared" si="0"/>
        <v>21.358024691358196</v>
      </c>
      <c r="EX3" s="22">
        <f t="shared" si="0"/>
        <v>21.358024691358196</v>
      </c>
      <c r="EY3" s="22">
        <f t="shared" ref="EY3:FF3" si="1">100-(9.3986-9.1438)/0.324*100</f>
        <v>21.358024691358196</v>
      </c>
      <c r="EZ3" s="22">
        <f t="shared" si="1"/>
        <v>21.358024691358196</v>
      </c>
      <c r="FA3" s="22">
        <f t="shared" si="1"/>
        <v>21.358024691358196</v>
      </c>
      <c r="FB3" s="22">
        <f t="shared" si="1"/>
        <v>21.358024691358196</v>
      </c>
      <c r="FC3" s="22">
        <f t="shared" si="1"/>
        <v>21.358024691358196</v>
      </c>
      <c r="FD3" s="22">
        <f t="shared" si="1"/>
        <v>21.358024691358196</v>
      </c>
      <c r="FE3" s="22">
        <f t="shared" si="1"/>
        <v>21.358024691358196</v>
      </c>
      <c r="FF3" s="22">
        <f t="shared" si="1"/>
        <v>21.358024691358196</v>
      </c>
    </row>
    <row r="4" spans="1:162" x14ac:dyDescent="0.55000000000000004">
      <c r="B4" t="s">
        <v>7</v>
      </c>
      <c r="C4" s="1">
        <v>3.6920000000000002E-8</v>
      </c>
      <c r="D4">
        <v>126.11</v>
      </c>
      <c r="E4">
        <v>14.6</v>
      </c>
      <c r="F4" s="3" t="s">
        <v>2</v>
      </c>
      <c r="G4" s="2" t="s">
        <v>4</v>
      </c>
      <c r="H4" s="2">
        <v>582691</v>
      </c>
      <c r="I4" s="22">
        <v>169619</v>
      </c>
      <c r="J4" s="2">
        <v>815387</v>
      </c>
      <c r="K4" s="22">
        <v>196801</v>
      </c>
      <c r="L4" s="2">
        <v>263556</v>
      </c>
      <c r="M4" s="22">
        <v>51101</v>
      </c>
      <c r="N4" s="2">
        <v>51102</v>
      </c>
      <c r="O4" s="22">
        <v>10325</v>
      </c>
      <c r="P4" s="22">
        <v>266866</v>
      </c>
      <c r="Q4" s="2">
        <v>851426</v>
      </c>
      <c r="R4" s="22">
        <v>170823</v>
      </c>
      <c r="S4" s="2">
        <v>768631</v>
      </c>
      <c r="T4" s="22">
        <v>165420</v>
      </c>
      <c r="U4" s="22">
        <v>183374</v>
      </c>
      <c r="V4" s="22">
        <v>129417</v>
      </c>
      <c r="W4" s="27">
        <v>710187</v>
      </c>
      <c r="X4" s="22">
        <v>144390</v>
      </c>
      <c r="Y4" s="22">
        <v>174796</v>
      </c>
      <c r="Z4" s="22">
        <v>276324</v>
      </c>
      <c r="AA4" s="22">
        <v>155849</v>
      </c>
      <c r="AB4" s="22">
        <v>246295</v>
      </c>
      <c r="AC4" s="22">
        <v>100779</v>
      </c>
      <c r="AD4" s="22">
        <v>197907</v>
      </c>
      <c r="AE4" s="22">
        <v>313583</v>
      </c>
      <c r="AF4" s="22">
        <v>453309</v>
      </c>
      <c r="AG4" s="22">
        <v>534126</v>
      </c>
      <c r="AH4" s="31">
        <v>64888</v>
      </c>
      <c r="AI4" s="31">
        <v>10426</v>
      </c>
      <c r="AJ4" s="31">
        <v>295742</v>
      </c>
      <c r="AK4" s="22">
        <v>61990</v>
      </c>
      <c r="AL4" s="31"/>
      <c r="AM4" s="22">
        <v>333623</v>
      </c>
      <c r="AN4" s="31">
        <v>268966</v>
      </c>
      <c r="AO4" s="22">
        <v>185086</v>
      </c>
      <c r="AP4" s="22">
        <v>48891</v>
      </c>
      <c r="AQ4" s="22">
        <v>231831</v>
      </c>
      <c r="AR4" s="22">
        <v>531997</v>
      </c>
      <c r="AS4" s="22">
        <v>184117</v>
      </c>
      <c r="AT4" s="31">
        <v>162779</v>
      </c>
      <c r="AU4" s="22">
        <v>422362</v>
      </c>
      <c r="AV4" s="22">
        <v>411835</v>
      </c>
      <c r="AW4" s="22">
        <v>160805</v>
      </c>
      <c r="AX4" s="22">
        <v>581620</v>
      </c>
      <c r="AY4" s="2">
        <v>137387</v>
      </c>
      <c r="AZ4" s="2">
        <v>454108</v>
      </c>
      <c r="BA4" s="2">
        <v>392377</v>
      </c>
      <c r="BB4" s="2">
        <v>356892</v>
      </c>
      <c r="BC4" s="2">
        <v>313724</v>
      </c>
      <c r="BD4" s="2">
        <v>187536</v>
      </c>
      <c r="BE4" s="2">
        <v>608744</v>
      </c>
      <c r="BF4" s="2">
        <v>161926</v>
      </c>
      <c r="BG4" s="55">
        <v>58862</v>
      </c>
      <c r="BH4" s="2">
        <v>303997</v>
      </c>
      <c r="BI4" s="2">
        <v>262049</v>
      </c>
      <c r="BJ4" s="2">
        <v>261799</v>
      </c>
      <c r="BK4" s="2">
        <v>339854</v>
      </c>
      <c r="BL4" s="2">
        <v>275306</v>
      </c>
      <c r="BM4" s="2">
        <v>161742</v>
      </c>
      <c r="BN4" s="2">
        <v>135106</v>
      </c>
      <c r="BO4" s="2">
        <v>16194</v>
      </c>
      <c r="BP4" s="2">
        <v>8745</v>
      </c>
      <c r="BQ4" s="2">
        <v>242424</v>
      </c>
      <c r="BR4" s="2">
        <v>103784</v>
      </c>
      <c r="BS4" s="2">
        <v>196938</v>
      </c>
      <c r="BT4" s="2">
        <v>80118</v>
      </c>
      <c r="BU4" s="2">
        <v>567340</v>
      </c>
      <c r="BV4" s="32">
        <v>202961</v>
      </c>
      <c r="BW4" s="2">
        <v>367954</v>
      </c>
      <c r="BX4" s="2">
        <v>559813</v>
      </c>
      <c r="BY4" s="2">
        <v>651121</v>
      </c>
      <c r="BZ4" s="2">
        <v>455189</v>
      </c>
      <c r="CA4" s="2">
        <v>580014</v>
      </c>
      <c r="CB4" s="32">
        <v>84161</v>
      </c>
      <c r="CC4" s="32">
        <v>443934</v>
      </c>
      <c r="CD4" s="2">
        <v>190064</v>
      </c>
      <c r="CE4" s="2">
        <v>132529</v>
      </c>
      <c r="CF4" s="2">
        <v>73472</v>
      </c>
      <c r="CG4" s="2">
        <v>192132</v>
      </c>
      <c r="CH4" s="2">
        <v>12091</v>
      </c>
      <c r="CI4" s="2">
        <v>328207</v>
      </c>
      <c r="CJ4" s="2">
        <v>412893</v>
      </c>
      <c r="CK4" s="2">
        <v>423999</v>
      </c>
      <c r="CL4" s="2">
        <v>395104</v>
      </c>
      <c r="CM4" s="2">
        <v>22695</v>
      </c>
      <c r="CN4" s="2">
        <v>663615</v>
      </c>
      <c r="CO4" s="2">
        <v>470774</v>
      </c>
      <c r="CP4" s="2">
        <v>219824</v>
      </c>
      <c r="CQ4" s="2">
        <v>167684</v>
      </c>
      <c r="CR4" s="2">
        <v>514016</v>
      </c>
      <c r="CS4" s="2">
        <v>183847</v>
      </c>
      <c r="CT4" s="2">
        <v>304437</v>
      </c>
      <c r="CU4" s="2">
        <v>488539</v>
      </c>
      <c r="CV4" s="2">
        <v>151721</v>
      </c>
      <c r="CW4" s="2">
        <v>455037</v>
      </c>
      <c r="CX4" s="2">
        <v>272799</v>
      </c>
      <c r="CY4" s="2">
        <v>147435</v>
      </c>
      <c r="CZ4" s="2">
        <v>72814</v>
      </c>
      <c r="DA4" s="2">
        <v>209068</v>
      </c>
      <c r="DB4" s="2">
        <v>42976</v>
      </c>
      <c r="DC4" s="2">
        <v>447997</v>
      </c>
      <c r="DD4" s="2">
        <v>278865</v>
      </c>
      <c r="DE4" s="2">
        <v>235263</v>
      </c>
      <c r="DF4" s="2">
        <v>223987</v>
      </c>
      <c r="DG4" s="2">
        <v>203817</v>
      </c>
      <c r="DH4" s="2">
        <v>459712</v>
      </c>
      <c r="DI4" s="2">
        <v>378710</v>
      </c>
      <c r="DJ4" s="2">
        <v>37800</v>
      </c>
      <c r="DK4" s="2">
        <v>128946</v>
      </c>
      <c r="DL4" s="2">
        <v>107134</v>
      </c>
      <c r="DM4" s="2">
        <v>82023</v>
      </c>
      <c r="DN4" s="2">
        <v>240738</v>
      </c>
      <c r="DO4" s="2">
        <v>366369</v>
      </c>
      <c r="DP4" s="2">
        <v>42280</v>
      </c>
      <c r="DQ4" s="2">
        <v>404621</v>
      </c>
      <c r="DR4" s="2">
        <v>200796</v>
      </c>
      <c r="DS4" s="2">
        <v>188510</v>
      </c>
      <c r="DT4" s="2">
        <v>470964</v>
      </c>
      <c r="DU4" s="2">
        <v>148687</v>
      </c>
      <c r="DV4" s="2">
        <v>40720</v>
      </c>
      <c r="DW4" s="2">
        <v>129926</v>
      </c>
      <c r="DX4" s="2">
        <v>136409</v>
      </c>
      <c r="DY4" s="2">
        <v>199391</v>
      </c>
      <c r="DZ4" s="2">
        <v>143260</v>
      </c>
      <c r="EA4" s="2">
        <v>225579</v>
      </c>
      <c r="EB4" s="2">
        <v>103037</v>
      </c>
      <c r="EC4" s="2">
        <v>498606</v>
      </c>
      <c r="ED4" s="2">
        <v>551243</v>
      </c>
      <c r="EE4" s="2">
        <v>397556</v>
      </c>
      <c r="EF4" s="2">
        <v>41559</v>
      </c>
      <c r="EG4" s="2">
        <v>269363</v>
      </c>
      <c r="EH4" s="2">
        <v>218630</v>
      </c>
      <c r="EI4" s="2">
        <v>106643</v>
      </c>
      <c r="EJ4" s="2">
        <v>161765</v>
      </c>
      <c r="EK4" s="2">
        <v>220978</v>
      </c>
      <c r="EL4" s="2">
        <v>92915</v>
      </c>
      <c r="EM4" s="2">
        <v>448033</v>
      </c>
      <c r="EN4" s="2">
        <v>448034</v>
      </c>
      <c r="EO4" s="2">
        <v>448035</v>
      </c>
      <c r="EP4" s="2">
        <v>448036</v>
      </c>
      <c r="EQ4" s="2">
        <v>448037</v>
      </c>
      <c r="ER4" s="2">
        <v>448038</v>
      </c>
      <c r="ES4" s="2">
        <v>448039</v>
      </c>
      <c r="ET4" s="2">
        <v>448040</v>
      </c>
      <c r="EU4" s="2">
        <v>448041</v>
      </c>
      <c r="EV4" s="2">
        <v>448042</v>
      </c>
      <c r="EW4" s="2">
        <v>448043</v>
      </c>
      <c r="EX4" s="2">
        <v>448044</v>
      </c>
      <c r="EY4" s="2">
        <v>448045</v>
      </c>
      <c r="EZ4" s="2">
        <v>448046</v>
      </c>
      <c r="FA4" s="2">
        <v>448047</v>
      </c>
      <c r="FB4" s="2">
        <v>448048</v>
      </c>
      <c r="FC4" s="2">
        <v>448049</v>
      </c>
      <c r="FD4" s="2">
        <v>448050</v>
      </c>
      <c r="FE4" s="2">
        <v>448051</v>
      </c>
      <c r="FF4" s="2">
        <v>448052</v>
      </c>
    </row>
    <row r="5" spans="1:162" x14ac:dyDescent="0.55000000000000004">
      <c r="B5" t="s">
        <v>8</v>
      </c>
      <c r="C5" s="1">
        <v>4.1619999999999998E-8</v>
      </c>
      <c r="D5">
        <v>162.13999999999999</v>
      </c>
      <c r="G5" s="2" t="s">
        <v>5</v>
      </c>
      <c r="H5" s="2">
        <f t="shared" ref="H5:AW5" si="2">$C$2*H4*0.04/0.002*100</f>
        <v>39.331642499999994</v>
      </c>
      <c r="I5" s="22">
        <f t="shared" si="2"/>
        <v>11.449282499999999</v>
      </c>
      <c r="J5" s="2">
        <f t="shared" si="2"/>
        <v>55.038622500000002</v>
      </c>
      <c r="K5" s="26">
        <f t="shared" si="2"/>
        <v>13.284067499999999</v>
      </c>
      <c r="L5" s="2">
        <f t="shared" si="2"/>
        <v>17.790030000000002</v>
      </c>
      <c r="M5" s="22">
        <f t="shared" si="2"/>
        <v>3.4493175000000003</v>
      </c>
      <c r="N5" s="2">
        <f t="shared" si="2"/>
        <v>3.4493849999999999</v>
      </c>
      <c r="O5" s="22">
        <f t="shared" si="2"/>
        <v>0.6969375000000001</v>
      </c>
      <c r="P5" s="22">
        <f t="shared" si="2"/>
        <v>18.013455</v>
      </c>
      <c r="Q5" s="2">
        <f t="shared" si="2"/>
        <v>57.471254999999999</v>
      </c>
      <c r="R5" s="22">
        <f t="shared" si="2"/>
        <v>11.530552500000001</v>
      </c>
      <c r="S5" s="2">
        <f t="shared" si="2"/>
        <v>51.882592500000015</v>
      </c>
      <c r="T5" s="22">
        <f>$C$2*T4*0.04/0.002*100</f>
        <v>11.165849999999999</v>
      </c>
      <c r="U5" s="22">
        <f t="shared" si="2"/>
        <v>12.377745000000001</v>
      </c>
      <c r="V5" s="22">
        <f t="shared" si="2"/>
        <v>8.7356475000000007</v>
      </c>
      <c r="W5" s="27">
        <f t="shared" si="2"/>
        <v>47.937622499999996</v>
      </c>
      <c r="X5" s="22">
        <f t="shared" si="2"/>
        <v>9.7463250000000006</v>
      </c>
      <c r="Y5" s="22">
        <f t="shared" si="2"/>
        <v>11.798730000000001</v>
      </c>
      <c r="Z5" s="26">
        <f t="shared" si="2"/>
        <v>18.651870000000002</v>
      </c>
      <c r="AA5" s="22">
        <f t="shared" si="2"/>
        <v>10.519807500000001</v>
      </c>
      <c r="AB5" s="22">
        <f t="shared" si="2"/>
        <v>16.624912500000004</v>
      </c>
      <c r="AC5" s="22">
        <f t="shared" si="2"/>
        <v>6.8025825000000015</v>
      </c>
      <c r="AD5" s="22">
        <f t="shared" si="2"/>
        <v>13.358722500000001</v>
      </c>
      <c r="AE5" s="22">
        <f t="shared" si="2"/>
        <v>21.166852500000001</v>
      </c>
      <c r="AF5" s="22">
        <f t="shared" si="2"/>
        <v>30.598357500000002</v>
      </c>
      <c r="AG5" s="22">
        <f t="shared" si="2"/>
        <v>36.053505000000001</v>
      </c>
      <c r="AH5" s="31">
        <f t="shared" si="2"/>
        <v>4.3799400000000004</v>
      </c>
      <c r="AI5" s="31">
        <f t="shared" si="2"/>
        <v>0.70375500000000002</v>
      </c>
      <c r="AJ5" s="31">
        <f t="shared" si="2"/>
        <v>19.962585000000001</v>
      </c>
      <c r="AK5" s="22">
        <f t="shared" si="2"/>
        <v>4.1843250000000003</v>
      </c>
      <c r="AL5" s="31">
        <f t="shared" si="2"/>
        <v>0</v>
      </c>
      <c r="AM5" s="22">
        <f t="shared" si="2"/>
        <v>22.5195525</v>
      </c>
      <c r="AN5" s="31">
        <f>$C$2*AN4*0.04/0.002*100</f>
        <v>18.155205000000002</v>
      </c>
      <c r="AO5" s="22">
        <f t="shared" si="2"/>
        <v>12.493304999999999</v>
      </c>
      <c r="AP5" s="22">
        <f t="shared" si="2"/>
        <v>3.3001425000000002</v>
      </c>
      <c r="AQ5" s="22">
        <f t="shared" si="2"/>
        <v>15.648592499999999</v>
      </c>
      <c r="AR5" s="22">
        <f t="shared" si="2"/>
        <v>35.909797500000003</v>
      </c>
      <c r="AS5" s="22">
        <f t="shared" si="2"/>
        <v>12.4278975</v>
      </c>
      <c r="AT5" s="31">
        <f t="shared" si="2"/>
        <v>10.9875825</v>
      </c>
      <c r="AU5" s="22">
        <f t="shared" si="2"/>
        <v>28.509435</v>
      </c>
      <c r="AV5" s="22">
        <f t="shared" si="2"/>
        <v>27.798862499999998</v>
      </c>
      <c r="AW5" s="22">
        <f t="shared" si="2"/>
        <v>10.8543375</v>
      </c>
      <c r="AX5" s="22">
        <f>$C$2*AX4*0.04/0.002*100</f>
        <v>39.259349999999998</v>
      </c>
      <c r="AY5" s="22">
        <f>$C$2*AY4*0.04/0.002*100</f>
        <v>9.2736225000000001</v>
      </c>
      <c r="AZ5" s="50">
        <f>$C$2*AZ4*0.04/0.002*100</f>
        <v>30.652290000000004</v>
      </c>
      <c r="BA5" s="22">
        <f t="shared" ref="BA5:DC5" si="3">$C$2*BA4*0.04/0.002*100</f>
        <v>26.485447500000003</v>
      </c>
      <c r="BB5" s="22">
        <f t="shared" si="3"/>
        <v>24.090209999999999</v>
      </c>
      <c r="BC5" s="22">
        <f t="shared" si="3"/>
        <v>21.176369999999999</v>
      </c>
      <c r="BD5" s="22">
        <f t="shared" si="3"/>
        <v>12.65868</v>
      </c>
      <c r="BE5" s="22">
        <f t="shared" si="3"/>
        <v>41.090220000000002</v>
      </c>
      <c r="BF5" s="22">
        <f t="shared" si="3"/>
        <v>10.930005</v>
      </c>
      <c r="BG5" s="55">
        <f t="shared" si="3"/>
        <v>3.973185</v>
      </c>
      <c r="BH5" s="22">
        <f t="shared" si="3"/>
        <v>20.519797499999999</v>
      </c>
      <c r="BI5" s="22">
        <f t="shared" si="3"/>
        <v>17.688307500000001</v>
      </c>
      <c r="BJ5" s="22">
        <f t="shared" si="3"/>
        <v>17.671432500000002</v>
      </c>
      <c r="BK5" s="22">
        <f t="shared" si="3"/>
        <v>22.940145000000005</v>
      </c>
      <c r="BL5" s="22">
        <f t="shared" si="3"/>
        <v>18.583155000000001</v>
      </c>
      <c r="BM5" s="22">
        <f t="shared" si="3"/>
        <v>10.917585000000001</v>
      </c>
      <c r="BN5" s="22">
        <f t="shared" si="3"/>
        <v>9.1196550000000016</v>
      </c>
      <c r="BO5" s="22">
        <f t="shared" si="3"/>
        <v>1.0930949999999999</v>
      </c>
      <c r="BP5" s="22">
        <f t="shared" si="3"/>
        <v>0.59028749999999997</v>
      </c>
      <c r="BQ5" s="22">
        <f t="shared" si="3"/>
        <v>16.363620000000001</v>
      </c>
      <c r="BR5" s="22">
        <f t="shared" si="3"/>
        <v>7.00542</v>
      </c>
      <c r="BS5" s="22">
        <f t="shared" si="3"/>
        <v>13.293315</v>
      </c>
      <c r="BT5" s="22">
        <f t="shared" si="3"/>
        <v>5.4079649999999999</v>
      </c>
      <c r="BU5" s="22">
        <f t="shared" si="3"/>
        <v>38.295450000000002</v>
      </c>
      <c r="BV5" s="32">
        <f t="shared" si="3"/>
        <v>13.699867500000002</v>
      </c>
      <c r="BW5" s="22">
        <f t="shared" si="3"/>
        <v>24.836895000000002</v>
      </c>
      <c r="BX5" s="22">
        <f t="shared" si="3"/>
        <v>37.787377500000005</v>
      </c>
      <c r="BY5" s="22">
        <f t="shared" si="3"/>
        <v>43.950667500000002</v>
      </c>
      <c r="BZ5" s="22">
        <f t="shared" si="3"/>
        <v>30.725257500000001</v>
      </c>
      <c r="CA5" s="22">
        <f t="shared" si="3"/>
        <v>39.150945</v>
      </c>
      <c r="CB5" s="32">
        <f t="shared" si="3"/>
        <v>5.6808675000000006</v>
      </c>
      <c r="CC5" s="32">
        <f t="shared" si="3"/>
        <v>29.965544999999999</v>
      </c>
      <c r="CD5" s="22">
        <f t="shared" si="3"/>
        <v>12.829320000000003</v>
      </c>
      <c r="CE5" s="22">
        <f t="shared" si="3"/>
        <v>8.945707500000001</v>
      </c>
      <c r="CF5" s="22">
        <f t="shared" si="3"/>
        <v>4.9593600000000002</v>
      </c>
      <c r="CG5" s="22">
        <f t="shared" si="3"/>
        <v>12.968910000000001</v>
      </c>
      <c r="CH5" s="22">
        <f t="shared" si="3"/>
        <v>0.81614249999999999</v>
      </c>
      <c r="CI5" s="22">
        <f t="shared" si="3"/>
        <v>22.153972499999998</v>
      </c>
      <c r="CJ5" s="22">
        <f t="shared" si="3"/>
        <v>27.8702775</v>
      </c>
      <c r="CK5" s="22">
        <f t="shared" si="3"/>
        <v>28.619932500000001</v>
      </c>
      <c r="CL5" s="22">
        <f t="shared" si="3"/>
        <v>26.669520000000002</v>
      </c>
      <c r="CM5" s="22">
        <f>$C$2*CM4*0.01/0.0005*100</f>
        <v>1.5319125</v>
      </c>
      <c r="CN5" s="22">
        <f>$C$2*CN4*0.01/0.0005*100</f>
        <v>44.794012500000001</v>
      </c>
      <c r="CO5" s="22">
        <f>$C$2*CO4*0.01/0.0005*100</f>
        <v>31.777244999999997</v>
      </c>
      <c r="CP5" s="22">
        <f>$C$2*CP4*0.01/0.0005*100</f>
        <v>14.83812</v>
      </c>
      <c r="CQ5" s="22">
        <f t="shared" si="3"/>
        <v>11.318670000000001</v>
      </c>
      <c r="CR5" s="22">
        <f t="shared" si="3"/>
        <v>34.696080000000009</v>
      </c>
      <c r="CS5" s="22">
        <f t="shared" si="3"/>
        <v>12.409672500000001</v>
      </c>
      <c r="CT5" s="22">
        <f t="shared" si="3"/>
        <v>20.549497500000001</v>
      </c>
      <c r="CU5" s="22">
        <f t="shared" si="3"/>
        <v>32.976382499999993</v>
      </c>
      <c r="CV5" s="22">
        <f t="shared" si="3"/>
        <v>10.241167500000001</v>
      </c>
      <c r="CW5" s="22">
        <f t="shared" si="3"/>
        <v>30.714997500000003</v>
      </c>
      <c r="CX5" s="22">
        <f t="shared" si="3"/>
        <v>18.413932500000001</v>
      </c>
      <c r="CY5" s="22">
        <f t="shared" si="3"/>
        <v>9.9518625000000007</v>
      </c>
      <c r="CZ5" s="22">
        <f t="shared" si="3"/>
        <v>4.9149450000000003</v>
      </c>
      <c r="DA5" s="22">
        <f t="shared" si="3"/>
        <v>14.112090000000002</v>
      </c>
      <c r="DB5" s="22">
        <f t="shared" si="3"/>
        <v>2.9008799999999999</v>
      </c>
      <c r="DC5" s="22">
        <f t="shared" si="3"/>
        <v>30.239797500000005</v>
      </c>
      <c r="DD5" s="22">
        <f t="shared" ref="DD5:FF5" si="4">$C$2*DD4*0.04/0.002*100</f>
        <v>18.823387499999999</v>
      </c>
      <c r="DE5" s="22">
        <f t="shared" si="4"/>
        <v>15.880252499999999</v>
      </c>
      <c r="DF5" s="22">
        <f t="shared" si="4"/>
        <v>15.119122500000001</v>
      </c>
      <c r="DG5" s="22">
        <f t="shared" si="4"/>
        <v>13.757647500000001</v>
      </c>
      <c r="DH5" s="22">
        <f t="shared" si="4"/>
        <v>31.030560000000001</v>
      </c>
      <c r="DI5" s="22">
        <f t="shared" si="4"/>
        <v>25.562925000000003</v>
      </c>
      <c r="DJ5" s="22">
        <f t="shared" si="4"/>
        <v>2.5514999999999999</v>
      </c>
      <c r="DK5" s="22">
        <f t="shared" si="4"/>
        <v>8.703854999999999</v>
      </c>
      <c r="DL5" s="22">
        <f t="shared" si="4"/>
        <v>7.2315450000000006</v>
      </c>
      <c r="DM5" s="22">
        <f t="shared" si="4"/>
        <v>5.5365525</v>
      </c>
      <c r="DN5" s="22">
        <f t="shared" si="4"/>
        <v>16.249815000000002</v>
      </c>
      <c r="DO5" s="22">
        <f t="shared" si="4"/>
        <v>24.729907499999999</v>
      </c>
      <c r="DP5" s="22">
        <f t="shared" si="4"/>
        <v>2.8538999999999999</v>
      </c>
      <c r="DQ5" s="22">
        <f t="shared" si="4"/>
        <v>27.3119175</v>
      </c>
      <c r="DR5" s="22">
        <f t="shared" si="4"/>
        <v>13.55373</v>
      </c>
      <c r="DS5" s="22">
        <f t="shared" si="4"/>
        <v>12.724425000000004</v>
      </c>
      <c r="DT5" s="22">
        <f t="shared" si="4"/>
        <v>31.790070000000004</v>
      </c>
      <c r="DU5" s="22">
        <f t="shared" si="4"/>
        <v>10.036372500000001</v>
      </c>
      <c r="DV5" s="22">
        <f t="shared" si="4"/>
        <v>2.7486000000000002</v>
      </c>
      <c r="DW5" s="22">
        <f t="shared" si="4"/>
        <v>8.7700049999999994</v>
      </c>
      <c r="DX5" s="22">
        <f t="shared" si="4"/>
        <v>9.2076075000000017</v>
      </c>
      <c r="DY5" s="22">
        <f t="shared" si="4"/>
        <v>13.458892499999999</v>
      </c>
      <c r="DZ5" s="22">
        <f t="shared" si="4"/>
        <v>9.6700499999999998</v>
      </c>
      <c r="EA5" s="22">
        <f t="shared" si="4"/>
        <v>15.226582500000003</v>
      </c>
      <c r="EB5" s="22">
        <f t="shared" si="4"/>
        <v>6.9549975000000002</v>
      </c>
      <c r="EC5" s="22">
        <f t="shared" si="4"/>
        <v>33.655905000000004</v>
      </c>
      <c r="ED5" s="22">
        <f t="shared" si="4"/>
        <v>37.208902500000001</v>
      </c>
      <c r="EE5" s="22">
        <f t="shared" si="4"/>
        <v>26.83503</v>
      </c>
      <c r="EF5" s="22">
        <f t="shared" si="4"/>
        <v>2.8052324999999998</v>
      </c>
      <c r="EG5" s="22">
        <f t="shared" si="4"/>
        <v>18.182002499999999</v>
      </c>
      <c r="EH5" s="22">
        <f t="shared" si="4"/>
        <v>14.757524999999999</v>
      </c>
      <c r="EI5" s="22">
        <f t="shared" si="4"/>
        <v>7.1984025000000003</v>
      </c>
      <c r="EJ5" s="22">
        <f t="shared" si="4"/>
        <v>10.919137500000001</v>
      </c>
      <c r="EK5" s="22">
        <f t="shared" si="4"/>
        <v>14.916015000000002</v>
      </c>
      <c r="EL5" s="22">
        <f t="shared" si="4"/>
        <v>6.2717624999999995</v>
      </c>
      <c r="EM5" s="22">
        <f t="shared" si="4"/>
        <v>30.242227499999995</v>
      </c>
      <c r="EN5" s="22">
        <f t="shared" si="4"/>
        <v>30.242295000000002</v>
      </c>
      <c r="EO5" s="22">
        <f t="shared" si="4"/>
        <v>30.242362500000002</v>
      </c>
      <c r="EP5" s="22">
        <f t="shared" si="4"/>
        <v>30.242430000000002</v>
      </c>
      <c r="EQ5" s="22">
        <f t="shared" si="4"/>
        <v>30.242497499999999</v>
      </c>
      <c r="ER5" s="22">
        <f t="shared" si="4"/>
        <v>30.242565000000006</v>
      </c>
      <c r="ES5" s="22">
        <f t="shared" si="4"/>
        <v>30.242632499999999</v>
      </c>
      <c r="ET5" s="22">
        <f t="shared" si="4"/>
        <v>30.242699999999999</v>
      </c>
      <c r="EU5" s="22">
        <f t="shared" si="4"/>
        <v>30.242767499999996</v>
      </c>
      <c r="EV5" s="22">
        <f t="shared" si="4"/>
        <v>30.242835000000007</v>
      </c>
      <c r="EW5" s="22">
        <f t="shared" si="4"/>
        <v>30.242902500000003</v>
      </c>
      <c r="EX5" s="22">
        <f t="shared" si="4"/>
        <v>30.242970000000003</v>
      </c>
      <c r="EY5" s="22">
        <f t="shared" si="4"/>
        <v>30.243037499999996</v>
      </c>
      <c r="EZ5" s="22">
        <f t="shared" si="4"/>
        <v>30.243104999999996</v>
      </c>
      <c r="FA5" s="22">
        <f t="shared" si="4"/>
        <v>30.2431725</v>
      </c>
      <c r="FB5" s="22">
        <f t="shared" si="4"/>
        <v>30.24324</v>
      </c>
      <c r="FC5" s="22">
        <f t="shared" si="4"/>
        <v>30.243307500000004</v>
      </c>
      <c r="FD5" s="22">
        <f t="shared" si="4"/>
        <v>30.243375</v>
      </c>
      <c r="FE5" s="22">
        <f t="shared" si="4"/>
        <v>30.2434425</v>
      </c>
      <c r="FF5" s="22">
        <f t="shared" si="4"/>
        <v>30.243510000000001</v>
      </c>
    </row>
    <row r="6" spans="1:162" x14ac:dyDescent="0.55000000000000004">
      <c r="B6" t="s">
        <v>12</v>
      </c>
      <c r="C6" s="1">
        <v>3.3750000000000001E-8</v>
      </c>
      <c r="E6">
        <v>12.56</v>
      </c>
      <c r="F6" s="2" t="s">
        <v>6</v>
      </c>
      <c r="G6" s="2" t="s">
        <v>4</v>
      </c>
      <c r="H6" s="2">
        <v>54386</v>
      </c>
      <c r="I6" s="22">
        <v>10686</v>
      </c>
      <c r="J6" s="2">
        <v>17725</v>
      </c>
      <c r="K6" s="22">
        <v>7240</v>
      </c>
      <c r="L6" s="2">
        <v>106571</v>
      </c>
      <c r="M6" s="22">
        <v>19535</v>
      </c>
      <c r="N6" s="2">
        <v>53131</v>
      </c>
      <c r="O6" s="22">
        <v>9172</v>
      </c>
      <c r="P6" s="22">
        <v>5848</v>
      </c>
      <c r="Q6" s="2">
        <v>20575</v>
      </c>
      <c r="R6" s="22">
        <v>131426</v>
      </c>
      <c r="S6" s="2">
        <v>122914</v>
      </c>
      <c r="T6" s="22">
        <v>8859</v>
      </c>
      <c r="U6" s="22">
        <v>8117</v>
      </c>
      <c r="V6" s="22">
        <v>10531</v>
      </c>
      <c r="W6" s="27">
        <v>50242</v>
      </c>
      <c r="X6" s="22">
        <v>11311</v>
      </c>
      <c r="Y6" s="22">
        <v>10010</v>
      </c>
      <c r="Z6" s="32">
        <v>67871</v>
      </c>
      <c r="AA6" s="22">
        <v>10525</v>
      </c>
      <c r="AB6" s="22">
        <v>6726</v>
      </c>
      <c r="AC6" s="22">
        <v>16313</v>
      </c>
      <c r="AD6" s="22">
        <v>9003</v>
      </c>
      <c r="AE6" s="22">
        <v>5674</v>
      </c>
      <c r="AF6" s="22">
        <v>4201</v>
      </c>
      <c r="AG6" s="22">
        <v>3320</v>
      </c>
      <c r="AH6" s="31">
        <v>13102</v>
      </c>
      <c r="AI6" s="31"/>
      <c r="AJ6" s="31">
        <v>6418</v>
      </c>
      <c r="AK6" s="22">
        <v>13039</v>
      </c>
      <c r="AL6" s="31"/>
      <c r="AM6" s="31"/>
      <c r="AN6" s="31">
        <v>5618</v>
      </c>
      <c r="AO6" s="22">
        <v>8955</v>
      </c>
      <c r="AP6" s="22">
        <v>17774</v>
      </c>
      <c r="AQ6" s="22">
        <v>6757</v>
      </c>
      <c r="AR6" s="22">
        <v>2773</v>
      </c>
      <c r="AS6" s="22">
        <v>11497</v>
      </c>
      <c r="AT6" s="31">
        <v>9526</v>
      </c>
      <c r="AU6" s="31"/>
      <c r="AV6" s="22">
        <v>4982</v>
      </c>
      <c r="AW6" s="22">
        <v>10462</v>
      </c>
      <c r="AX6" s="31"/>
      <c r="AY6" s="31"/>
      <c r="AZ6" s="2"/>
      <c r="BA6" s="31"/>
      <c r="BB6" s="31"/>
      <c r="BC6" s="31"/>
      <c r="BD6" s="2">
        <v>15079</v>
      </c>
      <c r="BE6" s="2">
        <v>28542</v>
      </c>
      <c r="BF6" s="2"/>
      <c r="BG6" s="55"/>
      <c r="BH6" s="31">
        <v>24515</v>
      </c>
      <c r="BI6" s="2">
        <v>7610</v>
      </c>
      <c r="BJ6" s="2">
        <v>7147</v>
      </c>
      <c r="BK6" s="2">
        <v>58391</v>
      </c>
      <c r="BL6" s="2"/>
      <c r="BM6" s="31"/>
      <c r="BN6" s="2"/>
      <c r="BO6" s="2"/>
      <c r="BP6" s="2"/>
      <c r="BQ6" s="2"/>
      <c r="BR6" s="2"/>
      <c r="BS6" s="2">
        <v>8537</v>
      </c>
      <c r="BT6" s="2">
        <v>19890</v>
      </c>
      <c r="BU6" s="2">
        <v>3247</v>
      </c>
      <c r="BV6" s="32"/>
      <c r="BW6" s="2">
        <v>4801</v>
      </c>
      <c r="BX6" s="2">
        <v>3247</v>
      </c>
      <c r="BY6" s="2">
        <v>2</v>
      </c>
      <c r="BZ6" s="2">
        <v>4018</v>
      </c>
      <c r="CA6" s="2"/>
      <c r="CB6" s="32"/>
      <c r="CC6" s="32"/>
      <c r="CD6" s="2">
        <v>8416</v>
      </c>
      <c r="CE6" s="2">
        <v>15669</v>
      </c>
      <c r="CF6" s="2">
        <v>58186</v>
      </c>
      <c r="CG6" s="2">
        <v>12600</v>
      </c>
      <c r="CH6" s="2"/>
      <c r="CI6" s="2"/>
      <c r="CJ6" s="2"/>
      <c r="CK6" s="2"/>
      <c r="CL6" s="2"/>
      <c r="CM6" s="2">
        <v>1409655</v>
      </c>
      <c r="CN6" s="2">
        <v>819674</v>
      </c>
      <c r="CO6" s="2">
        <v>984065</v>
      </c>
      <c r="CP6" s="2">
        <v>1265771</v>
      </c>
      <c r="CQ6" s="2">
        <v>14409</v>
      </c>
      <c r="CR6" s="2"/>
      <c r="CS6" s="2"/>
      <c r="CT6" s="2"/>
      <c r="CU6" s="2"/>
      <c r="CV6" s="2">
        <v>347000</v>
      </c>
      <c r="CW6" s="2"/>
      <c r="CX6" s="2"/>
      <c r="CY6" s="2"/>
      <c r="CZ6" s="2"/>
      <c r="DA6" s="2"/>
      <c r="DB6" s="2">
        <v>1401279</v>
      </c>
      <c r="DC6" s="2">
        <v>972109</v>
      </c>
      <c r="DD6" s="2">
        <v>1135786</v>
      </c>
      <c r="DE6" s="2">
        <v>1214394</v>
      </c>
      <c r="DF6" s="2">
        <v>972112</v>
      </c>
      <c r="DG6" s="2">
        <v>972113</v>
      </c>
      <c r="DH6" s="2">
        <v>999264</v>
      </c>
      <c r="DI6" s="2">
        <v>1088661</v>
      </c>
      <c r="DJ6" s="2">
        <v>1423650</v>
      </c>
      <c r="DK6" s="2"/>
      <c r="DL6" s="2"/>
      <c r="DM6" s="2"/>
      <c r="DN6" s="2">
        <v>347363</v>
      </c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>
        <v>972134</v>
      </c>
      <c r="EC6" s="2">
        <v>972135</v>
      </c>
      <c r="ED6" s="2">
        <v>972136</v>
      </c>
      <c r="EE6" s="2">
        <v>972137</v>
      </c>
      <c r="EF6" s="2">
        <v>972138</v>
      </c>
      <c r="EG6" s="2">
        <v>972139</v>
      </c>
      <c r="EH6" s="2">
        <v>972140</v>
      </c>
      <c r="EI6" s="2">
        <v>972141</v>
      </c>
      <c r="EJ6" s="2">
        <v>972142</v>
      </c>
      <c r="EK6" s="2">
        <v>972143</v>
      </c>
      <c r="EL6" s="2">
        <v>972144</v>
      </c>
      <c r="EM6" s="2">
        <v>972145</v>
      </c>
      <c r="EN6" s="2">
        <v>972146</v>
      </c>
      <c r="EO6" s="2">
        <v>972147</v>
      </c>
      <c r="EP6" s="2">
        <v>972148</v>
      </c>
      <c r="EQ6" s="2">
        <v>972149</v>
      </c>
      <c r="ER6" s="2">
        <v>972150</v>
      </c>
      <c r="ES6" s="2">
        <v>972151</v>
      </c>
      <c r="ET6" s="2">
        <v>972152</v>
      </c>
      <c r="EU6" s="2">
        <v>972153</v>
      </c>
      <c r="EV6" s="2">
        <v>972154</v>
      </c>
      <c r="EW6" s="2">
        <v>972155</v>
      </c>
      <c r="EX6" s="2">
        <v>972156</v>
      </c>
      <c r="EY6" s="2">
        <v>972157</v>
      </c>
      <c r="EZ6" s="2">
        <v>972158</v>
      </c>
      <c r="FA6" s="2">
        <v>972159</v>
      </c>
      <c r="FB6" s="2">
        <v>972160</v>
      </c>
      <c r="FC6" s="2">
        <v>972161</v>
      </c>
      <c r="FD6" s="2">
        <v>972162</v>
      </c>
      <c r="FE6" s="2">
        <v>972163</v>
      </c>
      <c r="FF6" s="2">
        <v>972164</v>
      </c>
    </row>
    <row r="7" spans="1:162" x14ac:dyDescent="0.55000000000000004">
      <c r="B7" t="s">
        <v>13</v>
      </c>
      <c r="C7" s="1">
        <f>C3*1.5</f>
        <v>5.0625000000000005E-8</v>
      </c>
      <c r="G7" s="2" t="s">
        <v>5</v>
      </c>
      <c r="H7" s="2">
        <f t="shared" ref="H7:AW7" si="5">$C$3*H6*0.04/0.002*100</f>
        <v>3.671055</v>
      </c>
      <c r="I7" s="22">
        <f t="shared" si="5"/>
        <v>0.72130500000000008</v>
      </c>
      <c r="J7" s="2">
        <f t="shared" si="5"/>
        <v>1.1964375</v>
      </c>
      <c r="K7" s="22">
        <f t="shared" si="5"/>
        <v>0.48869999999999997</v>
      </c>
      <c r="L7" s="2">
        <f t="shared" si="5"/>
        <v>7.1935424999999995</v>
      </c>
      <c r="M7" s="22">
        <f t="shared" si="5"/>
        <v>1.3186125</v>
      </c>
      <c r="N7" s="2">
        <f t="shared" si="5"/>
        <v>3.5863424999999998</v>
      </c>
      <c r="O7" s="22">
        <f t="shared" si="5"/>
        <v>0.61910999999999994</v>
      </c>
      <c r="P7" s="22">
        <f t="shared" si="5"/>
        <v>0.39474000000000004</v>
      </c>
      <c r="Q7" s="2">
        <f t="shared" si="5"/>
        <v>1.3888125000000002</v>
      </c>
      <c r="R7" s="22">
        <f t="shared" si="5"/>
        <v>8.8712549999999997</v>
      </c>
      <c r="S7" s="2">
        <f t="shared" si="5"/>
        <v>8.2966949999999997</v>
      </c>
      <c r="T7" s="22">
        <f t="shared" si="5"/>
        <v>0.59798249999999997</v>
      </c>
      <c r="U7" s="22">
        <f t="shared" si="5"/>
        <v>0.54789750000000004</v>
      </c>
      <c r="V7" s="22">
        <f t="shared" si="5"/>
        <v>0.71084250000000004</v>
      </c>
      <c r="W7" s="27">
        <f t="shared" si="5"/>
        <v>3.3913350000000002</v>
      </c>
      <c r="X7" s="22">
        <f t="shared" si="5"/>
        <v>0.76349250000000002</v>
      </c>
      <c r="Y7" s="22">
        <f t="shared" si="5"/>
        <v>0.67567500000000003</v>
      </c>
      <c r="Z7" s="22">
        <f t="shared" si="5"/>
        <v>4.5812925</v>
      </c>
      <c r="AA7" s="22">
        <f t="shared" si="5"/>
        <v>0.71043749999999994</v>
      </c>
      <c r="AB7" s="22">
        <f t="shared" si="5"/>
        <v>0.45400499999999994</v>
      </c>
      <c r="AC7" s="22">
        <f t="shared" si="5"/>
        <v>1.1011275</v>
      </c>
      <c r="AD7" s="22">
        <f t="shared" si="5"/>
        <v>0.60770250000000003</v>
      </c>
      <c r="AE7" s="22">
        <f t="shared" si="5"/>
        <v>0.38299500000000003</v>
      </c>
      <c r="AF7" s="22">
        <f t="shared" si="5"/>
        <v>0.28356749999999997</v>
      </c>
      <c r="AG7" s="22">
        <f t="shared" si="5"/>
        <v>0.22410000000000005</v>
      </c>
      <c r="AH7" s="31">
        <f t="shared" si="5"/>
        <v>0.88438499999999998</v>
      </c>
      <c r="AI7" s="31">
        <f t="shared" si="5"/>
        <v>0</v>
      </c>
      <c r="AJ7" s="31">
        <f t="shared" si="5"/>
        <v>0.43321500000000007</v>
      </c>
      <c r="AK7" s="22">
        <f t="shared" si="5"/>
        <v>0.8801325000000001</v>
      </c>
      <c r="AL7" s="31">
        <f t="shared" si="5"/>
        <v>0</v>
      </c>
      <c r="AM7" s="22">
        <f t="shared" si="5"/>
        <v>0</v>
      </c>
      <c r="AN7" s="31">
        <f t="shared" si="5"/>
        <v>0.37921500000000002</v>
      </c>
      <c r="AO7" s="22">
        <f t="shared" si="5"/>
        <v>0.60446250000000001</v>
      </c>
      <c r="AP7" s="22">
        <f t="shared" si="5"/>
        <v>1.1997450000000001</v>
      </c>
      <c r="AQ7" s="22">
        <f t="shared" si="5"/>
        <v>0.45609749999999999</v>
      </c>
      <c r="AR7" s="22">
        <f t="shared" si="5"/>
        <v>0.1871775</v>
      </c>
      <c r="AS7" s="22">
        <f t="shared" si="5"/>
        <v>0.77604750000000011</v>
      </c>
      <c r="AT7" s="31">
        <f t="shared" si="5"/>
        <v>0.64300500000000005</v>
      </c>
      <c r="AU7" s="22">
        <f t="shared" si="5"/>
        <v>0</v>
      </c>
      <c r="AV7" s="22">
        <f t="shared" si="5"/>
        <v>0.336285</v>
      </c>
      <c r="AW7" s="22">
        <f t="shared" si="5"/>
        <v>0.70618499999999995</v>
      </c>
      <c r="AX7" s="22">
        <f>$C$3*AX6*0.04/0.002*100</f>
        <v>0</v>
      </c>
      <c r="AY7" s="22">
        <f>$C$3*AY6*0.04/0.002*100</f>
        <v>0</v>
      </c>
      <c r="AZ7" s="22">
        <f>$C$3*AZ6*0.04/0.002*100</f>
        <v>0</v>
      </c>
      <c r="BA7" s="22">
        <f t="shared" ref="BA7:DC7" si="6">$C$3*BA6*0.04/0.002*100</f>
        <v>0</v>
      </c>
      <c r="BB7" s="22">
        <f t="shared" si="6"/>
        <v>0</v>
      </c>
      <c r="BC7" s="22">
        <f t="shared" si="6"/>
        <v>0</v>
      </c>
      <c r="BD7" s="22">
        <f t="shared" si="6"/>
        <v>1.0178324999999999</v>
      </c>
      <c r="BE7" s="22">
        <f t="shared" si="6"/>
        <v>1.9265850000000002</v>
      </c>
      <c r="BF7" s="22">
        <f t="shared" si="6"/>
        <v>0</v>
      </c>
      <c r="BG7" s="55">
        <f t="shared" si="6"/>
        <v>0</v>
      </c>
      <c r="BH7" s="22">
        <f t="shared" si="6"/>
        <v>1.6547625000000004</v>
      </c>
      <c r="BI7" s="22">
        <f t="shared" si="6"/>
        <v>0.5136750000000001</v>
      </c>
      <c r="BJ7" s="22">
        <f t="shared" si="6"/>
        <v>0.48242250000000003</v>
      </c>
      <c r="BK7" s="22">
        <f t="shared" si="6"/>
        <v>3.9413925000000001</v>
      </c>
      <c r="BL7" s="22">
        <f t="shared" si="6"/>
        <v>0</v>
      </c>
      <c r="BM7" s="22">
        <f t="shared" si="6"/>
        <v>0</v>
      </c>
      <c r="BN7" s="22">
        <f t="shared" si="6"/>
        <v>0</v>
      </c>
      <c r="BO7" s="22">
        <f t="shared" si="6"/>
        <v>0</v>
      </c>
      <c r="BP7" s="22">
        <f t="shared" si="6"/>
        <v>0</v>
      </c>
      <c r="BQ7" s="22">
        <f t="shared" si="6"/>
        <v>0</v>
      </c>
      <c r="BR7" s="22">
        <f t="shared" si="6"/>
        <v>0</v>
      </c>
      <c r="BS7" s="22">
        <f t="shared" si="6"/>
        <v>0.57624750000000013</v>
      </c>
      <c r="BT7" s="22">
        <f t="shared" si="6"/>
        <v>1.3425750000000001</v>
      </c>
      <c r="BU7" s="22">
        <f t="shared" si="6"/>
        <v>0.21917250000000002</v>
      </c>
      <c r="BV7" s="32">
        <f t="shared" si="6"/>
        <v>0</v>
      </c>
      <c r="BW7" s="22">
        <f t="shared" si="6"/>
        <v>0.32406750000000001</v>
      </c>
      <c r="BX7" s="22">
        <f t="shared" si="6"/>
        <v>0.21917250000000002</v>
      </c>
      <c r="BY7" s="22">
        <f t="shared" si="6"/>
        <v>1.35E-4</v>
      </c>
      <c r="BZ7" s="22">
        <f t="shared" si="6"/>
        <v>0.27121499999999998</v>
      </c>
      <c r="CA7" s="22">
        <f t="shared" si="6"/>
        <v>0</v>
      </c>
      <c r="CB7" s="32">
        <f t="shared" si="6"/>
        <v>0</v>
      </c>
      <c r="CC7" s="32">
        <f t="shared" si="6"/>
        <v>0</v>
      </c>
      <c r="CD7" s="22">
        <f t="shared" si="6"/>
        <v>0.56807999999999992</v>
      </c>
      <c r="CE7" s="22">
        <f t="shared" si="6"/>
        <v>1.0576574999999999</v>
      </c>
      <c r="CF7" s="22">
        <f t="shared" si="6"/>
        <v>3.9275550000000008</v>
      </c>
      <c r="CG7" s="22">
        <f t="shared" si="6"/>
        <v>0.85050000000000003</v>
      </c>
      <c r="CH7" s="22">
        <f t="shared" si="6"/>
        <v>0</v>
      </c>
      <c r="CI7" s="22">
        <f t="shared" si="6"/>
        <v>0</v>
      </c>
      <c r="CJ7" s="22">
        <f t="shared" si="6"/>
        <v>0</v>
      </c>
      <c r="CK7" s="22">
        <f t="shared" si="6"/>
        <v>0</v>
      </c>
      <c r="CL7" s="22">
        <f t="shared" si="6"/>
        <v>0</v>
      </c>
      <c r="CM7" s="22">
        <f t="shared" si="6"/>
        <v>95.151712500000002</v>
      </c>
      <c r="CN7" s="22">
        <f t="shared" si="6"/>
        <v>55.327995000000008</v>
      </c>
      <c r="CO7" s="22">
        <f t="shared" si="6"/>
        <v>66.424387499999995</v>
      </c>
      <c r="CP7" s="22">
        <f t="shared" si="6"/>
        <v>85.439542500000016</v>
      </c>
      <c r="CQ7" s="22">
        <f t="shared" si="6"/>
        <v>0.97260750000000007</v>
      </c>
      <c r="CR7" s="22">
        <f t="shared" si="6"/>
        <v>0</v>
      </c>
      <c r="CS7" s="22">
        <f t="shared" si="6"/>
        <v>0</v>
      </c>
      <c r="CT7" s="22">
        <f t="shared" si="6"/>
        <v>0</v>
      </c>
      <c r="CU7" s="22">
        <f t="shared" si="6"/>
        <v>0</v>
      </c>
      <c r="CV7" s="22">
        <f t="shared" si="6"/>
        <v>23.422500000000003</v>
      </c>
      <c r="CW7" s="22">
        <f t="shared" si="6"/>
        <v>0</v>
      </c>
      <c r="CX7" s="22">
        <f t="shared" si="6"/>
        <v>0</v>
      </c>
      <c r="CY7" s="22">
        <f t="shared" si="6"/>
        <v>0</v>
      </c>
      <c r="CZ7" s="22">
        <f t="shared" si="6"/>
        <v>0</v>
      </c>
      <c r="DA7" s="22">
        <f t="shared" si="6"/>
        <v>0</v>
      </c>
      <c r="DB7" s="22">
        <f t="shared" si="6"/>
        <v>94.586332500000012</v>
      </c>
      <c r="DC7" s="22">
        <f t="shared" si="6"/>
        <v>65.617357499999997</v>
      </c>
      <c r="DD7" s="22">
        <f t="shared" ref="DD7:FF7" si="7">$C$3*DD6*0.04/0.002*100</f>
        <v>76.665554999999998</v>
      </c>
      <c r="DE7" s="22">
        <f t="shared" si="7"/>
        <v>81.971595000000008</v>
      </c>
      <c r="DF7" s="22">
        <f t="shared" si="7"/>
        <v>65.617560000000012</v>
      </c>
      <c r="DG7" s="22">
        <f t="shared" si="7"/>
        <v>65.617627499999998</v>
      </c>
      <c r="DH7" s="22">
        <f t="shared" si="7"/>
        <v>67.450320000000005</v>
      </c>
      <c r="DI7" s="22">
        <f t="shared" si="7"/>
        <v>73.484617499999999</v>
      </c>
      <c r="DJ7" s="22">
        <f t="shared" si="7"/>
        <v>96.096374999999995</v>
      </c>
      <c r="DK7" s="22">
        <f t="shared" si="7"/>
        <v>0</v>
      </c>
      <c r="DL7" s="22">
        <f t="shared" si="7"/>
        <v>0</v>
      </c>
      <c r="DM7" s="22">
        <f t="shared" si="7"/>
        <v>0</v>
      </c>
      <c r="DN7" s="22">
        <f t="shared" si="7"/>
        <v>23.4470025</v>
      </c>
      <c r="DO7" s="22">
        <f t="shared" si="7"/>
        <v>0</v>
      </c>
      <c r="DP7" s="22">
        <f t="shared" si="7"/>
        <v>0</v>
      </c>
      <c r="DQ7" s="22">
        <f t="shared" si="7"/>
        <v>0</v>
      </c>
      <c r="DR7" s="22">
        <f t="shared" si="7"/>
        <v>0</v>
      </c>
      <c r="DS7" s="22">
        <f t="shared" si="7"/>
        <v>0</v>
      </c>
      <c r="DT7" s="22">
        <f t="shared" si="7"/>
        <v>0</v>
      </c>
      <c r="DU7" s="22">
        <f t="shared" si="7"/>
        <v>0</v>
      </c>
      <c r="DV7" s="22">
        <f t="shared" si="7"/>
        <v>0</v>
      </c>
      <c r="DW7" s="22">
        <f t="shared" si="7"/>
        <v>0</v>
      </c>
      <c r="DX7" s="22">
        <f t="shared" si="7"/>
        <v>0</v>
      </c>
      <c r="DY7" s="22">
        <f t="shared" si="7"/>
        <v>0</v>
      </c>
      <c r="DZ7" s="22">
        <f t="shared" si="7"/>
        <v>0</v>
      </c>
      <c r="EA7" s="22">
        <f t="shared" si="7"/>
        <v>0</v>
      </c>
      <c r="EB7" s="22">
        <f t="shared" si="7"/>
        <v>65.619045</v>
      </c>
      <c r="EC7" s="22">
        <f t="shared" si="7"/>
        <v>65.619112500000014</v>
      </c>
      <c r="ED7" s="22">
        <f t="shared" si="7"/>
        <v>65.61918</v>
      </c>
      <c r="EE7" s="22">
        <f t="shared" si="7"/>
        <v>65.6192475</v>
      </c>
      <c r="EF7" s="22">
        <f t="shared" si="7"/>
        <v>65.619314999999986</v>
      </c>
      <c r="EG7" s="22">
        <f t="shared" si="7"/>
        <v>65.6193825</v>
      </c>
      <c r="EH7" s="22">
        <f t="shared" si="7"/>
        <v>65.619450000000001</v>
      </c>
      <c r="EI7" s="22">
        <f t="shared" si="7"/>
        <v>65.619517500000001</v>
      </c>
      <c r="EJ7" s="22">
        <f t="shared" si="7"/>
        <v>65.619585000000015</v>
      </c>
      <c r="EK7" s="22">
        <f t="shared" si="7"/>
        <v>65.619652500000001</v>
      </c>
      <c r="EL7" s="22">
        <f t="shared" si="7"/>
        <v>65.619720000000001</v>
      </c>
      <c r="EM7" s="22">
        <f t="shared" si="7"/>
        <v>65.619787500000001</v>
      </c>
      <c r="EN7" s="22">
        <f t="shared" si="7"/>
        <v>65.619855000000001</v>
      </c>
      <c r="EO7" s="22">
        <f t="shared" si="7"/>
        <v>65.619922500000001</v>
      </c>
      <c r="EP7" s="22">
        <f t="shared" si="7"/>
        <v>65.619990000000001</v>
      </c>
      <c r="EQ7" s="22">
        <f t="shared" si="7"/>
        <v>65.620057500000001</v>
      </c>
      <c r="ER7" s="22">
        <f t="shared" si="7"/>
        <v>65.620125000000002</v>
      </c>
      <c r="ES7" s="22">
        <f t="shared" si="7"/>
        <v>65.620192500000002</v>
      </c>
      <c r="ET7" s="22">
        <f t="shared" si="7"/>
        <v>65.620260000000002</v>
      </c>
      <c r="EU7" s="22">
        <f t="shared" si="7"/>
        <v>65.620327500000002</v>
      </c>
      <c r="EV7" s="22">
        <f t="shared" si="7"/>
        <v>65.620395000000002</v>
      </c>
      <c r="EW7" s="22">
        <f t="shared" si="7"/>
        <v>65.620462500000016</v>
      </c>
      <c r="EX7" s="22">
        <f t="shared" si="7"/>
        <v>65.620530000000002</v>
      </c>
      <c r="EY7" s="22">
        <f t="shared" si="7"/>
        <v>65.620597500000002</v>
      </c>
      <c r="EZ7" s="22">
        <f t="shared" si="7"/>
        <v>65.620665000000017</v>
      </c>
      <c r="FA7" s="22">
        <f t="shared" si="7"/>
        <v>65.620732500000003</v>
      </c>
      <c r="FB7" s="22">
        <f t="shared" si="7"/>
        <v>65.620800000000003</v>
      </c>
      <c r="FC7" s="22">
        <f t="shared" si="7"/>
        <v>65.620867500000003</v>
      </c>
      <c r="FD7" s="22">
        <f t="shared" si="7"/>
        <v>65.620935000000003</v>
      </c>
      <c r="FE7" s="22">
        <f t="shared" si="7"/>
        <v>65.621002499999989</v>
      </c>
      <c r="FF7" s="22">
        <f t="shared" si="7"/>
        <v>65.621070000000003</v>
      </c>
    </row>
    <row r="8" spans="1:162" x14ac:dyDescent="0.55000000000000004">
      <c r="B8" t="s">
        <v>14</v>
      </c>
      <c r="C8" s="1">
        <f>C2</f>
        <v>3.3750000000000001E-8</v>
      </c>
      <c r="E8">
        <v>46.7</v>
      </c>
      <c r="F8" s="3" t="s">
        <v>7</v>
      </c>
      <c r="G8" s="2" t="s">
        <v>4</v>
      </c>
      <c r="H8" s="2">
        <v>79553</v>
      </c>
      <c r="I8" s="22">
        <v>26635</v>
      </c>
      <c r="J8" s="2">
        <v>100036</v>
      </c>
      <c r="K8" s="22">
        <v>27153</v>
      </c>
      <c r="L8" s="2">
        <v>48027</v>
      </c>
      <c r="M8" s="22">
        <v>11185</v>
      </c>
      <c r="N8" s="2">
        <v>27655</v>
      </c>
      <c r="O8" s="22">
        <v>5657</v>
      </c>
      <c r="P8" s="22">
        <v>36915</v>
      </c>
      <c r="Q8" s="2">
        <v>102673</v>
      </c>
      <c r="R8" s="22">
        <v>37122</v>
      </c>
      <c r="S8" s="2">
        <v>121927</v>
      </c>
      <c r="T8" s="22">
        <v>28933</v>
      </c>
      <c r="U8" s="22">
        <v>26818</v>
      </c>
      <c r="V8" s="22">
        <v>19323</v>
      </c>
      <c r="W8" s="27">
        <v>81714</v>
      </c>
      <c r="X8" s="22">
        <v>24557</v>
      </c>
      <c r="Y8" s="22">
        <v>22801</v>
      </c>
      <c r="Z8" s="22">
        <v>30169</v>
      </c>
      <c r="AA8" s="22">
        <v>18776</v>
      </c>
      <c r="AB8" s="22">
        <v>31224</v>
      </c>
      <c r="AC8" s="22">
        <v>22186</v>
      </c>
      <c r="AD8" s="22">
        <v>23241</v>
      </c>
      <c r="AE8" s="22">
        <v>41712</v>
      </c>
      <c r="AF8" s="22">
        <v>62463</v>
      </c>
      <c r="AG8" s="22">
        <v>78579</v>
      </c>
      <c r="AH8" s="31">
        <v>20720</v>
      </c>
      <c r="AI8" s="31"/>
      <c r="AJ8" s="31">
        <v>33614</v>
      </c>
      <c r="AK8" s="22">
        <v>24518</v>
      </c>
      <c r="AL8" s="31"/>
      <c r="AM8" s="22">
        <v>47057</v>
      </c>
      <c r="AN8" s="31">
        <v>30389</v>
      </c>
      <c r="AO8" s="22">
        <v>28647</v>
      </c>
      <c r="AP8" s="22">
        <v>13492</v>
      </c>
      <c r="AQ8" s="22">
        <v>35862</v>
      </c>
      <c r="AR8" s="22">
        <v>116940</v>
      </c>
      <c r="AS8" s="22">
        <v>32383</v>
      </c>
      <c r="AT8" s="31">
        <v>26473</v>
      </c>
      <c r="AU8" s="22">
        <v>67502</v>
      </c>
      <c r="AV8" s="22">
        <v>57600</v>
      </c>
      <c r="AW8" s="22">
        <v>19883</v>
      </c>
      <c r="AX8" s="22">
        <v>126375</v>
      </c>
      <c r="AY8" s="2">
        <v>21190</v>
      </c>
      <c r="AZ8" s="2">
        <v>63494</v>
      </c>
      <c r="BA8" s="2">
        <v>110336</v>
      </c>
      <c r="BB8" s="2">
        <v>176486</v>
      </c>
      <c r="BC8" s="2">
        <v>213805</v>
      </c>
      <c r="BD8" s="2">
        <v>29320</v>
      </c>
      <c r="BE8" s="2">
        <v>76909</v>
      </c>
      <c r="BF8" s="2">
        <v>41015</v>
      </c>
      <c r="BG8" s="55">
        <v>37366</v>
      </c>
      <c r="BH8" s="2">
        <v>84456</v>
      </c>
      <c r="BI8" s="2">
        <v>31259</v>
      </c>
      <c r="BJ8" s="2">
        <v>29260</v>
      </c>
      <c r="BK8" s="2">
        <v>43344</v>
      </c>
      <c r="BL8" s="2">
        <v>34305</v>
      </c>
      <c r="BM8" s="2">
        <v>34843</v>
      </c>
      <c r="BN8" s="2">
        <v>35232</v>
      </c>
      <c r="BO8" s="2"/>
      <c r="BP8" s="2"/>
      <c r="BQ8" s="2"/>
      <c r="BR8" s="2"/>
      <c r="BS8" s="2">
        <v>21225</v>
      </c>
      <c r="BT8" s="2">
        <v>12458</v>
      </c>
      <c r="BU8" s="2">
        <v>88993</v>
      </c>
      <c r="BV8" s="32"/>
      <c r="BW8" s="2">
        <v>39613</v>
      </c>
      <c r="BX8" s="2">
        <v>85280</v>
      </c>
      <c r="BY8" s="2">
        <v>119733</v>
      </c>
      <c r="BZ8" s="2">
        <v>61217</v>
      </c>
      <c r="CA8" s="2"/>
      <c r="CB8" s="32"/>
      <c r="CC8" s="32"/>
      <c r="CD8" s="2">
        <v>21643</v>
      </c>
      <c r="CE8" s="2">
        <v>167956</v>
      </c>
      <c r="CF8" s="2">
        <v>36227</v>
      </c>
      <c r="CG8" s="2">
        <v>23711</v>
      </c>
      <c r="CH8" s="2">
        <v>8272</v>
      </c>
      <c r="CI8" s="2">
        <v>195244</v>
      </c>
      <c r="CJ8" s="2">
        <v>111560</v>
      </c>
      <c r="CK8" s="2">
        <v>83628</v>
      </c>
      <c r="CL8" s="2">
        <v>110846</v>
      </c>
      <c r="CM8" s="2">
        <v>3328</v>
      </c>
      <c r="CN8" s="2"/>
      <c r="CO8" s="2"/>
      <c r="CP8" s="2"/>
      <c r="CQ8" s="2">
        <v>37134</v>
      </c>
      <c r="CR8" s="2">
        <v>124496</v>
      </c>
      <c r="CS8" s="2"/>
      <c r="CT8" s="2">
        <v>89329</v>
      </c>
      <c r="CU8" s="2">
        <v>65101</v>
      </c>
      <c r="CV8" s="2">
        <v>58549</v>
      </c>
      <c r="CW8" s="2"/>
      <c r="CX8" s="2">
        <v>30594</v>
      </c>
      <c r="CY8" s="2"/>
      <c r="CZ8" s="2">
        <v>33454</v>
      </c>
      <c r="DA8" s="2"/>
      <c r="DB8" s="2">
        <v>8549</v>
      </c>
      <c r="DC8" s="2">
        <v>1229</v>
      </c>
      <c r="DD8" s="2">
        <v>1305</v>
      </c>
      <c r="DE8" s="2">
        <v>1396</v>
      </c>
      <c r="DF8" s="2">
        <v>112005</v>
      </c>
      <c r="DG8" s="2">
        <v>28157</v>
      </c>
      <c r="DH8" s="2">
        <v>1017</v>
      </c>
      <c r="DI8" s="2">
        <v>2087</v>
      </c>
      <c r="DJ8" s="2">
        <v>7744</v>
      </c>
      <c r="DK8" s="2">
        <v>129852</v>
      </c>
      <c r="DL8" s="2">
        <v>40023</v>
      </c>
      <c r="DM8" s="2">
        <v>224898</v>
      </c>
      <c r="DN8" s="2">
        <v>70124</v>
      </c>
      <c r="DO8" s="2">
        <v>148611</v>
      </c>
      <c r="DP8" s="2">
        <v>23697</v>
      </c>
      <c r="DQ8" s="2">
        <v>145318</v>
      </c>
      <c r="DR8" s="2"/>
      <c r="DS8" s="2"/>
      <c r="DT8" s="2">
        <v>142371</v>
      </c>
      <c r="DU8" s="2">
        <v>46549</v>
      </c>
      <c r="DV8" s="2">
        <v>19015</v>
      </c>
      <c r="DW8" s="2">
        <v>37974</v>
      </c>
      <c r="DX8" s="2">
        <v>43695</v>
      </c>
      <c r="DY8" s="2">
        <v>20820</v>
      </c>
      <c r="DZ8" s="2">
        <v>32493</v>
      </c>
      <c r="EA8" s="2">
        <v>126598</v>
      </c>
      <c r="EB8" s="2">
        <v>33774</v>
      </c>
      <c r="EC8" s="2">
        <v>130065</v>
      </c>
      <c r="ED8" s="2">
        <v>110627</v>
      </c>
      <c r="EE8" s="2">
        <v>55607</v>
      </c>
      <c r="EF8" s="2"/>
      <c r="EG8" s="2">
        <v>32140</v>
      </c>
      <c r="EH8" s="2">
        <v>26646</v>
      </c>
      <c r="EI8" s="2"/>
      <c r="EJ8" s="2">
        <v>31515</v>
      </c>
      <c r="EK8" s="2">
        <v>47693</v>
      </c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</row>
    <row r="9" spans="1:162" x14ac:dyDescent="0.55000000000000004">
      <c r="B9" t="s">
        <v>15</v>
      </c>
      <c r="C9" s="1">
        <f>C2</f>
        <v>3.3750000000000001E-8</v>
      </c>
      <c r="G9" s="2" t="s">
        <v>5</v>
      </c>
      <c r="H9" s="2">
        <f>$C$4*H8*0.04/0.002*100</f>
        <v>5.8741935200000004</v>
      </c>
      <c r="I9" s="22">
        <f t="shared" ref="I9:AW9" si="8">$C$4*I8*0.04/0.002*100</f>
        <v>1.9667284000000003</v>
      </c>
      <c r="J9" s="2">
        <f t="shared" si="8"/>
        <v>7.3866582400000009</v>
      </c>
      <c r="K9" s="22">
        <f t="shared" si="8"/>
        <v>2.0049775200000006</v>
      </c>
      <c r="L9" s="2">
        <f t="shared" si="8"/>
        <v>3.5463136800000004</v>
      </c>
      <c r="M9" s="22">
        <f t="shared" si="8"/>
        <v>0.82590040000000009</v>
      </c>
      <c r="N9" s="2">
        <f t="shared" si="8"/>
        <v>2.0420452</v>
      </c>
      <c r="O9" s="22">
        <f t="shared" si="8"/>
        <v>0.41771288000000006</v>
      </c>
      <c r="P9" s="22">
        <f t="shared" si="8"/>
        <v>2.7258036000000003</v>
      </c>
      <c r="Q9" s="2">
        <f t="shared" si="8"/>
        <v>7.5813743200000001</v>
      </c>
      <c r="R9" s="22">
        <f t="shared" si="8"/>
        <v>2.7410884800000002</v>
      </c>
      <c r="S9" s="2">
        <f t="shared" si="8"/>
        <v>9.0030896800000004</v>
      </c>
      <c r="T9" s="22">
        <f t="shared" si="8"/>
        <v>2.13641272</v>
      </c>
      <c r="U9" s="22">
        <f t="shared" si="8"/>
        <v>1.9802411200000001</v>
      </c>
      <c r="V9" s="22">
        <f t="shared" si="8"/>
        <v>1.4268103200000002</v>
      </c>
      <c r="W9" s="27">
        <f t="shared" si="8"/>
        <v>6.0337617600000009</v>
      </c>
      <c r="X9" s="22">
        <f t="shared" si="8"/>
        <v>1.81328888</v>
      </c>
      <c r="Y9" s="22">
        <f t="shared" si="8"/>
        <v>1.6836258400000002</v>
      </c>
      <c r="Z9" s="22">
        <f t="shared" si="8"/>
        <v>2.22767896</v>
      </c>
      <c r="AA9" s="22">
        <f t="shared" si="8"/>
        <v>1.3864198400000003</v>
      </c>
      <c r="AB9" s="22">
        <f t="shared" si="8"/>
        <v>2.3055801599999999</v>
      </c>
      <c r="AC9" s="22">
        <f t="shared" si="8"/>
        <v>1.6382142400000002</v>
      </c>
      <c r="AD9" s="22">
        <f t="shared" si="8"/>
        <v>1.71611544</v>
      </c>
      <c r="AE9" s="22">
        <f t="shared" si="8"/>
        <v>3.0800140800000002</v>
      </c>
      <c r="AF9" s="22">
        <f t="shared" si="8"/>
        <v>4.6122679199999999</v>
      </c>
      <c r="AG9" s="22">
        <f t="shared" si="8"/>
        <v>5.80227336</v>
      </c>
      <c r="AH9" s="31">
        <f t="shared" si="8"/>
        <v>1.5299647999999999</v>
      </c>
      <c r="AI9" s="31">
        <f t="shared" si="8"/>
        <v>0</v>
      </c>
      <c r="AJ9" s="31">
        <f t="shared" si="8"/>
        <v>2.48205776</v>
      </c>
      <c r="AK9" s="22">
        <f t="shared" si="8"/>
        <v>1.8104091200000001</v>
      </c>
      <c r="AL9" s="31">
        <f t="shared" si="8"/>
        <v>0</v>
      </c>
      <c r="AM9" s="22">
        <f t="shared" si="8"/>
        <v>3.47468888</v>
      </c>
      <c r="AN9" s="31">
        <f t="shared" si="8"/>
        <v>2.2439237600000004</v>
      </c>
      <c r="AO9" s="22">
        <f t="shared" si="8"/>
        <v>2.1152944800000002</v>
      </c>
      <c r="AP9" s="22">
        <f t="shared" si="8"/>
        <v>0.99624928000000001</v>
      </c>
      <c r="AQ9" s="22">
        <f t="shared" si="8"/>
        <v>2.64805008</v>
      </c>
      <c r="AR9" s="22">
        <f t="shared" si="8"/>
        <v>8.6348496000000008</v>
      </c>
      <c r="AS9" s="22">
        <f t="shared" si="8"/>
        <v>2.3911607199999998</v>
      </c>
      <c r="AT9" s="31">
        <f t="shared" si="8"/>
        <v>1.9547663200000003</v>
      </c>
      <c r="AU9" s="22">
        <f t="shared" si="8"/>
        <v>4.9843476799999991</v>
      </c>
      <c r="AV9" s="22">
        <f t="shared" si="8"/>
        <v>4.2531840000000001</v>
      </c>
      <c r="AW9" s="22">
        <f t="shared" si="8"/>
        <v>1.4681607200000002</v>
      </c>
      <c r="AX9" s="22">
        <f>$C$4*AX8*0.04/0.002*100</f>
        <v>9.3315300000000025</v>
      </c>
      <c r="AY9" s="22">
        <f>$C$4*AY8*0.04/0.002*100</f>
        <v>1.5646695999999998</v>
      </c>
      <c r="AZ9" s="22">
        <f>$C$4*AZ8*0.04/0.002*100</f>
        <v>4.6883969600000004</v>
      </c>
      <c r="BA9" s="22">
        <f t="shared" ref="BA9:DC9" si="9">$C$4*BA8*0.04/0.002*100</f>
        <v>8.1472102400000015</v>
      </c>
      <c r="BB9" s="22">
        <f t="shared" si="9"/>
        <v>13.031726240000003</v>
      </c>
      <c r="BC9" s="22">
        <f t="shared" si="9"/>
        <v>15.787361200000003</v>
      </c>
      <c r="BD9" s="22">
        <f t="shared" si="9"/>
        <v>2.1649888000000006</v>
      </c>
      <c r="BE9" s="22">
        <f t="shared" si="9"/>
        <v>5.678960560000001</v>
      </c>
      <c r="BF9" s="22">
        <f t="shared" si="9"/>
        <v>3.0285476</v>
      </c>
      <c r="BG9" s="55">
        <f t="shared" si="9"/>
        <v>2.7591054400000004</v>
      </c>
      <c r="BH9" s="22">
        <f t="shared" si="9"/>
        <v>6.2362310400000007</v>
      </c>
      <c r="BI9" s="22">
        <f t="shared" si="9"/>
        <v>2.3081645600000003</v>
      </c>
      <c r="BJ9" s="22">
        <f t="shared" si="9"/>
        <v>2.1605584000000002</v>
      </c>
      <c r="BK9" s="22">
        <f t="shared" si="9"/>
        <v>3.20052096</v>
      </c>
      <c r="BL9" s="22">
        <f t="shared" si="9"/>
        <v>2.5330812000000003</v>
      </c>
      <c r="BM9" s="22">
        <f t="shared" si="9"/>
        <v>2.5728071200000002</v>
      </c>
      <c r="BN9" s="22">
        <f t="shared" si="9"/>
        <v>2.6015308800000003</v>
      </c>
      <c r="BO9" s="22">
        <f t="shared" si="9"/>
        <v>0</v>
      </c>
      <c r="BP9" s="22">
        <f t="shared" si="9"/>
        <v>0</v>
      </c>
      <c r="BQ9" s="22">
        <f t="shared" si="9"/>
        <v>0</v>
      </c>
      <c r="BR9" s="22">
        <f t="shared" si="9"/>
        <v>0</v>
      </c>
      <c r="BS9" s="22">
        <f t="shared" si="9"/>
        <v>1.5672540000000001</v>
      </c>
      <c r="BT9" s="22">
        <f t="shared" si="9"/>
        <v>0.91989871999999995</v>
      </c>
      <c r="BU9" s="22">
        <f t="shared" si="9"/>
        <v>6.5712431200000001</v>
      </c>
      <c r="BV9" s="32">
        <f t="shared" si="9"/>
        <v>0</v>
      </c>
      <c r="BW9" s="22">
        <f t="shared" si="9"/>
        <v>2.9250239200000006</v>
      </c>
      <c r="BX9" s="22">
        <f t="shared" si="9"/>
        <v>6.2970752000000001</v>
      </c>
      <c r="BY9" s="22">
        <f t="shared" si="9"/>
        <v>8.8410847200000013</v>
      </c>
      <c r="BZ9" s="22">
        <f t="shared" si="9"/>
        <v>4.52026328</v>
      </c>
      <c r="CA9" s="22">
        <f t="shared" si="9"/>
        <v>0</v>
      </c>
      <c r="CB9" s="32">
        <f t="shared" si="9"/>
        <v>0</v>
      </c>
      <c r="CC9" s="32">
        <f t="shared" si="9"/>
        <v>0</v>
      </c>
      <c r="CD9" s="22">
        <f t="shared" si="9"/>
        <v>1.5981191200000002</v>
      </c>
      <c r="CE9" s="22">
        <f t="shared" si="9"/>
        <v>12.401871040000003</v>
      </c>
      <c r="CF9" s="22">
        <f t="shared" si="9"/>
        <v>2.6750016800000003</v>
      </c>
      <c r="CG9" s="22">
        <f t="shared" si="9"/>
        <v>1.7508202400000001</v>
      </c>
      <c r="CH9" s="22">
        <f t="shared" si="9"/>
        <v>0.61080448000000009</v>
      </c>
      <c r="CI9" s="22">
        <f t="shared" si="9"/>
        <v>14.41681696</v>
      </c>
      <c r="CJ9" s="22">
        <f t="shared" si="9"/>
        <v>8.237590400000002</v>
      </c>
      <c r="CK9" s="22">
        <f t="shared" si="9"/>
        <v>6.1750915200000005</v>
      </c>
      <c r="CL9" s="22">
        <f t="shared" si="9"/>
        <v>8.1848686400000012</v>
      </c>
      <c r="CM9" s="22">
        <f t="shared" si="9"/>
        <v>0.24573952000000004</v>
      </c>
      <c r="CN9" s="22">
        <f t="shared" si="9"/>
        <v>0</v>
      </c>
      <c r="CO9" s="22">
        <f t="shared" si="9"/>
        <v>0</v>
      </c>
      <c r="CP9" s="22">
        <f t="shared" si="9"/>
        <v>0</v>
      </c>
      <c r="CQ9" s="22">
        <f t="shared" si="9"/>
        <v>2.7419745600000005</v>
      </c>
      <c r="CR9" s="22">
        <f t="shared" si="9"/>
        <v>9.1927846399999993</v>
      </c>
      <c r="CS9" s="22">
        <f t="shared" si="9"/>
        <v>0</v>
      </c>
      <c r="CT9" s="22">
        <f t="shared" si="9"/>
        <v>6.59605336</v>
      </c>
      <c r="CU9" s="22">
        <f t="shared" si="9"/>
        <v>4.8070578399999997</v>
      </c>
      <c r="CV9" s="22">
        <f t="shared" si="9"/>
        <v>4.32325816</v>
      </c>
      <c r="CW9" s="22">
        <f t="shared" si="9"/>
        <v>0</v>
      </c>
      <c r="CX9" s="22">
        <f t="shared" si="9"/>
        <v>2.2590609600000007</v>
      </c>
      <c r="CY9" s="22">
        <f t="shared" si="9"/>
        <v>0</v>
      </c>
      <c r="CZ9" s="22">
        <f t="shared" si="9"/>
        <v>2.47024336</v>
      </c>
      <c r="DA9" s="22">
        <f t="shared" si="9"/>
        <v>0</v>
      </c>
      <c r="DB9" s="22">
        <f>$C$4*DB8*0.04/0.002*100</f>
        <v>0.63125816000000001</v>
      </c>
      <c r="DC9" s="22">
        <f t="shared" si="9"/>
        <v>9.0749360000000015E-2</v>
      </c>
      <c r="DD9" s="22">
        <f t="shared" ref="DD9:FF9" si="10">$C$4*DD8*0.04/0.002*100</f>
        <v>9.6361200000000008E-2</v>
      </c>
      <c r="DE9" s="22">
        <f t="shared" si="10"/>
        <v>0.10308064000000002</v>
      </c>
      <c r="DF9" s="22">
        <f t="shared" si="10"/>
        <v>8.2704491999999998</v>
      </c>
      <c r="DG9" s="22">
        <f t="shared" si="10"/>
        <v>2.0791128799999998</v>
      </c>
      <c r="DH9" s="22">
        <f t="shared" si="10"/>
        <v>7.5095280000000014E-2</v>
      </c>
      <c r="DI9" s="22">
        <f t="shared" si="10"/>
        <v>0.15410408</v>
      </c>
      <c r="DJ9" s="22">
        <f t="shared" si="10"/>
        <v>0.57181696000000004</v>
      </c>
      <c r="DK9" s="22">
        <f t="shared" si="10"/>
        <v>9.5882716800000019</v>
      </c>
      <c r="DL9" s="22">
        <f t="shared" si="10"/>
        <v>2.9552983200000003</v>
      </c>
      <c r="DM9" s="22">
        <f t="shared" si="10"/>
        <v>16.606468320000001</v>
      </c>
      <c r="DN9" s="22">
        <f t="shared" si="10"/>
        <v>5.1779561599999999</v>
      </c>
      <c r="DO9" s="22">
        <f t="shared" si="10"/>
        <v>10.97343624</v>
      </c>
      <c r="DP9" s="22">
        <f t="shared" si="10"/>
        <v>1.7497864800000003</v>
      </c>
      <c r="DQ9" s="22">
        <f t="shared" si="10"/>
        <v>10.730281120000001</v>
      </c>
      <c r="DR9" s="22">
        <f t="shared" si="10"/>
        <v>0</v>
      </c>
      <c r="DS9" s="22">
        <f t="shared" si="10"/>
        <v>0</v>
      </c>
      <c r="DT9" s="22">
        <f t="shared" si="10"/>
        <v>10.51267464</v>
      </c>
      <c r="DU9" s="22">
        <f t="shared" si="10"/>
        <v>3.4371781599999998</v>
      </c>
      <c r="DV9" s="22">
        <f t="shared" si="10"/>
        <v>1.4040676000000003</v>
      </c>
      <c r="DW9" s="22">
        <f t="shared" si="10"/>
        <v>2.8040001600000002</v>
      </c>
      <c r="DX9" s="22">
        <f t="shared" si="10"/>
        <v>3.2264388000000004</v>
      </c>
      <c r="DY9" s="22">
        <f t="shared" si="10"/>
        <v>1.5373488000000002</v>
      </c>
      <c r="DZ9" s="22">
        <f t="shared" si="10"/>
        <v>2.3992831200000002</v>
      </c>
      <c r="EA9" s="22">
        <f t="shared" si="10"/>
        <v>9.3479963200000018</v>
      </c>
      <c r="EB9" s="22">
        <f t="shared" si="10"/>
        <v>2.49387216</v>
      </c>
      <c r="EC9" s="22">
        <f t="shared" si="10"/>
        <v>9.6039995999999999</v>
      </c>
      <c r="ED9" s="22">
        <f t="shared" si="10"/>
        <v>8.1686976800000011</v>
      </c>
      <c r="EE9" s="22">
        <f t="shared" si="10"/>
        <v>4.1060208800000009</v>
      </c>
      <c r="EF9" s="22">
        <f t="shared" si="10"/>
        <v>0</v>
      </c>
      <c r="EG9" s="22">
        <f t="shared" si="10"/>
        <v>2.3732176000000003</v>
      </c>
      <c r="EH9" s="22">
        <f t="shared" si="10"/>
        <v>1.9675406400000004</v>
      </c>
      <c r="EI9" s="22">
        <f t="shared" si="10"/>
        <v>0</v>
      </c>
      <c r="EJ9" s="22">
        <f t="shared" si="10"/>
        <v>2.3270675999999999</v>
      </c>
      <c r="EK9" s="22">
        <f t="shared" si="10"/>
        <v>3.52165112</v>
      </c>
      <c r="EL9" s="22">
        <f t="shared" si="10"/>
        <v>0</v>
      </c>
      <c r="EM9" s="22">
        <f t="shared" si="10"/>
        <v>0</v>
      </c>
      <c r="EN9" s="22">
        <f t="shared" si="10"/>
        <v>0</v>
      </c>
      <c r="EO9" s="22">
        <f t="shared" si="10"/>
        <v>0</v>
      </c>
      <c r="EP9" s="22">
        <f t="shared" si="10"/>
        <v>0</v>
      </c>
      <c r="EQ9" s="22">
        <f t="shared" si="10"/>
        <v>0</v>
      </c>
      <c r="ER9" s="22">
        <f t="shared" si="10"/>
        <v>0</v>
      </c>
      <c r="ES9" s="22">
        <f t="shared" si="10"/>
        <v>0</v>
      </c>
      <c r="ET9" s="22">
        <f t="shared" si="10"/>
        <v>0</v>
      </c>
      <c r="EU9" s="22">
        <f t="shared" si="10"/>
        <v>0</v>
      </c>
      <c r="EV9" s="22">
        <f t="shared" si="10"/>
        <v>0</v>
      </c>
      <c r="EW9" s="22">
        <f t="shared" si="10"/>
        <v>0</v>
      </c>
      <c r="EX9" s="22">
        <f t="shared" si="10"/>
        <v>0</v>
      </c>
      <c r="EY9" s="22">
        <f t="shared" si="10"/>
        <v>0</v>
      </c>
      <c r="EZ9" s="22">
        <f t="shared" si="10"/>
        <v>0</v>
      </c>
      <c r="FA9" s="22">
        <f t="shared" si="10"/>
        <v>0</v>
      </c>
      <c r="FB9" s="22">
        <f t="shared" si="10"/>
        <v>0</v>
      </c>
      <c r="FC9" s="22">
        <f t="shared" si="10"/>
        <v>0</v>
      </c>
      <c r="FD9" s="22">
        <f t="shared" si="10"/>
        <v>0</v>
      </c>
      <c r="FE9" s="22">
        <f t="shared" si="10"/>
        <v>0</v>
      </c>
      <c r="FF9" s="22">
        <f t="shared" si="10"/>
        <v>0</v>
      </c>
    </row>
    <row r="10" spans="1:162" x14ac:dyDescent="0.55000000000000004">
      <c r="B10" t="s">
        <v>22</v>
      </c>
      <c r="C10" s="1">
        <f>3.39*C4/2.54</f>
        <v>4.9275118110236224E-8</v>
      </c>
      <c r="E10">
        <v>18.579999999999998</v>
      </c>
      <c r="F10" s="3" t="s">
        <v>8</v>
      </c>
      <c r="G10" s="2" t="s">
        <v>4</v>
      </c>
      <c r="H10" s="2">
        <v>39732</v>
      </c>
      <c r="I10" s="22">
        <v>11818</v>
      </c>
      <c r="J10" s="2">
        <v>44994</v>
      </c>
      <c r="K10" s="22">
        <v>12301</v>
      </c>
      <c r="L10" s="2">
        <v>16245</v>
      </c>
      <c r="M10" s="22">
        <v>5526</v>
      </c>
      <c r="N10" s="2">
        <v>13451</v>
      </c>
      <c r="O10" s="22">
        <v>2677</v>
      </c>
      <c r="P10" s="22">
        <v>16860</v>
      </c>
      <c r="Q10" s="2">
        <v>51293</v>
      </c>
      <c r="R10" s="22">
        <v>14380</v>
      </c>
      <c r="S10" s="2">
        <v>53314</v>
      </c>
      <c r="T10" s="22">
        <v>11771</v>
      </c>
      <c r="U10" s="22">
        <v>12532</v>
      </c>
      <c r="V10" s="22">
        <v>19323</v>
      </c>
      <c r="W10" s="27">
        <v>46415</v>
      </c>
      <c r="X10" s="22">
        <v>10687</v>
      </c>
      <c r="Y10" s="22">
        <v>12041</v>
      </c>
      <c r="Z10" s="22">
        <v>16979</v>
      </c>
      <c r="AA10" s="22">
        <v>12664</v>
      </c>
      <c r="AB10" s="22">
        <v>16826</v>
      </c>
      <c r="AC10" s="22">
        <v>9744</v>
      </c>
      <c r="AD10" s="22">
        <v>13898</v>
      </c>
      <c r="AE10" s="22">
        <v>18223</v>
      </c>
      <c r="AF10" s="22">
        <v>23080</v>
      </c>
      <c r="AG10" s="22">
        <v>26422</v>
      </c>
      <c r="AH10" s="31">
        <v>6977</v>
      </c>
      <c r="AI10" s="31"/>
      <c r="AJ10" s="31">
        <v>16818</v>
      </c>
      <c r="AK10" s="22">
        <v>6289</v>
      </c>
      <c r="AL10" s="31"/>
      <c r="AM10" s="22">
        <v>19981</v>
      </c>
      <c r="AN10" s="31">
        <v>15911</v>
      </c>
      <c r="AO10" s="22">
        <v>98135</v>
      </c>
      <c r="AP10" s="31"/>
      <c r="AQ10" s="22">
        <v>17353</v>
      </c>
      <c r="AR10" s="22">
        <v>38166</v>
      </c>
      <c r="AS10" s="22">
        <v>16391</v>
      </c>
      <c r="AT10" s="31">
        <v>94829</v>
      </c>
      <c r="AU10" s="22">
        <v>24228</v>
      </c>
      <c r="AV10" s="22">
        <v>9045</v>
      </c>
      <c r="AW10" s="22">
        <v>13161</v>
      </c>
      <c r="AX10" s="22">
        <v>36058</v>
      </c>
      <c r="AY10" s="2">
        <v>11237</v>
      </c>
      <c r="AZ10" s="2">
        <v>28183</v>
      </c>
      <c r="BA10" s="2">
        <v>31279</v>
      </c>
      <c r="BB10" s="2">
        <v>39743</v>
      </c>
      <c r="BC10" s="2">
        <v>39125</v>
      </c>
      <c r="BD10" s="2">
        <v>15079</v>
      </c>
      <c r="BE10" s="2">
        <v>40447</v>
      </c>
      <c r="BF10" s="2">
        <v>15482</v>
      </c>
      <c r="BG10" s="55">
        <v>14686</v>
      </c>
      <c r="BH10" s="2">
        <v>27160</v>
      </c>
      <c r="BI10" s="2">
        <v>16018</v>
      </c>
      <c r="BJ10" s="2">
        <v>15413</v>
      </c>
      <c r="BK10" s="2">
        <v>19292</v>
      </c>
      <c r="BL10" s="2">
        <v>17953</v>
      </c>
      <c r="BM10" s="2">
        <v>12179</v>
      </c>
      <c r="BN10" s="2">
        <v>14739</v>
      </c>
      <c r="BO10" s="2"/>
      <c r="BP10" s="2"/>
      <c r="BQ10" s="2"/>
      <c r="BR10" s="2"/>
      <c r="BS10" s="2">
        <v>11511</v>
      </c>
      <c r="BT10" s="2">
        <v>6993</v>
      </c>
      <c r="BU10" s="2">
        <v>23937</v>
      </c>
      <c r="BV10" s="32"/>
      <c r="BW10" s="2">
        <v>18340</v>
      </c>
      <c r="BX10" s="2">
        <v>23365</v>
      </c>
      <c r="BY10" s="2">
        <v>27202</v>
      </c>
      <c r="BZ10" s="2">
        <v>22255</v>
      </c>
      <c r="CA10" s="2"/>
      <c r="CB10" s="32"/>
      <c r="CC10" s="32"/>
      <c r="CD10" s="2">
        <v>11769</v>
      </c>
      <c r="CE10" s="2">
        <v>10741</v>
      </c>
      <c r="CF10" s="2">
        <v>12196</v>
      </c>
      <c r="CG10" s="2">
        <v>12895</v>
      </c>
      <c r="CH10" s="2">
        <v>4720</v>
      </c>
      <c r="CI10" s="2">
        <v>25879</v>
      </c>
      <c r="CJ10" s="2">
        <v>28506</v>
      </c>
      <c r="CK10" s="2">
        <v>19814</v>
      </c>
      <c r="CL10" s="2">
        <v>25879</v>
      </c>
      <c r="CM10" s="2"/>
      <c r="CN10" s="2"/>
      <c r="CO10" s="2"/>
      <c r="CP10" s="2"/>
      <c r="CQ10" s="2">
        <v>15174</v>
      </c>
      <c r="CR10" s="2">
        <v>25442</v>
      </c>
      <c r="CS10" s="2"/>
      <c r="CT10" s="2">
        <v>24856</v>
      </c>
      <c r="CU10" s="2">
        <v>19539</v>
      </c>
      <c r="CV10" s="2">
        <v>20680</v>
      </c>
      <c r="CW10" s="2"/>
      <c r="CX10" s="2">
        <v>13343</v>
      </c>
      <c r="CY10" s="2"/>
      <c r="CZ10" s="2">
        <v>11728</v>
      </c>
      <c r="DA10" s="2"/>
      <c r="DB10" s="2"/>
      <c r="DC10" s="2"/>
      <c r="DD10" s="2"/>
      <c r="DE10" s="2"/>
      <c r="DF10" s="2">
        <v>30316</v>
      </c>
      <c r="DG10" s="2">
        <v>15762</v>
      </c>
      <c r="DH10" s="2">
        <v>1929</v>
      </c>
      <c r="DI10" s="2"/>
      <c r="DJ10" s="2"/>
      <c r="DK10" s="2">
        <v>51620</v>
      </c>
      <c r="DL10" s="2">
        <v>16596</v>
      </c>
      <c r="DM10" s="2">
        <v>70570</v>
      </c>
      <c r="DN10" s="2">
        <v>21567</v>
      </c>
      <c r="DO10" s="2">
        <v>40080</v>
      </c>
      <c r="DP10" s="2">
        <v>9815</v>
      </c>
      <c r="DQ10" s="2">
        <v>38373</v>
      </c>
      <c r="DR10" s="2"/>
      <c r="DS10" s="2"/>
      <c r="DT10" s="2">
        <v>34777</v>
      </c>
      <c r="DU10" s="2">
        <v>17584</v>
      </c>
      <c r="DV10" s="2">
        <v>9953</v>
      </c>
      <c r="DW10" s="2">
        <v>13220</v>
      </c>
      <c r="DX10" s="2">
        <v>17581</v>
      </c>
      <c r="DY10" s="2">
        <v>13147</v>
      </c>
      <c r="DZ10" s="2">
        <v>8035</v>
      </c>
      <c r="EA10" s="2">
        <v>36738</v>
      </c>
      <c r="EB10" s="2">
        <v>24308</v>
      </c>
      <c r="EC10" s="2">
        <v>33515</v>
      </c>
      <c r="ED10" s="2">
        <v>33144</v>
      </c>
      <c r="EE10" s="2">
        <v>26244</v>
      </c>
      <c r="EF10" s="2"/>
      <c r="EG10" s="2">
        <v>15304</v>
      </c>
      <c r="EH10" s="2">
        <v>16106</v>
      </c>
      <c r="EI10" s="2"/>
      <c r="EJ10" s="2">
        <v>23788</v>
      </c>
      <c r="EK10" s="2">
        <v>23023</v>
      </c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</row>
    <row r="11" spans="1:162" x14ac:dyDescent="0.55000000000000004">
      <c r="G11" s="2" t="s">
        <v>5</v>
      </c>
      <c r="H11" s="2">
        <f t="shared" ref="H11:AW11" si="11">$C$5*H10*0.04/0.002*100</f>
        <v>3.3072916799999996</v>
      </c>
      <c r="I11" s="22">
        <f t="shared" si="11"/>
        <v>0.98373031999999994</v>
      </c>
      <c r="J11" s="2">
        <f t="shared" si="11"/>
        <v>3.74530056</v>
      </c>
      <c r="K11" s="22">
        <f t="shared" si="11"/>
        <v>1.0239352400000001</v>
      </c>
      <c r="L11" s="2">
        <f t="shared" si="11"/>
        <v>1.3522337999999998</v>
      </c>
      <c r="M11" s="22">
        <f t="shared" si="11"/>
        <v>0.45998423999999999</v>
      </c>
      <c r="N11" s="2">
        <f t="shared" si="11"/>
        <v>1.1196612400000001</v>
      </c>
      <c r="O11" s="22">
        <f t="shared" si="11"/>
        <v>0.22283348</v>
      </c>
      <c r="P11" s="22">
        <f t="shared" si="11"/>
        <v>1.4034263999999999</v>
      </c>
      <c r="Q11" s="2">
        <f t="shared" si="11"/>
        <v>4.2696293200000008</v>
      </c>
      <c r="R11" s="22">
        <f t="shared" si="11"/>
        <v>1.1969911999999998</v>
      </c>
      <c r="S11" s="2">
        <f t="shared" si="11"/>
        <v>4.4378573600000006</v>
      </c>
      <c r="T11" s="22">
        <f t="shared" si="11"/>
        <v>0.97981804000000006</v>
      </c>
      <c r="U11" s="22">
        <f t="shared" si="11"/>
        <v>1.0431636799999999</v>
      </c>
      <c r="V11" s="22">
        <f t="shared" si="11"/>
        <v>1.6084465199999998</v>
      </c>
      <c r="W11" s="27">
        <f t="shared" si="11"/>
        <v>3.8635846000000003</v>
      </c>
      <c r="X11" s="22">
        <f t="shared" si="11"/>
        <v>0.88958587999999994</v>
      </c>
      <c r="Y11" s="22">
        <f t="shared" si="11"/>
        <v>1.00229284</v>
      </c>
      <c r="Z11" s="22">
        <f t="shared" si="11"/>
        <v>1.4133319599999998</v>
      </c>
      <c r="AA11" s="22">
        <f t="shared" si="11"/>
        <v>1.0541513600000001</v>
      </c>
      <c r="AB11" s="22">
        <f t="shared" si="11"/>
        <v>1.40059624</v>
      </c>
      <c r="AC11" s="22">
        <f t="shared" si="11"/>
        <v>0.8110905599999999</v>
      </c>
      <c r="AD11" s="22">
        <f t="shared" si="11"/>
        <v>1.1568695199999999</v>
      </c>
      <c r="AE11" s="22">
        <f t="shared" si="11"/>
        <v>1.51688252</v>
      </c>
      <c r="AF11" s="22">
        <f t="shared" si="11"/>
        <v>1.9211791999999999</v>
      </c>
      <c r="AG11" s="22">
        <f t="shared" si="11"/>
        <v>2.1993672799999997</v>
      </c>
      <c r="AH11" s="31">
        <f t="shared" si="11"/>
        <v>0.58076548000000006</v>
      </c>
      <c r="AI11" s="31">
        <f t="shared" si="11"/>
        <v>0</v>
      </c>
      <c r="AJ11" s="31">
        <f t="shared" si="11"/>
        <v>1.39993032</v>
      </c>
      <c r="AK11" s="22">
        <f t="shared" si="11"/>
        <v>0.52349635999999999</v>
      </c>
      <c r="AL11" s="31">
        <f t="shared" si="11"/>
        <v>0</v>
      </c>
      <c r="AM11" s="22">
        <f t="shared" si="11"/>
        <v>1.6632184400000001</v>
      </c>
      <c r="AN11" s="31">
        <f t="shared" si="11"/>
        <v>1.32443164</v>
      </c>
      <c r="AO11" s="31">
        <f t="shared" si="11"/>
        <v>8.1687573999999987</v>
      </c>
      <c r="AP11" s="31">
        <f t="shared" si="11"/>
        <v>0</v>
      </c>
      <c r="AQ11" s="22">
        <f t="shared" si="11"/>
        <v>1.4444637199999999</v>
      </c>
      <c r="AR11" s="22">
        <f t="shared" si="11"/>
        <v>3.1769378399999999</v>
      </c>
      <c r="AS11" s="22">
        <f t="shared" si="11"/>
        <v>1.3643868399999999</v>
      </c>
      <c r="AT11" s="31">
        <f t="shared" si="11"/>
        <v>7.8935659600000001</v>
      </c>
      <c r="AU11" s="22">
        <f t="shared" si="11"/>
        <v>2.0167387200000002</v>
      </c>
      <c r="AV11" s="22">
        <f t="shared" si="11"/>
        <v>0.75290579999999996</v>
      </c>
      <c r="AW11" s="22">
        <f t="shared" si="11"/>
        <v>1.0955216400000001</v>
      </c>
      <c r="AX11" s="22">
        <f>$C$5*AX10*0.04/0.002*100</f>
        <v>3.0014679200000001</v>
      </c>
      <c r="AY11" s="22">
        <f>$C$5*AY10*0.04/0.002*100</f>
        <v>0.93536787999999993</v>
      </c>
      <c r="AZ11" s="22">
        <f>$C$5*AZ10*0.04/0.002*100</f>
        <v>2.3459529199999998</v>
      </c>
      <c r="BA11" s="22">
        <f t="shared" ref="BA11:DC11" si="12">$C$5*BA10*0.04/0.002*100</f>
        <v>2.60366396</v>
      </c>
      <c r="BB11" s="22">
        <f t="shared" si="12"/>
        <v>3.3082073199999993</v>
      </c>
      <c r="BC11" s="22">
        <f t="shared" si="12"/>
        <v>3.2567649999999997</v>
      </c>
      <c r="BD11" s="22">
        <f t="shared" si="12"/>
        <v>1.2551759600000001</v>
      </c>
      <c r="BE11" s="22">
        <f t="shared" si="12"/>
        <v>3.3668082799999999</v>
      </c>
      <c r="BF11" s="22">
        <f t="shared" si="12"/>
        <v>1.2887216799999999</v>
      </c>
      <c r="BG11" s="55">
        <f t="shared" si="12"/>
        <v>1.2224626399999998</v>
      </c>
      <c r="BH11" s="22">
        <f t="shared" si="12"/>
        <v>2.2607983999999997</v>
      </c>
      <c r="BI11" s="22">
        <f t="shared" si="12"/>
        <v>1.33333832</v>
      </c>
      <c r="BJ11" s="22">
        <f t="shared" si="12"/>
        <v>1.2829781199999999</v>
      </c>
      <c r="BK11" s="22">
        <f t="shared" si="12"/>
        <v>1.60586608</v>
      </c>
      <c r="BL11" s="22">
        <f t="shared" si="12"/>
        <v>1.4944077199999997</v>
      </c>
      <c r="BM11" s="22">
        <f t="shared" si="12"/>
        <v>1.0137799599999999</v>
      </c>
      <c r="BN11" s="22">
        <f t="shared" si="12"/>
        <v>1.2268743599999998</v>
      </c>
      <c r="BO11" s="22">
        <f t="shared" si="12"/>
        <v>0</v>
      </c>
      <c r="BP11" s="22">
        <f t="shared" si="12"/>
        <v>0</v>
      </c>
      <c r="BQ11" s="22">
        <f t="shared" si="12"/>
        <v>0</v>
      </c>
      <c r="BR11" s="22">
        <f t="shared" si="12"/>
        <v>0</v>
      </c>
      <c r="BS11" s="22">
        <f t="shared" si="12"/>
        <v>0.95817563999999988</v>
      </c>
      <c r="BT11" s="22">
        <f t="shared" si="12"/>
        <v>0.58209732000000003</v>
      </c>
      <c r="BU11" s="22">
        <f t="shared" si="12"/>
        <v>1.9925158799999998</v>
      </c>
      <c r="BV11" s="32">
        <f t="shared" si="12"/>
        <v>0</v>
      </c>
      <c r="BW11" s="22">
        <f t="shared" si="12"/>
        <v>1.5266215999999999</v>
      </c>
      <c r="BX11" s="22">
        <f t="shared" si="12"/>
        <v>1.9449025999999998</v>
      </c>
      <c r="BY11" s="22">
        <f t="shared" si="12"/>
        <v>2.2642944799999998</v>
      </c>
      <c r="BZ11" s="22">
        <f t="shared" si="12"/>
        <v>1.8525061999999999</v>
      </c>
      <c r="CA11" s="22">
        <f t="shared" si="12"/>
        <v>0</v>
      </c>
      <c r="CB11" s="32">
        <f t="shared" si="12"/>
        <v>0</v>
      </c>
      <c r="CC11" s="32">
        <f t="shared" si="12"/>
        <v>0</v>
      </c>
      <c r="CD11" s="22">
        <f t="shared" si="12"/>
        <v>0.97965155999999998</v>
      </c>
      <c r="CE11" s="22">
        <f t="shared" si="12"/>
        <v>0.89408083999999999</v>
      </c>
      <c r="CF11" s="22">
        <f t="shared" si="12"/>
        <v>1.01519504</v>
      </c>
      <c r="CG11" s="22">
        <f t="shared" si="12"/>
        <v>1.0733797999999999</v>
      </c>
      <c r="CH11" s="22">
        <f t="shared" si="12"/>
        <v>0.39289279999999999</v>
      </c>
      <c r="CI11" s="22">
        <f t="shared" si="12"/>
        <v>2.1541679599999997</v>
      </c>
      <c r="CJ11" s="22">
        <f t="shared" si="12"/>
        <v>2.3728394399999999</v>
      </c>
      <c r="CK11" s="22">
        <f t="shared" si="12"/>
        <v>1.6493173599999997</v>
      </c>
      <c r="CL11" s="22">
        <f t="shared" si="12"/>
        <v>2.1541679599999997</v>
      </c>
      <c r="CM11" s="22">
        <f t="shared" si="12"/>
        <v>0</v>
      </c>
      <c r="CN11" s="22">
        <f t="shared" si="12"/>
        <v>0</v>
      </c>
      <c r="CO11" s="22">
        <f t="shared" si="12"/>
        <v>0</v>
      </c>
      <c r="CP11" s="22">
        <f t="shared" si="12"/>
        <v>0</v>
      </c>
      <c r="CQ11" s="22">
        <f t="shared" si="12"/>
        <v>1.2630837599999998</v>
      </c>
      <c r="CR11" s="22">
        <f t="shared" si="12"/>
        <v>2.1177920800000001</v>
      </c>
      <c r="CS11" s="22">
        <f t="shared" si="12"/>
        <v>0</v>
      </c>
      <c r="CT11" s="22">
        <f t="shared" si="12"/>
        <v>2.0690134399999995</v>
      </c>
      <c r="CU11" s="22">
        <f t="shared" si="12"/>
        <v>1.62642636</v>
      </c>
      <c r="CV11" s="22">
        <f t="shared" si="12"/>
        <v>1.7214031999999997</v>
      </c>
      <c r="CW11" s="22">
        <f t="shared" si="12"/>
        <v>0</v>
      </c>
      <c r="CX11" s="22">
        <f t="shared" si="12"/>
        <v>1.11067132</v>
      </c>
      <c r="CY11" s="22">
        <f t="shared" si="12"/>
        <v>0</v>
      </c>
      <c r="CZ11" s="22">
        <f t="shared" si="12"/>
        <v>0.97623871999999978</v>
      </c>
      <c r="DA11" s="22">
        <f t="shared" si="12"/>
        <v>0</v>
      </c>
      <c r="DB11" s="22">
        <f t="shared" si="12"/>
        <v>0</v>
      </c>
      <c r="DC11" s="22">
        <f t="shared" si="12"/>
        <v>0</v>
      </c>
      <c r="DD11" s="22">
        <f t="shared" ref="DD11:FF11" si="13">$C$5*DD10*0.04/0.002*100</f>
        <v>0</v>
      </c>
      <c r="DE11" s="22">
        <f t="shared" si="13"/>
        <v>0</v>
      </c>
      <c r="DF11" s="22">
        <f t="shared" si="13"/>
        <v>2.5235038400000001</v>
      </c>
      <c r="DG11" s="22">
        <f t="shared" si="13"/>
        <v>1.31202888</v>
      </c>
      <c r="DH11" s="22">
        <f t="shared" si="13"/>
        <v>0.16056995999999998</v>
      </c>
      <c r="DI11" s="22">
        <f t="shared" si="13"/>
        <v>0</v>
      </c>
      <c r="DJ11" s="22">
        <f t="shared" si="13"/>
        <v>0</v>
      </c>
      <c r="DK11" s="22">
        <f t="shared" si="13"/>
        <v>4.2968488000000002</v>
      </c>
      <c r="DL11" s="22">
        <f t="shared" si="13"/>
        <v>1.38145104</v>
      </c>
      <c r="DM11" s="22">
        <f t="shared" si="13"/>
        <v>5.8742467999999999</v>
      </c>
      <c r="DN11" s="22">
        <f t="shared" si="13"/>
        <v>1.7952370800000002</v>
      </c>
      <c r="DO11" s="22">
        <f t="shared" si="13"/>
        <v>3.3362592000000002</v>
      </c>
      <c r="DP11" s="22">
        <f t="shared" si="13"/>
        <v>0.81700059999999985</v>
      </c>
      <c r="DQ11" s="22">
        <f t="shared" si="13"/>
        <v>3.1941685199999998</v>
      </c>
      <c r="DR11" s="22">
        <f t="shared" si="13"/>
        <v>0</v>
      </c>
      <c r="DS11" s="22">
        <f t="shared" si="13"/>
        <v>0</v>
      </c>
      <c r="DT11" s="22">
        <f t="shared" si="13"/>
        <v>2.8948374799999996</v>
      </c>
      <c r="DU11" s="22">
        <f t="shared" si="13"/>
        <v>1.4636921599999999</v>
      </c>
      <c r="DV11" s="22">
        <f t="shared" si="13"/>
        <v>0.82848771999999982</v>
      </c>
      <c r="DW11" s="22">
        <f t="shared" si="13"/>
        <v>1.1004328000000001</v>
      </c>
      <c r="DX11" s="22">
        <f t="shared" si="13"/>
        <v>1.4634424399999999</v>
      </c>
      <c r="DY11" s="22">
        <f>$C$5*DY10*0.04/0.002*100</f>
        <v>1.09435628</v>
      </c>
      <c r="DZ11" s="22">
        <f t="shared" si="13"/>
        <v>0.66883340000000002</v>
      </c>
      <c r="EA11" s="22">
        <f t="shared" si="13"/>
        <v>3.0580711199999997</v>
      </c>
      <c r="EB11" s="22">
        <f t="shared" si="13"/>
        <v>2.0233979199999998</v>
      </c>
      <c r="EC11" s="22">
        <f t="shared" si="13"/>
        <v>2.7897885999999996</v>
      </c>
      <c r="ED11" s="22">
        <f t="shared" si="13"/>
        <v>2.7589065599999998</v>
      </c>
      <c r="EE11" s="22">
        <f t="shared" si="13"/>
        <v>2.1845505599999999</v>
      </c>
      <c r="EF11" s="22">
        <f t="shared" si="13"/>
        <v>0</v>
      </c>
      <c r="EG11" s="22">
        <f t="shared" si="13"/>
        <v>1.2739049600000001</v>
      </c>
      <c r="EH11" s="22">
        <f t="shared" si="13"/>
        <v>1.3406634399999999</v>
      </c>
      <c r="EI11" s="22">
        <f t="shared" si="13"/>
        <v>0</v>
      </c>
      <c r="EJ11" s="22">
        <f t="shared" si="13"/>
        <v>1.9801131199999999</v>
      </c>
      <c r="EK11" s="22">
        <f t="shared" si="13"/>
        <v>1.9164345199999999</v>
      </c>
      <c r="EL11" s="22">
        <f t="shared" si="13"/>
        <v>0</v>
      </c>
      <c r="EM11" s="22">
        <f t="shared" si="13"/>
        <v>0</v>
      </c>
      <c r="EN11" s="22">
        <f t="shared" si="13"/>
        <v>0</v>
      </c>
      <c r="EO11" s="22">
        <f t="shared" si="13"/>
        <v>0</v>
      </c>
      <c r="EP11" s="22">
        <f t="shared" si="13"/>
        <v>0</v>
      </c>
      <c r="EQ11" s="22">
        <f t="shared" si="13"/>
        <v>0</v>
      </c>
      <c r="ER11" s="22">
        <f t="shared" si="13"/>
        <v>0</v>
      </c>
      <c r="ES11" s="22">
        <f t="shared" si="13"/>
        <v>0</v>
      </c>
      <c r="ET11" s="22">
        <f t="shared" si="13"/>
        <v>0</v>
      </c>
      <c r="EU11" s="22">
        <f t="shared" si="13"/>
        <v>0</v>
      </c>
      <c r="EV11" s="22">
        <f t="shared" si="13"/>
        <v>0</v>
      </c>
      <c r="EW11" s="22">
        <f t="shared" si="13"/>
        <v>0</v>
      </c>
      <c r="EX11" s="22">
        <f t="shared" si="13"/>
        <v>0</v>
      </c>
      <c r="EY11" s="22">
        <f t="shared" si="13"/>
        <v>0</v>
      </c>
      <c r="EZ11" s="22">
        <f t="shared" si="13"/>
        <v>0</v>
      </c>
      <c r="FA11" s="22">
        <f t="shared" si="13"/>
        <v>0</v>
      </c>
      <c r="FB11" s="22">
        <f t="shared" si="13"/>
        <v>0</v>
      </c>
      <c r="FC11" s="22">
        <f t="shared" si="13"/>
        <v>0</v>
      </c>
      <c r="FD11" s="22">
        <f t="shared" si="13"/>
        <v>0</v>
      </c>
      <c r="FE11" s="22">
        <f t="shared" si="13"/>
        <v>0</v>
      </c>
      <c r="FF11" s="22">
        <f t="shared" si="13"/>
        <v>0</v>
      </c>
    </row>
    <row r="12" spans="1:162" x14ac:dyDescent="0.55000000000000004">
      <c r="D12" t="s">
        <v>15</v>
      </c>
      <c r="E12">
        <v>15.4</v>
      </c>
      <c r="F12" s="3" t="s">
        <v>14</v>
      </c>
      <c r="G12" s="2" t="s">
        <v>4</v>
      </c>
      <c r="H12" s="2">
        <v>41796</v>
      </c>
      <c r="I12" s="22">
        <v>25229</v>
      </c>
      <c r="J12" s="2">
        <v>36934</v>
      </c>
      <c r="K12" s="22">
        <v>22294</v>
      </c>
      <c r="L12" s="2">
        <v>33675</v>
      </c>
      <c r="M12" s="22">
        <v>18889</v>
      </c>
      <c r="N12" s="2">
        <v>23664</v>
      </c>
      <c r="O12" s="22">
        <v>8595</v>
      </c>
      <c r="P12" s="22">
        <v>25846</v>
      </c>
      <c r="Q12" s="2">
        <v>43758</v>
      </c>
      <c r="R12" s="22">
        <v>27340</v>
      </c>
      <c r="S12" s="2">
        <v>63953</v>
      </c>
      <c r="T12" s="22">
        <v>25862</v>
      </c>
      <c r="U12" s="22">
        <v>26038</v>
      </c>
      <c r="V12" s="22">
        <v>24645</v>
      </c>
      <c r="W12" s="27">
        <v>50650</v>
      </c>
      <c r="X12" s="22">
        <v>25133</v>
      </c>
      <c r="Y12" s="22">
        <v>26627</v>
      </c>
      <c r="Z12" s="22">
        <v>42123</v>
      </c>
      <c r="AA12" s="22">
        <v>27508</v>
      </c>
      <c r="AB12" s="22">
        <v>27637</v>
      </c>
      <c r="AC12" s="22">
        <v>23159</v>
      </c>
      <c r="AD12" s="22">
        <v>27305</v>
      </c>
      <c r="AE12" s="22">
        <v>26711</v>
      </c>
      <c r="AF12" s="22">
        <v>26756</v>
      </c>
      <c r="AG12" s="22">
        <v>25594</v>
      </c>
      <c r="AH12" s="31">
        <v>20283</v>
      </c>
      <c r="AI12" s="31"/>
      <c r="AJ12" s="31">
        <v>16818</v>
      </c>
      <c r="AK12" s="22">
        <v>19487</v>
      </c>
      <c r="AL12" s="31"/>
      <c r="AM12" s="31">
        <v>64487</v>
      </c>
      <c r="AN12" s="31">
        <v>24812</v>
      </c>
      <c r="AO12" s="22">
        <v>23514</v>
      </c>
      <c r="AP12" s="22">
        <v>19785</v>
      </c>
      <c r="AQ12" s="22">
        <v>24480</v>
      </c>
      <c r="AR12" s="22">
        <v>21266</v>
      </c>
      <c r="AS12" s="22">
        <v>26107</v>
      </c>
      <c r="AT12" s="31">
        <v>24634</v>
      </c>
      <c r="AU12" s="31">
        <v>131517</v>
      </c>
      <c r="AV12" s="22">
        <v>28621</v>
      </c>
      <c r="AW12" s="22">
        <v>25523</v>
      </c>
      <c r="AX12" s="31">
        <v>650411</v>
      </c>
      <c r="AY12" s="31"/>
      <c r="AZ12" s="2">
        <v>28170</v>
      </c>
      <c r="BA12" s="2">
        <v>49526</v>
      </c>
      <c r="BB12" s="2">
        <v>28172</v>
      </c>
      <c r="BC12" s="2">
        <v>28173</v>
      </c>
      <c r="BD12" s="2">
        <v>27045</v>
      </c>
      <c r="BE12" s="2">
        <v>41587</v>
      </c>
      <c r="BF12" s="2">
        <v>34755</v>
      </c>
      <c r="BG12" s="55">
        <v>33789</v>
      </c>
      <c r="BH12" s="2">
        <v>43673</v>
      </c>
      <c r="BI12" s="2">
        <v>24656</v>
      </c>
      <c r="BJ12" s="2">
        <v>24877</v>
      </c>
      <c r="BK12" s="2">
        <v>40623</v>
      </c>
      <c r="BL12" s="2">
        <v>26309</v>
      </c>
      <c r="BM12" s="2">
        <v>43889</v>
      </c>
      <c r="BN12" s="2">
        <v>22785</v>
      </c>
      <c r="BO12" s="2"/>
      <c r="BP12" s="2"/>
      <c r="BQ12" s="2"/>
      <c r="BR12" s="2"/>
      <c r="BS12" s="2">
        <v>24167</v>
      </c>
      <c r="BT12" s="2">
        <v>24962</v>
      </c>
      <c r="BU12" s="2">
        <v>22154</v>
      </c>
      <c r="BV12" s="32"/>
      <c r="BW12" s="2">
        <v>25670</v>
      </c>
      <c r="BX12" s="2">
        <v>20563</v>
      </c>
      <c r="BY12" s="2">
        <v>19998</v>
      </c>
      <c r="BZ12" s="2">
        <v>24777</v>
      </c>
      <c r="CA12" s="2"/>
      <c r="CB12" s="32"/>
      <c r="CC12" s="32"/>
      <c r="CD12" s="2">
        <v>25614</v>
      </c>
      <c r="CE12" s="2">
        <v>25463</v>
      </c>
      <c r="CF12" s="2">
        <v>24450</v>
      </c>
      <c r="CG12" s="2">
        <v>27193</v>
      </c>
      <c r="CH12" s="2">
        <v>10476</v>
      </c>
      <c r="CI12" s="2">
        <v>24243</v>
      </c>
      <c r="CJ12" s="2">
        <v>29180</v>
      </c>
      <c r="CK12" s="2">
        <v>21059</v>
      </c>
      <c r="CL12" s="2">
        <v>24243</v>
      </c>
      <c r="CM12" s="2"/>
      <c r="CN12" s="2"/>
      <c r="CO12" s="2"/>
      <c r="CP12" s="2"/>
      <c r="CQ12" s="2">
        <v>23234</v>
      </c>
      <c r="CR12" s="2">
        <v>17465</v>
      </c>
      <c r="CS12" s="2"/>
      <c r="CT12" s="2">
        <v>31072</v>
      </c>
      <c r="CU12" s="2">
        <v>23178</v>
      </c>
      <c r="CV12" s="2">
        <v>37765</v>
      </c>
      <c r="CW12" s="2"/>
      <c r="CX12" s="2">
        <v>24852</v>
      </c>
      <c r="CY12" s="2"/>
      <c r="CZ12" s="2">
        <v>25714</v>
      </c>
      <c r="DA12" s="2"/>
      <c r="DB12" s="2">
        <v>1915</v>
      </c>
      <c r="DC12" s="2">
        <v>3265</v>
      </c>
      <c r="DD12" s="2">
        <v>6843</v>
      </c>
      <c r="DE12" s="2">
        <v>2166</v>
      </c>
      <c r="DF12" s="2">
        <v>27476</v>
      </c>
      <c r="DG12" s="2">
        <v>31047</v>
      </c>
      <c r="DH12" s="2">
        <v>3270</v>
      </c>
      <c r="DI12" s="2">
        <v>2233</v>
      </c>
      <c r="DJ12" s="2">
        <v>2022</v>
      </c>
      <c r="DK12" s="2">
        <v>86844</v>
      </c>
      <c r="DL12" s="2">
        <v>23819</v>
      </c>
      <c r="DM12" s="2">
        <v>19235</v>
      </c>
      <c r="DN12" s="2">
        <v>38153</v>
      </c>
      <c r="DO12" s="2">
        <v>37356</v>
      </c>
      <c r="DP12" s="2">
        <v>13277</v>
      </c>
      <c r="DQ12" s="2">
        <v>38373</v>
      </c>
      <c r="DR12" s="2"/>
      <c r="DS12" s="2"/>
      <c r="DT12" s="2">
        <v>17195</v>
      </c>
      <c r="DU12" s="2">
        <v>37711</v>
      </c>
      <c r="DV12" s="2">
        <v>23799</v>
      </c>
      <c r="DW12" s="2">
        <v>27100</v>
      </c>
      <c r="DX12" s="2">
        <v>38014</v>
      </c>
      <c r="DY12" s="2">
        <v>29804</v>
      </c>
      <c r="DZ12" s="2">
        <v>17691</v>
      </c>
      <c r="EA12" s="2">
        <v>70181</v>
      </c>
      <c r="EB12" s="2">
        <v>7945</v>
      </c>
      <c r="EC12" s="2">
        <v>19426</v>
      </c>
      <c r="ED12" s="2">
        <v>27499</v>
      </c>
      <c r="EE12" s="2">
        <v>31408</v>
      </c>
      <c r="EF12" s="2">
        <v>3294</v>
      </c>
      <c r="EG12" s="2">
        <v>27101</v>
      </c>
      <c r="EH12" s="2">
        <v>33370</v>
      </c>
      <c r="EI12" s="2">
        <v>3297</v>
      </c>
      <c r="EJ12" s="2">
        <v>28916</v>
      </c>
      <c r="EK12" s="2">
        <v>35311</v>
      </c>
      <c r="EL12" s="2">
        <v>3300</v>
      </c>
      <c r="EM12" s="2">
        <v>3301</v>
      </c>
      <c r="EN12" s="2">
        <v>3302</v>
      </c>
      <c r="EO12" s="2">
        <v>3303</v>
      </c>
      <c r="EP12" s="2">
        <v>3304</v>
      </c>
      <c r="EQ12" s="2">
        <v>3305</v>
      </c>
      <c r="ER12" s="2">
        <v>3306</v>
      </c>
      <c r="ES12" s="2">
        <v>3307</v>
      </c>
      <c r="ET12" s="2">
        <v>3308</v>
      </c>
      <c r="EU12" s="2">
        <v>3309</v>
      </c>
      <c r="EV12" s="2">
        <v>3310</v>
      </c>
      <c r="EW12" s="2">
        <v>3311</v>
      </c>
      <c r="EX12" s="2">
        <v>3312</v>
      </c>
      <c r="EY12" s="2">
        <v>3313</v>
      </c>
      <c r="EZ12" s="2">
        <v>3314</v>
      </c>
      <c r="FA12" s="2">
        <v>3315</v>
      </c>
      <c r="FB12" s="2">
        <v>3316</v>
      </c>
      <c r="FC12" s="2">
        <v>3317</v>
      </c>
      <c r="FD12" s="2">
        <v>3318</v>
      </c>
      <c r="FE12" s="2">
        <v>3319</v>
      </c>
      <c r="FF12" s="2">
        <v>3320</v>
      </c>
    </row>
    <row r="13" spans="1:162" x14ac:dyDescent="0.55000000000000004">
      <c r="G13" s="2" t="s">
        <v>5</v>
      </c>
      <c r="H13" s="2">
        <f t="shared" ref="H13:AW13" si="14">$C$8*H12*0.04/0.002*100</f>
        <v>2.8212299999999999</v>
      </c>
      <c r="I13" s="22">
        <f t="shared" si="14"/>
        <v>1.7029575000000001</v>
      </c>
      <c r="J13" s="2">
        <f t="shared" si="14"/>
        <v>2.493045</v>
      </c>
      <c r="K13" s="22">
        <f t="shared" si="14"/>
        <v>1.5048450000000002</v>
      </c>
      <c r="L13" s="2">
        <f t="shared" si="14"/>
        <v>2.2730625</v>
      </c>
      <c r="M13" s="22">
        <f t="shared" si="14"/>
        <v>1.2750075000000001</v>
      </c>
      <c r="N13" s="2">
        <f t="shared" si="14"/>
        <v>1.5973199999999996</v>
      </c>
      <c r="O13" s="22">
        <f t="shared" si="14"/>
        <v>0.58016250000000003</v>
      </c>
      <c r="P13" s="22">
        <f t="shared" si="14"/>
        <v>1.7446049999999997</v>
      </c>
      <c r="Q13" s="2">
        <f t="shared" si="14"/>
        <v>2.9536650000000004</v>
      </c>
      <c r="R13" s="22">
        <f t="shared" si="14"/>
        <v>1.8454500000000003</v>
      </c>
      <c r="S13" s="2">
        <f t="shared" si="14"/>
        <v>4.3168274999999996</v>
      </c>
      <c r="T13" s="22">
        <f t="shared" si="14"/>
        <v>1.7456850000000004</v>
      </c>
      <c r="U13" s="22">
        <f t="shared" si="14"/>
        <v>1.7575650000000003</v>
      </c>
      <c r="V13" s="22">
        <f t="shared" si="14"/>
        <v>1.6635375000000001</v>
      </c>
      <c r="W13" s="27">
        <f t="shared" si="14"/>
        <v>3.4188750000000003</v>
      </c>
      <c r="X13" s="22">
        <f t="shared" si="14"/>
        <v>1.6964774999999999</v>
      </c>
      <c r="Y13" s="22">
        <f t="shared" si="14"/>
        <v>1.7973225000000002</v>
      </c>
      <c r="Z13" s="22">
        <f t="shared" si="14"/>
        <v>2.8433024999999996</v>
      </c>
      <c r="AA13" s="22">
        <f t="shared" si="14"/>
        <v>1.8567900000000002</v>
      </c>
      <c r="AB13" s="22">
        <f t="shared" si="14"/>
        <v>1.8654975</v>
      </c>
      <c r="AC13" s="22">
        <f t="shared" si="14"/>
        <v>1.5632325000000002</v>
      </c>
      <c r="AD13" s="22">
        <f t="shared" si="14"/>
        <v>1.8430875000000002</v>
      </c>
      <c r="AE13" s="22">
        <f t="shared" si="14"/>
        <v>1.8029924999999998</v>
      </c>
      <c r="AF13" s="22">
        <f t="shared" si="14"/>
        <v>1.8060300000000002</v>
      </c>
      <c r="AG13" s="22">
        <f t="shared" si="14"/>
        <v>1.7275949999999998</v>
      </c>
      <c r="AH13" s="31">
        <f t="shared" si="14"/>
        <v>1.3691024999999999</v>
      </c>
      <c r="AI13" s="31">
        <f t="shared" si="14"/>
        <v>0</v>
      </c>
      <c r="AJ13" s="31">
        <f t="shared" si="14"/>
        <v>1.1352149999999999</v>
      </c>
      <c r="AK13" s="22">
        <f t="shared" si="14"/>
        <v>1.3153724999999998</v>
      </c>
      <c r="AL13" s="31">
        <f t="shared" si="14"/>
        <v>0</v>
      </c>
      <c r="AM13" s="31">
        <f t="shared" si="14"/>
        <v>4.3528725000000001</v>
      </c>
      <c r="AN13" s="31">
        <f t="shared" si="14"/>
        <v>1.6748099999999999</v>
      </c>
      <c r="AO13" s="22">
        <f t="shared" si="14"/>
        <v>1.5871949999999999</v>
      </c>
      <c r="AP13" s="22">
        <f t="shared" si="14"/>
        <v>1.3354874999999999</v>
      </c>
      <c r="AQ13" s="22">
        <f t="shared" si="14"/>
        <v>1.6524000000000001</v>
      </c>
      <c r="AR13" s="22">
        <f t="shared" si="14"/>
        <v>1.4354549999999999</v>
      </c>
      <c r="AS13" s="22">
        <f t="shared" si="14"/>
        <v>1.7622225000000002</v>
      </c>
      <c r="AT13" s="31">
        <f t="shared" si="14"/>
        <v>1.6627949999999998</v>
      </c>
      <c r="AU13" s="31">
        <f t="shared" si="14"/>
        <v>8.8773975000000007</v>
      </c>
      <c r="AV13" s="22">
        <f t="shared" si="14"/>
        <v>1.9319175000000002</v>
      </c>
      <c r="AW13" s="22">
        <f t="shared" si="14"/>
        <v>1.7228025</v>
      </c>
      <c r="AX13" s="31">
        <f>$C$8*AX12*0.04/0.002*100</f>
        <v>43.902742500000002</v>
      </c>
      <c r="AY13" s="31">
        <f>$C$8*AY12*0.04/0.002*100</f>
        <v>0</v>
      </c>
      <c r="AZ13" s="31">
        <f>$C$8*AZ12*0.04/0.002*100</f>
        <v>1.9014750000000005</v>
      </c>
      <c r="BA13" s="31">
        <f t="shared" ref="BA13:DC13" si="15">$C$8*BA12*0.04/0.002*100</f>
        <v>3.3430050000000002</v>
      </c>
      <c r="BB13" s="31">
        <f t="shared" si="15"/>
        <v>1.9016099999999998</v>
      </c>
      <c r="BC13" s="31">
        <f t="shared" si="15"/>
        <v>1.9016774999999999</v>
      </c>
      <c r="BD13" s="2">
        <f t="shared" si="15"/>
        <v>1.8255375</v>
      </c>
      <c r="BE13" s="2">
        <f t="shared" si="15"/>
        <v>2.8071225000000002</v>
      </c>
      <c r="BF13" s="2">
        <f t="shared" si="15"/>
        <v>2.3459625000000002</v>
      </c>
      <c r="BG13" s="55">
        <f t="shared" si="15"/>
        <v>2.2807575000000004</v>
      </c>
      <c r="BH13" s="31">
        <f t="shared" si="15"/>
        <v>2.9479275000000005</v>
      </c>
      <c r="BI13" s="2">
        <f t="shared" si="15"/>
        <v>1.66428</v>
      </c>
      <c r="BJ13" s="2">
        <f t="shared" si="15"/>
        <v>1.6791975000000001</v>
      </c>
      <c r="BK13" s="2">
        <f t="shared" si="15"/>
        <v>2.7420525000000002</v>
      </c>
      <c r="BL13" s="2">
        <f t="shared" si="15"/>
        <v>1.7758575000000003</v>
      </c>
      <c r="BM13" s="31">
        <f t="shared" si="15"/>
        <v>2.9625075000000005</v>
      </c>
      <c r="BN13" s="2">
        <f t="shared" si="15"/>
        <v>1.5379874999999998</v>
      </c>
      <c r="BO13" s="2">
        <f t="shared" si="15"/>
        <v>0</v>
      </c>
      <c r="BP13" s="2">
        <f t="shared" si="15"/>
        <v>0</v>
      </c>
      <c r="BQ13" s="2">
        <f t="shared" si="15"/>
        <v>0</v>
      </c>
      <c r="BR13" s="2">
        <f t="shared" si="15"/>
        <v>0</v>
      </c>
      <c r="BS13" s="2">
        <f t="shared" si="15"/>
        <v>1.6312725000000001</v>
      </c>
      <c r="BT13" s="2">
        <f t="shared" si="15"/>
        <v>1.6849350000000003</v>
      </c>
      <c r="BU13" s="2">
        <f t="shared" si="15"/>
        <v>1.495395</v>
      </c>
      <c r="BV13" s="32">
        <f t="shared" si="15"/>
        <v>0</v>
      </c>
      <c r="BW13" s="2">
        <f t="shared" si="15"/>
        <v>1.7327250000000003</v>
      </c>
      <c r="BX13" s="2">
        <f t="shared" si="15"/>
        <v>1.3880025</v>
      </c>
      <c r="BY13" s="2">
        <f t="shared" si="15"/>
        <v>1.3498649999999999</v>
      </c>
      <c r="BZ13" s="2">
        <f t="shared" si="15"/>
        <v>1.6724474999999999</v>
      </c>
      <c r="CA13" s="2">
        <f t="shared" si="15"/>
        <v>0</v>
      </c>
      <c r="CB13" s="32">
        <f t="shared" si="15"/>
        <v>0</v>
      </c>
      <c r="CC13" s="32">
        <f t="shared" si="15"/>
        <v>0</v>
      </c>
      <c r="CD13" s="2">
        <f t="shared" si="15"/>
        <v>1.7289450000000002</v>
      </c>
      <c r="CE13" s="2">
        <f t="shared" si="15"/>
        <v>1.7187524999999999</v>
      </c>
      <c r="CF13" s="2">
        <f t="shared" si="15"/>
        <v>1.6503750000000001</v>
      </c>
      <c r="CG13" s="2">
        <f t="shared" si="15"/>
        <v>1.8355275</v>
      </c>
      <c r="CH13" s="2">
        <f t="shared" si="15"/>
        <v>0.70713000000000004</v>
      </c>
      <c r="CI13" s="2">
        <f t="shared" si="15"/>
        <v>1.6364025</v>
      </c>
      <c r="CJ13" s="2">
        <f t="shared" si="15"/>
        <v>1.9696499999999999</v>
      </c>
      <c r="CK13" s="2">
        <f t="shared" si="15"/>
        <v>1.4214825000000002</v>
      </c>
      <c r="CL13" s="2">
        <f t="shared" si="15"/>
        <v>1.6364025</v>
      </c>
      <c r="CM13" s="2">
        <f t="shared" si="15"/>
        <v>0</v>
      </c>
      <c r="CN13" s="2">
        <f t="shared" si="15"/>
        <v>0</v>
      </c>
      <c r="CO13" s="2">
        <f t="shared" si="15"/>
        <v>0</v>
      </c>
      <c r="CP13" s="2">
        <f t="shared" si="15"/>
        <v>0</v>
      </c>
      <c r="CQ13" s="2">
        <f t="shared" si="15"/>
        <v>1.568295</v>
      </c>
      <c r="CR13" s="2">
        <f t="shared" si="15"/>
        <v>1.1788874999999999</v>
      </c>
      <c r="CS13" s="2">
        <f t="shared" si="15"/>
        <v>0</v>
      </c>
      <c r="CT13" s="2">
        <f t="shared" si="15"/>
        <v>2.0973599999999997</v>
      </c>
      <c r="CU13" s="2">
        <f t="shared" si="15"/>
        <v>1.5645150000000001</v>
      </c>
      <c r="CV13" s="2">
        <f t="shared" si="15"/>
        <v>2.5491375000000005</v>
      </c>
      <c r="CW13" s="2">
        <f t="shared" si="15"/>
        <v>0</v>
      </c>
      <c r="CX13" s="2">
        <f t="shared" si="15"/>
        <v>1.6775100000000001</v>
      </c>
      <c r="CY13" s="2">
        <f t="shared" si="15"/>
        <v>0</v>
      </c>
      <c r="CZ13" s="2">
        <f t="shared" si="15"/>
        <v>1.735695</v>
      </c>
      <c r="DA13" s="2">
        <f t="shared" si="15"/>
        <v>0</v>
      </c>
      <c r="DB13" s="2">
        <f t="shared" si="15"/>
        <v>0.1292625</v>
      </c>
      <c r="DC13" s="2">
        <f t="shared" si="15"/>
        <v>0.22038750000000001</v>
      </c>
      <c r="DD13" s="2">
        <f t="shared" ref="DD13:FF13" si="16">$C$8*DD12*0.04/0.002*100</f>
        <v>0.46190249999999999</v>
      </c>
      <c r="DE13" s="2">
        <f t="shared" si="16"/>
        <v>0.146205</v>
      </c>
      <c r="DF13" s="2">
        <f t="shared" si="16"/>
        <v>1.8546300000000002</v>
      </c>
      <c r="DG13" s="2">
        <f t="shared" si="16"/>
        <v>2.0956725</v>
      </c>
      <c r="DH13" s="2">
        <f t="shared" si="16"/>
        <v>0.22072500000000003</v>
      </c>
      <c r="DI13" s="2">
        <f t="shared" si="16"/>
        <v>0.15072749999999999</v>
      </c>
      <c r="DJ13" s="2">
        <f t="shared" si="16"/>
        <v>0.136485</v>
      </c>
      <c r="DK13" s="2">
        <f t="shared" si="16"/>
        <v>5.8619700000000003</v>
      </c>
      <c r="DL13" s="2">
        <f t="shared" si="16"/>
        <v>1.6077825000000001</v>
      </c>
      <c r="DM13" s="2">
        <f t="shared" si="16"/>
        <v>1.2983625000000003</v>
      </c>
      <c r="DN13" s="2">
        <f t="shared" si="16"/>
        <v>2.5753275000000002</v>
      </c>
      <c r="DO13" s="2">
        <f t="shared" si="16"/>
        <v>2.5215300000000003</v>
      </c>
      <c r="DP13" s="2">
        <f t="shared" si="16"/>
        <v>0.89619750000000009</v>
      </c>
      <c r="DQ13" s="2">
        <f t="shared" si="16"/>
        <v>2.5901775000000002</v>
      </c>
      <c r="DR13" s="2">
        <f t="shared" si="16"/>
        <v>0</v>
      </c>
      <c r="DS13" s="2">
        <f t="shared" si="16"/>
        <v>0</v>
      </c>
      <c r="DT13" s="2">
        <f t="shared" si="16"/>
        <v>1.1606625000000002</v>
      </c>
      <c r="DU13" s="2">
        <f t="shared" si="16"/>
        <v>2.5454924999999999</v>
      </c>
      <c r="DV13" s="2">
        <f t="shared" si="16"/>
        <v>1.6064325000000002</v>
      </c>
      <c r="DW13" s="2">
        <f t="shared" si="16"/>
        <v>1.82925</v>
      </c>
      <c r="DX13" s="2">
        <f t="shared" si="16"/>
        <v>2.5659450000000001</v>
      </c>
      <c r="DY13" s="2">
        <f t="shared" si="16"/>
        <v>2.0117699999999998</v>
      </c>
      <c r="DZ13" s="2">
        <f t="shared" si="16"/>
        <v>1.1941425000000001</v>
      </c>
      <c r="EA13" s="2">
        <f t="shared" si="16"/>
        <v>4.7372174999999999</v>
      </c>
      <c r="EB13" s="2">
        <f t="shared" si="16"/>
        <v>0.53628750000000003</v>
      </c>
      <c r="EC13" s="2">
        <f t="shared" si="16"/>
        <v>1.3112550000000003</v>
      </c>
      <c r="ED13" s="2">
        <f t="shared" si="16"/>
        <v>1.8561825000000001</v>
      </c>
      <c r="EE13" s="2">
        <f t="shared" si="16"/>
        <v>2.1200399999999999</v>
      </c>
      <c r="EF13" s="2">
        <f t="shared" si="16"/>
        <v>0.22234500000000001</v>
      </c>
      <c r="EG13" s="2">
        <f t="shared" si="16"/>
        <v>1.8293175000000002</v>
      </c>
      <c r="EH13" s="2">
        <f t="shared" si="16"/>
        <v>2.2524749999999996</v>
      </c>
      <c r="EI13" s="2">
        <f t="shared" si="16"/>
        <v>0.22254750000000001</v>
      </c>
      <c r="EJ13" s="2">
        <f t="shared" si="16"/>
        <v>1.9518300000000002</v>
      </c>
      <c r="EK13" s="2">
        <f t="shared" si="16"/>
        <v>2.3834925000000005</v>
      </c>
      <c r="EL13" s="2">
        <f t="shared" si="16"/>
        <v>0.22275000000000003</v>
      </c>
      <c r="EM13" s="2">
        <f t="shared" si="16"/>
        <v>0.22281750000000003</v>
      </c>
      <c r="EN13" s="2">
        <f t="shared" si="16"/>
        <v>0.222885</v>
      </c>
      <c r="EO13" s="2">
        <f t="shared" si="16"/>
        <v>0.2229525</v>
      </c>
      <c r="EP13" s="2">
        <f t="shared" si="16"/>
        <v>0.22302000000000002</v>
      </c>
      <c r="EQ13" s="2">
        <f t="shared" si="16"/>
        <v>0.22308750000000002</v>
      </c>
      <c r="ER13" s="2">
        <f t="shared" si="16"/>
        <v>0.22315500000000002</v>
      </c>
      <c r="ES13" s="2">
        <f t="shared" si="16"/>
        <v>0.22322249999999999</v>
      </c>
      <c r="ET13" s="2">
        <f t="shared" si="16"/>
        <v>0.22329000000000004</v>
      </c>
      <c r="EU13" s="2">
        <f t="shared" si="16"/>
        <v>0.22335749999999999</v>
      </c>
      <c r="EV13" s="2">
        <f t="shared" si="16"/>
        <v>0.22342499999999996</v>
      </c>
      <c r="EW13" s="2">
        <f t="shared" si="16"/>
        <v>0.22349250000000001</v>
      </c>
      <c r="EX13" s="2">
        <f t="shared" si="16"/>
        <v>0.22356000000000004</v>
      </c>
      <c r="EY13" s="2">
        <f t="shared" si="16"/>
        <v>0.22362749999999998</v>
      </c>
      <c r="EZ13" s="2">
        <f t="shared" si="16"/>
        <v>0.223695</v>
      </c>
      <c r="FA13" s="2">
        <f t="shared" si="16"/>
        <v>0.2237625</v>
      </c>
      <c r="FB13" s="2">
        <f t="shared" si="16"/>
        <v>0.22383000000000003</v>
      </c>
      <c r="FC13" s="2">
        <f t="shared" si="16"/>
        <v>0.22389749999999997</v>
      </c>
      <c r="FD13" s="2">
        <f t="shared" si="16"/>
        <v>0.22396500000000003</v>
      </c>
      <c r="FE13" s="2">
        <f t="shared" si="16"/>
        <v>0.22403250000000005</v>
      </c>
      <c r="FF13" s="2">
        <f t="shared" si="16"/>
        <v>0.22410000000000005</v>
      </c>
    </row>
    <row r="14" spans="1:162" x14ac:dyDescent="0.55000000000000004">
      <c r="D14" t="s">
        <v>6</v>
      </c>
      <c r="E14" t="s">
        <v>13</v>
      </c>
      <c r="F14" s="3" t="s">
        <v>12</v>
      </c>
      <c r="G14" s="2" t="s">
        <v>4</v>
      </c>
      <c r="H14" s="2">
        <v>97835</v>
      </c>
      <c r="I14" s="22">
        <v>18319</v>
      </c>
      <c r="J14" s="2">
        <v>26589</v>
      </c>
      <c r="K14" s="22">
        <v>10461</v>
      </c>
      <c r="L14" s="2">
        <v>258419</v>
      </c>
      <c r="M14" s="22">
        <v>41229</v>
      </c>
      <c r="N14" s="2">
        <v>218504</v>
      </c>
      <c r="O14" s="22">
        <v>27318</v>
      </c>
      <c r="P14" s="22">
        <v>9789</v>
      </c>
      <c r="Q14" s="2">
        <v>33998</v>
      </c>
      <c r="R14" s="22">
        <v>139157</v>
      </c>
      <c r="S14" s="2">
        <v>140219</v>
      </c>
      <c r="T14" s="22">
        <v>16438</v>
      </c>
      <c r="U14" s="22">
        <v>14919</v>
      </c>
      <c r="V14" s="22">
        <v>19692</v>
      </c>
      <c r="W14" s="27">
        <v>96940</v>
      </c>
      <c r="X14" s="22">
        <v>21237</v>
      </c>
      <c r="Y14" s="22">
        <v>17446</v>
      </c>
      <c r="Z14" s="22">
        <v>71674</v>
      </c>
      <c r="AA14" s="22">
        <v>18776</v>
      </c>
      <c r="AB14" s="22">
        <v>11105</v>
      </c>
      <c r="AC14" s="22">
        <v>30299</v>
      </c>
      <c r="AD14" s="22">
        <v>15587</v>
      </c>
      <c r="AE14" s="22">
        <v>9544</v>
      </c>
      <c r="AF14" s="22">
        <v>7493</v>
      </c>
      <c r="AG14" s="22">
        <v>6013</v>
      </c>
      <c r="AH14" s="31">
        <v>24618</v>
      </c>
      <c r="AI14" s="31"/>
      <c r="AJ14" s="31">
        <v>14825</v>
      </c>
      <c r="AK14" s="22">
        <v>25600</v>
      </c>
      <c r="AL14" s="31"/>
      <c r="AM14" s="31"/>
      <c r="AN14" s="31">
        <v>8684</v>
      </c>
      <c r="AO14" s="22">
        <v>16181</v>
      </c>
      <c r="AP14" s="22">
        <v>39102</v>
      </c>
      <c r="AQ14" s="22">
        <v>11912</v>
      </c>
      <c r="AR14" s="22">
        <v>4704</v>
      </c>
      <c r="AS14" s="22">
        <v>21730</v>
      </c>
      <c r="AT14" s="31">
        <v>18181</v>
      </c>
      <c r="AU14" s="31"/>
      <c r="AV14" s="22">
        <v>6683</v>
      </c>
      <c r="AW14" s="22">
        <v>17807</v>
      </c>
      <c r="AX14" s="31"/>
      <c r="AY14" s="31"/>
      <c r="AZ14" s="2">
        <v>3940</v>
      </c>
      <c r="BA14" s="2"/>
      <c r="BB14" s="2"/>
      <c r="BC14" s="2"/>
      <c r="BD14" s="2">
        <v>19711</v>
      </c>
      <c r="BE14" s="2">
        <v>63927</v>
      </c>
      <c r="BF14" s="2">
        <v>310250</v>
      </c>
      <c r="BG14" s="55">
        <v>299531</v>
      </c>
      <c r="BH14" s="2"/>
      <c r="BI14" s="2">
        <v>13790</v>
      </c>
      <c r="BJ14" s="2">
        <v>12486</v>
      </c>
      <c r="BK14" s="2">
        <v>66343</v>
      </c>
      <c r="BL14" s="2">
        <v>11837</v>
      </c>
      <c r="BM14" s="2"/>
      <c r="BN14" s="2">
        <v>8578</v>
      </c>
      <c r="BO14" s="2"/>
      <c r="BP14" s="2"/>
      <c r="BQ14" s="2"/>
      <c r="BR14" s="2"/>
      <c r="BS14" s="2">
        <v>15647</v>
      </c>
      <c r="BT14" s="2">
        <v>42378</v>
      </c>
      <c r="BU14" s="2">
        <v>6347</v>
      </c>
      <c r="BV14" s="32"/>
      <c r="BW14" s="2">
        <v>8294</v>
      </c>
      <c r="BX14" s="2">
        <v>3803</v>
      </c>
      <c r="BY14" s="2">
        <v>5976</v>
      </c>
      <c r="BZ14" s="2">
        <v>7324</v>
      </c>
      <c r="CA14" s="2"/>
      <c r="CB14" s="32"/>
      <c r="CC14" s="32"/>
      <c r="CD14" s="2">
        <f>8416+4880+852</f>
        <v>14148</v>
      </c>
      <c r="CE14" s="2">
        <f>155669+10685</f>
        <v>166354</v>
      </c>
      <c r="CF14" s="2">
        <f>58186+111477+52452+7000</f>
        <v>229115</v>
      </c>
      <c r="CG14" s="2">
        <v>15896</v>
      </c>
      <c r="CH14" s="2">
        <v>28407</v>
      </c>
      <c r="CI14" s="2">
        <v>12495</v>
      </c>
      <c r="CJ14" s="2">
        <v>3089</v>
      </c>
      <c r="CK14" s="2">
        <v>6000</v>
      </c>
      <c r="CL14" s="2">
        <v>7300</v>
      </c>
      <c r="CM14" s="2"/>
      <c r="CN14" s="2"/>
      <c r="CO14" s="2"/>
      <c r="CP14" s="2"/>
      <c r="CQ14" s="2">
        <v>14412</v>
      </c>
      <c r="CR14" s="2">
        <v>13483</v>
      </c>
      <c r="CS14" s="2"/>
      <c r="CT14" s="2">
        <v>10331</v>
      </c>
      <c r="CU14" s="2">
        <v>6503</v>
      </c>
      <c r="CV14" s="2">
        <v>347000</v>
      </c>
      <c r="CW14" s="2"/>
      <c r="CX14" s="2">
        <v>7150</v>
      </c>
      <c r="CY14" s="2"/>
      <c r="CZ14" s="2">
        <v>211063</v>
      </c>
      <c r="DA14" s="2"/>
      <c r="DB14" s="2">
        <v>1401279</v>
      </c>
      <c r="DC14" s="2"/>
      <c r="DD14" s="2"/>
      <c r="DE14" s="2"/>
      <c r="DF14" s="2">
        <v>9753</v>
      </c>
      <c r="DG14" s="2">
        <v>15592</v>
      </c>
      <c r="DH14" s="2">
        <v>1305</v>
      </c>
      <c r="DI14" s="2"/>
      <c r="DJ14" s="2"/>
      <c r="DK14" s="2">
        <v>105385</v>
      </c>
      <c r="DL14" s="2">
        <v>150722</v>
      </c>
      <c r="DM14" s="2">
        <v>8723</v>
      </c>
      <c r="DN14" s="2">
        <v>347363</v>
      </c>
      <c r="DO14" s="2">
        <v>5297</v>
      </c>
      <c r="DP14" s="2">
        <v>71318</v>
      </c>
      <c r="DQ14" s="2">
        <v>5520</v>
      </c>
      <c r="DR14" s="2"/>
      <c r="DS14" s="2"/>
      <c r="DT14" s="2">
        <v>8882</v>
      </c>
      <c r="DU14" s="2">
        <v>371704</v>
      </c>
      <c r="DV14" s="2">
        <v>210245</v>
      </c>
      <c r="DW14" s="2">
        <v>304703</v>
      </c>
      <c r="DX14" s="2">
        <v>372274</v>
      </c>
      <c r="DY14" s="2">
        <v>17523</v>
      </c>
      <c r="DZ14" s="2">
        <v>284857</v>
      </c>
      <c r="EA14" s="2">
        <v>412218</v>
      </c>
      <c r="EB14" s="2">
        <v>11512</v>
      </c>
      <c r="EC14" s="2">
        <v>8459</v>
      </c>
      <c r="ED14" s="2">
        <v>6390</v>
      </c>
      <c r="EE14" s="2">
        <v>6054</v>
      </c>
      <c r="EF14" s="2"/>
      <c r="EG14" s="2">
        <v>11494</v>
      </c>
      <c r="EH14" s="2">
        <v>12433</v>
      </c>
      <c r="EI14" s="2"/>
      <c r="EJ14" s="2">
        <v>18811</v>
      </c>
      <c r="EK14" s="2">
        <v>14936</v>
      </c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</row>
    <row r="15" spans="1:162" x14ac:dyDescent="0.55000000000000004">
      <c r="E15" s="5" t="s">
        <v>23</v>
      </c>
      <c r="G15" s="2" t="s">
        <v>5</v>
      </c>
      <c r="H15" s="2">
        <f>$C$6*H14*0.04/0.002*100</f>
        <v>6.6038625</v>
      </c>
      <c r="I15" s="2">
        <f t="shared" ref="I15:BT15" si="17">$C$6*I14*0.04/0.002*100</f>
        <v>1.2365325</v>
      </c>
      <c r="J15" s="2">
        <f>$C$6*J14*0.04/0.002*100</f>
        <v>1.7947575</v>
      </c>
      <c r="K15" s="2">
        <f t="shared" si="17"/>
        <v>0.70611750000000006</v>
      </c>
      <c r="L15" s="2">
        <f t="shared" si="17"/>
        <v>17.443282500000002</v>
      </c>
      <c r="M15" s="2">
        <f t="shared" si="17"/>
        <v>2.7829574999999998</v>
      </c>
      <c r="N15" s="2">
        <f t="shared" si="17"/>
        <v>14.749019999999998</v>
      </c>
      <c r="O15" s="2">
        <f t="shared" si="17"/>
        <v>1.8439650000000003</v>
      </c>
      <c r="P15" s="2">
        <f t="shared" si="17"/>
        <v>0.66075750000000011</v>
      </c>
      <c r="Q15" s="2">
        <f t="shared" si="17"/>
        <v>2.2948650000000002</v>
      </c>
      <c r="R15" s="2">
        <f t="shared" si="17"/>
        <v>9.3930975000000014</v>
      </c>
      <c r="S15" s="2">
        <f t="shared" si="17"/>
        <v>9.4647825000000019</v>
      </c>
      <c r="T15" s="2">
        <f t="shared" si="17"/>
        <v>1.1095650000000001</v>
      </c>
      <c r="U15" s="2">
        <f t="shared" si="17"/>
        <v>1.0070325000000002</v>
      </c>
      <c r="V15" s="2">
        <f t="shared" si="17"/>
        <v>1.32921</v>
      </c>
      <c r="W15" s="2">
        <f t="shared" si="17"/>
        <v>6.5434500000000009</v>
      </c>
      <c r="X15" s="2">
        <f t="shared" si="17"/>
        <v>1.4334975000000001</v>
      </c>
      <c r="Y15" s="2">
        <f t="shared" si="17"/>
        <v>1.177605</v>
      </c>
      <c r="Z15" s="2">
        <f t="shared" si="17"/>
        <v>4.8379950000000003</v>
      </c>
      <c r="AA15" s="2">
        <f t="shared" si="17"/>
        <v>1.2673800000000002</v>
      </c>
      <c r="AB15" s="2">
        <f t="shared" si="17"/>
        <v>0.74958749999999985</v>
      </c>
      <c r="AC15" s="2">
        <f t="shared" si="17"/>
        <v>2.0451825000000001</v>
      </c>
      <c r="AD15" s="2">
        <f t="shared" si="17"/>
        <v>1.0521225000000003</v>
      </c>
      <c r="AE15" s="2">
        <f t="shared" si="17"/>
        <v>0.64422000000000001</v>
      </c>
      <c r="AF15" s="2">
        <f t="shared" si="17"/>
        <v>0.50577749999999999</v>
      </c>
      <c r="AG15" s="2">
        <f t="shared" si="17"/>
        <v>0.40587749999999995</v>
      </c>
      <c r="AH15" s="2">
        <f t="shared" si="17"/>
        <v>1.6617150000000001</v>
      </c>
      <c r="AI15" s="2">
        <f t="shared" si="17"/>
        <v>0</v>
      </c>
      <c r="AJ15" s="2">
        <f t="shared" si="17"/>
        <v>1.0006875</v>
      </c>
      <c r="AK15" s="2">
        <f t="shared" si="17"/>
        <v>1.728</v>
      </c>
      <c r="AL15" s="2">
        <f t="shared" si="17"/>
        <v>0</v>
      </c>
      <c r="AM15" s="2">
        <f t="shared" si="17"/>
        <v>0</v>
      </c>
      <c r="AN15" s="2">
        <f t="shared" si="17"/>
        <v>0.58616999999999997</v>
      </c>
      <c r="AO15" s="2">
        <f t="shared" si="17"/>
        <v>1.0922175000000001</v>
      </c>
      <c r="AP15" s="2">
        <f t="shared" si="17"/>
        <v>2.6393849999999999</v>
      </c>
      <c r="AQ15" s="2">
        <f t="shared" si="17"/>
        <v>0.80406</v>
      </c>
      <c r="AR15" s="2">
        <f t="shared" si="17"/>
        <v>0.31752000000000002</v>
      </c>
      <c r="AS15" s="2">
        <f t="shared" si="17"/>
        <v>1.4667749999999999</v>
      </c>
      <c r="AT15" s="2">
        <f t="shared" si="17"/>
        <v>1.2272175000000001</v>
      </c>
      <c r="AU15" s="2">
        <f t="shared" si="17"/>
        <v>0</v>
      </c>
      <c r="AV15" s="2">
        <f t="shared" si="17"/>
        <v>0.45110249999999991</v>
      </c>
      <c r="AW15" s="2">
        <f t="shared" si="17"/>
        <v>1.2019725000000001</v>
      </c>
      <c r="AX15" s="2">
        <f t="shared" si="17"/>
        <v>0</v>
      </c>
      <c r="AY15" s="2">
        <f t="shared" si="17"/>
        <v>0</v>
      </c>
      <c r="AZ15" s="2">
        <f t="shared" si="17"/>
        <v>0.26595000000000002</v>
      </c>
      <c r="BA15" s="2">
        <f t="shared" si="17"/>
        <v>0</v>
      </c>
      <c r="BB15" s="2">
        <f t="shared" si="17"/>
        <v>0</v>
      </c>
      <c r="BC15" s="2">
        <f t="shared" si="17"/>
        <v>0</v>
      </c>
      <c r="BD15" s="2">
        <f t="shared" si="17"/>
        <v>1.3304925000000003</v>
      </c>
      <c r="BE15" s="2">
        <f t="shared" si="17"/>
        <v>4.3150725000000003</v>
      </c>
      <c r="BF15" s="2">
        <f t="shared" si="17"/>
        <v>20.941875000000003</v>
      </c>
      <c r="BG15" s="2">
        <f t="shared" si="17"/>
        <v>20.218342499999999</v>
      </c>
      <c r="BH15" s="2">
        <f t="shared" si="17"/>
        <v>0</v>
      </c>
      <c r="BI15" s="2">
        <f t="shared" si="17"/>
        <v>0.93082500000000001</v>
      </c>
      <c r="BJ15" s="2">
        <f t="shared" si="17"/>
        <v>0.84280500000000014</v>
      </c>
      <c r="BK15" s="2">
        <f t="shared" si="17"/>
        <v>4.4781524999999993</v>
      </c>
      <c r="BL15" s="2">
        <f t="shared" si="17"/>
        <v>0.79899750000000003</v>
      </c>
      <c r="BM15" s="2">
        <f t="shared" si="17"/>
        <v>0</v>
      </c>
      <c r="BN15" s="2">
        <f t="shared" si="17"/>
        <v>0.57901499999999995</v>
      </c>
      <c r="BO15" s="2">
        <f t="shared" si="17"/>
        <v>0</v>
      </c>
      <c r="BP15" s="2">
        <f t="shared" si="17"/>
        <v>0</v>
      </c>
      <c r="BQ15" s="2">
        <f t="shared" si="17"/>
        <v>0</v>
      </c>
      <c r="BR15" s="2">
        <f t="shared" si="17"/>
        <v>0</v>
      </c>
      <c r="BS15" s="2">
        <f t="shared" si="17"/>
        <v>1.0561725000000002</v>
      </c>
      <c r="BT15" s="2">
        <f t="shared" si="17"/>
        <v>2.8605150000000004</v>
      </c>
      <c r="BU15" s="2">
        <f t="shared" ref="BU15:DC15" si="18">$C$6*BU14*0.04/0.002*100</f>
        <v>0.42842249999999998</v>
      </c>
      <c r="BV15" s="2">
        <f t="shared" si="18"/>
        <v>0</v>
      </c>
      <c r="BW15" s="2">
        <f t="shared" si="18"/>
        <v>0.55984499999999993</v>
      </c>
      <c r="BX15" s="2">
        <f t="shared" si="18"/>
        <v>0.25670249999999994</v>
      </c>
      <c r="BY15" s="2">
        <f t="shared" si="18"/>
        <v>0.40338000000000007</v>
      </c>
      <c r="BZ15" s="2">
        <f t="shared" si="18"/>
        <v>0.49437000000000003</v>
      </c>
      <c r="CA15" s="2">
        <f t="shared" si="18"/>
        <v>0</v>
      </c>
      <c r="CB15" s="2">
        <f t="shared" si="18"/>
        <v>0</v>
      </c>
      <c r="CC15" s="2">
        <f t="shared" si="18"/>
        <v>0</v>
      </c>
      <c r="CD15" s="2">
        <f t="shared" si="18"/>
        <v>0.95499000000000023</v>
      </c>
      <c r="CE15" s="2">
        <f t="shared" si="18"/>
        <v>11.228895</v>
      </c>
      <c r="CF15" s="2">
        <f t="shared" si="18"/>
        <v>15.465262499999998</v>
      </c>
      <c r="CG15" s="2">
        <f t="shared" si="18"/>
        <v>1.07298</v>
      </c>
      <c r="CH15" s="2">
        <f>$C$6*CH14*0.04/0.002*100</f>
        <v>1.9174725000000004</v>
      </c>
      <c r="CI15" s="2">
        <f t="shared" si="18"/>
        <v>0.84341250000000012</v>
      </c>
      <c r="CJ15" s="2">
        <f t="shared" si="18"/>
        <v>0.20850750000000001</v>
      </c>
      <c r="CK15" s="2">
        <f t="shared" si="18"/>
        <v>0.40499999999999997</v>
      </c>
      <c r="CL15" s="2">
        <f t="shared" si="18"/>
        <v>0.49275000000000002</v>
      </c>
      <c r="CM15" s="2">
        <f t="shared" si="18"/>
        <v>0</v>
      </c>
      <c r="CN15" s="2">
        <f t="shared" si="18"/>
        <v>0</v>
      </c>
      <c r="CO15" s="2">
        <f t="shared" si="18"/>
        <v>0</v>
      </c>
      <c r="CP15" s="2">
        <f t="shared" si="18"/>
        <v>0</v>
      </c>
      <c r="CQ15" s="2">
        <f t="shared" si="18"/>
        <v>0.97280999999999995</v>
      </c>
      <c r="CR15" s="2">
        <f t="shared" si="18"/>
        <v>0.91010250000000004</v>
      </c>
      <c r="CS15" s="2">
        <f t="shared" si="18"/>
        <v>0</v>
      </c>
      <c r="CT15" s="2">
        <f t="shared" si="18"/>
        <v>0.69734250000000009</v>
      </c>
      <c r="CU15" s="2">
        <f>$C$6*CU14*0.04/0.002*100</f>
        <v>0.43895250000000002</v>
      </c>
      <c r="CV15" s="2">
        <f t="shared" si="18"/>
        <v>23.422500000000003</v>
      </c>
      <c r="CW15" s="2">
        <f t="shared" si="18"/>
        <v>0</v>
      </c>
      <c r="CX15" s="2">
        <f t="shared" si="18"/>
        <v>0.48262500000000008</v>
      </c>
      <c r="CY15" s="2">
        <f t="shared" si="18"/>
        <v>0</v>
      </c>
      <c r="CZ15" s="2">
        <f t="shared" si="18"/>
        <v>14.246752500000001</v>
      </c>
      <c r="DA15" s="2">
        <f t="shared" si="18"/>
        <v>0</v>
      </c>
      <c r="DB15" s="2">
        <f t="shared" si="18"/>
        <v>94.586332500000012</v>
      </c>
      <c r="DC15" s="2">
        <f t="shared" si="18"/>
        <v>0</v>
      </c>
      <c r="DD15" s="2">
        <f t="shared" ref="DD15:FF15" si="19">$C$6*DD14*0.04/0.002*100</f>
        <v>0</v>
      </c>
      <c r="DE15" s="2">
        <f t="shared" si="19"/>
        <v>0</v>
      </c>
      <c r="DF15" s="2">
        <f t="shared" si="19"/>
        <v>0.65832750000000007</v>
      </c>
      <c r="DG15" s="2">
        <f t="shared" si="19"/>
        <v>1.05246</v>
      </c>
      <c r="DH15" s="2">
        <f t="shared" si="19"/>
        <v>8.8087499999999999E-2</v>
      </c>
      <c r="DI15" s="2">
        <f t="shared" si="19"/>
        <v>0</v>
      </c>
      <c r="DJ15" s="2">
        <f t="shared" si="19"/>
        <v>0</v>
      </c>
      <c r="DK15" s="2">
        <f t="shared" si="19"/>
        <v>7.1134874999999997</v>
      </c>
      <c r="DL15" s="2">
        <f t="shared" si="19"/>
        <v>10.173735000000001</v>
      </c>
      <c r="DM15" s="2">
        <f t="shared" si="19"/>
        <v>0.58880250000000001</v>
      </c>
      <c r="DN15" s="2">
        <f t="shared" si="19"/>
        <v>23.4470025</v>
      </c>
      <c r="DO15" s="2">
        <f t="shared" si="19"/>
        <v>0.35754750000000002</v>
      </c>
      <c r="DP15" s="2">
        <f t="shared" si="19"/>
        <v>4.8139649999999996</v>
      </c>
      <c r="DQ15" s="2">
        <f t="shared" si="19"/>
        <v>0.37259999999999999</v>
      </c>
      <c r="DR15" s="2">
        <f t="shared" si="19"/>
        <v>0</v>
      </c>
      <c r="DS15" s="2">
        <f t="shared" si="19"/>
        <v>0</v>
      </c>
      <c r="DT15" s="2">
        <f t="shared" si="19"/>
        <v>0.59953500000000004</v>
      </c>
      <c r="DU15" s="2">
        <f t="shared" si="19"/>
        <v>25.090020000000003</v>
      </c>
      <c r="DV15" s="2">
        <f t="shared" si="19"/>
        <v>14.191537500000001</v>
      </c>
      <c r="DW15" s="2">
        <f t="shared" si="19"/>
        <v>20.567452499999998</v>
      </c>
      <c r="DX15" s="2">
        <f t="shared" si="19"/>
        <v>25.128495000000001</v>
      </c>
      <c r="DY15" s="2">
        <f t="shared" si="19"/>
        <v>1.1828025</v>
      </c>
      <c r="DZ15" s="2">
        <f t="shared" si="19"/>
        <v>19.227847499999999</v>
      </c>
      <c r="EA15" s="2">
        <f t="shared" si="19"/>
        <v>27.824715000000001</v>
      </c>
      <c r="EB15" s="2">
        <f t="shared" si="19"/>
        <v>0.77705999999999997</v>
      </c>
      <c r="EC15" s="2">
        <f t="shared" si="19"/>
        <v>0.57098249999999995</v>
      </c>
      <c r="ED15" s="2">
        <f t="shared" si="19"/>
        <v>0.43132500000000001</v>
      </c>
      <c r="EE15" s="2">
        <f t="shared" si="19"/>
        <v>0.40864500000000004</v>
      </c>
      <c r="EF15" s="2">
        <f t="shared" si="19"/>
        <v>0</v>
      </c>
      <c r="EG15" s="2">
        <f t="shared" si="19"/>
        <v>0.77584500000000001</v>
      </c>
      <c r="EH15" s="2">
        <f t="shared" si="19"/>
        <v>0.83922750000000013</v>
      </c>
      <c r="EI15" s="2">
        <f t="shared" si="19"/>
        <v>0</v>
      </c>
      <c r="EJ15" s="2">
        <f t="shared" si="19"/>
        <v>1.2697425000000002</v>
      </c>
      <c r="EK15" s="2">
        <f t="shared" si="19"/>
        <v>1.0081800000000001</v>
      </c>
      <c r="EL15" s="2">
        <f t="shared" si="19"/>
        <v>0</v>
      </c>
      <c r="EM15" s="2">
        <f t="shared" si="19"/>
        <v>0</v>
      </c>
      <c r="EN15" s="2">
        <f t="shared" si="19"/>
        <v>0</v>
      </c>
      <c r="EO15" s="2">
        <f t="shared" si="19"/>
        <v>0</v>
      </c>
      <c r="EP15" s="2">
        <f t="shared" si="19"/>
        <v>0</v>
      </c>
      <c r="EQ15" s="2">
        <f t="shared" si="19"/>
        <v>0</v>
      </c>
      <c r="ER15" s="2">
        <f t="shared" si="19"/>
        <v>0</v>
      </c>
      <c r="ES15" s="2">
        <f t="shared" si="19"/>
        <v>0</v>
      </c>
      <c r="ET15" s="2">
        <f t="shared" si="19"/>
        <v>0</v>
      </c>
      <c r="EU15" s="2">
        <f t="shared" si="19"/>
        <v>0</v>
      </c>
      <c r="EV15" s="2">
        <f t="shared" si="19"/>
        <v>0</v>
      </c>
      <c r="EW15" s="2">
        <f t="shared" si="19"/>
        <v>0</v>
      </c>
      <c r="EX15" s="2">
        <f t="shared" si="19"/>
        <v>0</v>
      </c>
      <c r="EY15" s="2">
        <f t="shared" si="19"/>
        <v>0</v>
      </c>
      <c r="EZ15" s="2">
        <f t="shared" si="19"/>
        <v>0</v>
      </c>
      <c r="FA15" s="2">
        <f t="shared" si="19"/>
        <v>0</v>
      </c>
      <c r="FB15" s="2">
        <f t="shared" si="19"/>
        <v>0</v>
      </c>
      <c r="FC15" s="2">
        <f t="shared" si="19"/>
        <v>0</v>
      </c>
      <c r="FD15" s="2">
        <f t="shared" si="19"/>
        <v>0</v>
      </c>
      <c r="FE15" s="2">
        <f t="shared" si="19"/>
        <v>0</v>
      </c>
      <c r="FF15" s="2">
        <f t="shared" si="19"/>
        <v>0</v>
      </c>
    </row>
    <row r="16" spans="1:162" x14ac:dyDescent="0.55000000000000004">
      <c r="E16">
        <v>71.7</v>
      </c>
      <c r="F16" s="3" t="s">
        <v>22</v>
      </c>
      <c r="G16" s="2" t="s">
        <v>4</v>
      </c>
      <c r="H16" s="2">
        <v>11676</v>
      </c>
      <c r="I16" s="22">
        <v>7699</v>
      </c>
      <c r="J16" s="2">
        <v>15232</v>
      </c>
      <c r="K16" s="22">
        <v>7598</v>
      </c>
      <c r="L16" s="2">
        <v>8162</v>
      </c>
      <c r="M16" s="22">
        <v>3766</v>
      </c>
      <c r="N16" s="2">
        <v>5903</v>
      </c>
      <c r="O16" s="22">
        <v>2643</v>
      </c>
      <c r="P16" s="22">
        <v>12049</v>
      </c>
      <c r="Q16" s="2">
        <v>15571</v>
      </c>
      <c r="R16" s="22">
        <v>10860</v>
      </c>
      <c r="S16" s="2">
        <v>19453</v>
      </c>
      <c r="T16" s="22">
        <v>8765</v>
      </c>
      <c r="U16" s="22">
        <v>7730</v>
      </c>
      <c r="V16" s="22">
        <v>5574</v>
      </c>
      <c r="W16" s="27">
        <v>11620</v>
      </c>
      <c r="X16" s="22">
        <v>7443</v>
      </c>
      <c r="Y16" s="22">
        <v>6663</v>
      </c>
      <c r="Z16" s="22">
        <v>9179</v>
      </c>
      <c r="AA16" s="22">
        <v>8467</v>
      </c>
      <c r="AB16" s="22">
        <v>9496</v>
      </c>
      <c r="AC16" s="22">
        <v>7367</v>
      </c>
      <c r="AD16" s="22">
        <v>7275</v>
      </c>
      <c r="AE16" s="22">
        <v>11437</v>
      </c>
      <c r="AF16" s="22">
        <v>15723</v>
      </c>
      <c r="AG16" s="22">
        <v>17053</v>
      </c>
      <c r="AH16" s="31">
        <v>6425</v>
      </c>
      <c r="AI16" s="31"/>
      <c r="AJ16" s="31">
        <v>9388</v>
      </c>
      <c r="AK16" s="22">
        <v>6537</v>
      </c>
      <c r="AL16" s="31"/>
      <c r="AM16" s="22">
        <v>12002</v>
      </c>
      <c r="AN16" s="31">
        <v>7384</v>
      </c>
      <c r="AO16" s="22">
        <v>7698</v>
      </c>
      <c r="AP16" s="22">
        <v>5058</v>
      </c>
      <c r="AQ16" s="22">
        <v>11860</v>
      </c>
      <c r="AR16" s="22">
        <v>28914</v>
      </c>
      <c r="AS16" s="22">
        <v>8416</v>
      </c>
      <c r="AT16" s="31">
        <v>7755</v>
      </c>
      <c r="AU16" s="22">
        <v>23262</v>
      </c>
      <c r="AV16" s="22">
        <v>14411</v>
      </c>
      <c r="AW16" s="22">
        <v>6674</v>
      </c>
      <c r="AX16" s="22">
        <v>30682</v>
      </c>
      <c r="AY16" s="2">
        <v>5369</v>
      </c>
      <c r="AZ16" s="2">
        <v>19214</v>
      </c>
      <c r="BA16" s="2">
        <v>19466</v>
      </c>
      <c r="BB16" s="2">
        <v>19216</v>
      </c>
      <c r="BC16" s="2">
        <v>39498</v>
      </c>
      <c r="BD16" s="2">
        <v>6185</v>
      </c>
      <c r="BE16" s="2">
        <v>9405</v>
      </c>
      <c r="BF16" s="2">
        <v>6352</v>
      </c>
      <c r="BG16" s="55">
        <v>6499</v>
      </c>
      <c r="BH16" s="2">
        <v>17646</v>
      </c>
      <c r="BI16" s="2">
        <v>9348</v>
      </c>
      <c r="BJ16" s="2">
        <v>7019</v>
      </c>
      <c r="BK16" s="2">
        <v>11935</v>
      </c>
      <c r="BL16" s="2">
        <v>8553</v>
      </c>
      <c r="BM16" s="2">
        <v>8099</v>
      </c>
      <c r="BN16" s="2">
        <v>5706</v>
      </c>
      <c r="BO16" s="2"/>
      <c r="BP16" s="2"/>
      <c r="BQ16" s="2"/>
      <c r="BR16" s="2"/>
      <c r="BS16" s="2">
        <v>5753</v>
      </c>
      <c r="BT16" s="2">
        <v>4303</v>
      </c>
      <c r="BU16" s="2">
        <v>20093</v>
      </c>
      <c r="BV16" s="32"/>
      <c r="BW16" s="2">
        <v>9970</v>
      </c>
      <c r="BX16" s="2">
        <v>19601</v>
      </c>
      <c r="BY16" s="2">
        <v>26685</v>
      </c>
      <c r="BZ16" s="2">
        <v>13703</v>
      </c>
      <c r="CA16" s="2"/>
      <c r="CB16" s="32"/>
      <c r="CC16" s="32"/>
      <c r="CD16" s="2">
        <v>8325</v>
      </c>
      <c r="CE16" s="2">
        <v>4604</v>
      </c>
      <c r="CF16" s="2">
        <v>6225</v>
      </c>
      <c r="CG16" s="2">
        <v>6885</v>
      </c>
      <c r="CH16" s="2">
        <v>3027</v>
      </c>
      <c r="CI16" s="2">
        <v>21611</v>
      </c>
      <c r="CJ16" s="2">
        <v>19077</v>
      </c>
      <c r="CK16" s="2">
        <v>15306</v>
      </c>
      <c r="CL16" s="2">
        <v>16601</v>
      </c>
      <c r="CM16" s="2"/>
      <c r="CN16" s="2"/>
      <c r="CO16" s="2"/>
      <c r="CP16" s="2"/>
      <c r="CQ16" s="2">
        <v>8156</v>
      </c>
      <c r="CR16" s="2">
        <v>19004</v>
      </c>
      <c r="CS16" s="2"/>
      <c r="CT16" s="2">
        <v>15344</v>
      </c>
      <c r="CU16" s="2">
        <v>13906</v>
      </c>
      <c r="CV16" s="2">
        <v>8469</v>
      </c>
      <c r="CW16" s="2"/>
      <c r="CX16" s="2">
        <v>8890</v>
      </c>
      <c r="CY16" s="2"/>
      <c r="CZ16" s="2">
        <v>7004</v>
      </c>
      <c r="DA16" s="2"/>
      <c r="DB16" s="2"/>
      <c r="DC16" s="2"/>
      <c r="DD16" s="2"/>
      <c r="DE16" s="2"/>
      <c r="DF16" s="2">
        <v>14645</v>
      </c>
      <c r="DG16" s="2">
        <v>7804</v>
      </c>
      <c r="DH16" s="2"/>
      <c r="DI16" s="2"/>
      <c r="DJ16" s="2"/>
      <c r="DK16" s="2">
        <v>18979</v>
      </c>
      <c r="DL16" s="2">
        <v>7011</v>
      </c>
      <c r="DM16" s="2">
        <v>31036</v>
      </c>
      <c r="DN16" s="2">
        <v>9551</v>
      </c>
      <c r="DO16" s="2">
        <v>31545</v>
      </c>
      <c r="DP16" s="2">
        <v>3553</v>
      </c>
      <c r="DQ16" s="2">
        <v>38802</v>
      </c>
      <c r="DR16" s="2"/>
      <c r="DS16" s="2"/>
      <c r="DT16" s="2">
        <v>39889</v>
      </c>
      <c r="DU16" s="2">
        <v>6116</v>
      </c>
      <c r="DV16" s="2">
        <v>4075</v>
      </c>
      <c r="DW16" s="2">
        <v>5558</v>
      </c>
      <c r="DX16" s="2">
        <v>6680</v>
      </c>
      <c r="DY16" s="2">
        <v>6104</v>
      </c>
      <c r="DZ16" s="2">
        <v>4368</v>
      </c>
      <c r="EA16" s="2">
        <v>16782</v>
      </c>
      <c r="EB16" s="2">
        <v>49366</v>
      </c>
      <c r="EC16" s="2">
        <v>38788</v>
      </c>
      <c r="ED16" s="2">
        <v>28020</v>
      </c>
      <c r="EE16" s="2">
        <v>17168</v>
      </c>
      <c r="EF16" s="2"/>
      <c r="EG16" s="2">
        <v>5396</v>
      </c>
      <c r="EH16" s="2">
        <v>7509</v>
      </c>
      <c r="EI16" s="2"/>
      <c r="EJ16" s="2">
        <v>7945</v>
      </c>
      <c r="EK16" s="2">
        <v>9715</v>
      </c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</row>
    <row r="17" spans="5:162" x14ac:dyDescent="0.55000000000000004">
      <c r="G17" s="2" t="s">
        <v>5</v>
      </c>
      <c r="H17" s="2">
        <f>$C$10*H16*0.04/0.002*100</f>
        <v>1.1506725581102364</v>
      </c>
      <c r="I17" s="22">
        <f t="shared" ref="I17:AW17" si="20">$C$10*I16*0.04/0.002*100</f>
        <v>0.75873826866141736</v>
      </c>
      <c r="J17" s="2">
        <f t="shared" si="20"/>
        <v>1.5011171981102363</v>
      </c>
      <c r="K17" s="22">
        <f t="shared" si="20"/>
        <v>0.74878469480314969</v>
      </c>
      <c r="L17" s="2">
        <f t="shared" si="20"/>
        <v>0.80436702803149618</v>
      </c>
      <c r="M17" s="22">
        <f t="shared" si="20"/>
        <v>0.37114018960629924</v>
      </c>
      <c r="N17" s="2">
        <f t="shared" si="20"/>
        <v>0.58174204440944888</v>
      </c>
      <c r="O17" s="22">
        <f t="shared" si="20"/>
        <v>0.26046827433070863</v>
      </c>
      <c r="P17" s="22">
        <f t="shared" si="20"/>
        <v>1.1874317962204723</v>
      </c>
      <c r="Q17" s="2">
        <f t="shared" si="20"/>
        <v>1.5345257281889766</v>
      </c>
      <c r="R17" s="22">
        <f t="shared" si="20"/>
        <v>1.0702555653543309</v>
      </c>
      <c r="S17" s="2">
        <f t="shared" si="20"/>
        <v>1.9170977451968507</v>
      </c>
      <c r="T17" s="22">
        <f t="shared" si="20"/>
        <v>0.86379282047244088</v>
      </c>
      <c r="U17" s="22">
        <f t="shared" si="20"/>
        <v>0.76179332598425198</v>
      </c>
      <c r="V17" s="22">
        <f t="shared" si="20"/>
        <v>0.54931901669291339</v>
      </c>
      <c r="W17" s="27">
        <f t="shared" si="20"/>
        <v>1.1451537448818898</v>
      </c>
      <c r="X17" s="22">
        <f t="shared" si="20"/>
        <v>0.73350940818897647</v>
      </c>
      <c r="Y17" s="22">
        <f t="shared" si="20"/>
        <v>0.65664022393700794</v>
      </c>
      <c r="Z17" s="22">
        <f t="shared" si="20"/>
        <v>0.90459261826771664</v>
      </c>
      <c r="AA17" s="22">
        <f t="shared" si="20"/>
        <v>0.83442485007874012</v>
      </c>
      <c r="AB17" s="22">
        <f t="shared" si="20"/>
        <v>0.93583304314960625</v>
      </c>
      <c r="AC17" s="22">
        <f t="shared" si="20"/>
        <v>0.72601959023622042</v>
      </c>
      <c r="AD17" s="22">
        <f t="shared" si="20"/>
        <v>0.71695296850393708</v>
      </c>
      <c r="AE17" s="22">
        <f t="shared" si="20"/>
        <v>1.1271190516535432</v>
      </c>
      <c r="AF17" s="22">
        <f t="shared" si="20"/>
        <v>1.5495053640944882</v>
      </c>
      <c r="AG17" s="22">
        <f t="shared" si="20"/>
        <v>1.6805771782677166</v>
      </c>
      <c r="AH17" s="31">
        <f t="shared" si="20"/>
        <v>0.63318526771653549</v>
      </c>
      <c r="AI17" s="31">
        <f t="shared" si="20"/>
        <v>0</v>
      </c>
      <c r="AJ17" s="31">
        <f t="shared" si="20"/>
        <v>0.9251896176377955</v>
      </c>
      <c r="AK17" s="22">
        <f t="shared" si="20"/>
        <v>0.64422289417322842</v>
      </c>
      <c r="AL17" s="31">
        <f t="shared" si="20"/>
        <v>0</v>
      </c>
      <c r="AM17" s="22">
        <f t="shared" si="20"/>
        <v>1.1827999351181104</v>
      </c>
      <c r="AN17" s="31">
        <f t="shared" si="20"/>
        <v>0.72769494425196868</v>
      </c>
      <c r="AO17" s="22">
        <f t="shared" si="20"/>
        <v>0.75863971842519695</v>
      </c>
      <c r="AP17" s="22">
        <f t="shared" si="20"/>
        <v>0.49846709480314971</v>
      </c>
      <c r="AQ17" s="22">
        <f t="shared" si="20"/>
        <v>1.1688058015748033</v>
      </c>
      <c r="AR17" s="22">
        <f t="shared" si="20"/>
        <v>2.8494815300787404</v>
      </c>
      <c r="AS17" s="22">
        <f t="shared" si="20"/>
        <v>0.82939878803149625</v>
      </c>
      <c r="AT17" s="31">
        <f t="shared" si="20"/>
        <v>0.76425708188976371</v>
      </c>
      <c r="AU17" s="22">
        <f t="shared" si="20"/>
        <v>2.2924755949606306</v>
      </c>
      <c r="AV17" s="22">
        <f t="shared" si="20"/>
        <v>1.4202074541732284</v>
      </c>
      <c r="AW17" s="22">
        <f t="shared" si="20"/>
        <v>0.65772427653543319</v>
      </c>
      <c r="AX17" s="22">
        <f>$C$10*AX16*0.04/0.002*100</f>
        <v>3.0237183477165357</v>
      </c>
      <c r="AY17" s="22">
        <f>$C$10*AY16*0.04/0.002*100</f>
        <v>0.5291162182677166</v>
      </c>
      <c r="AZ17" s="22">
        <f>$C$10*AZ16*0.04/0.002*100</f>
        <v>1.8935442387401575</v>
      </c>
      <c r="BA17" s="22">
        <f t="shared" ref="BA17:DC17" si="21">$C$10*BA16*0.04/0.002*100</f>
        <v>1.9183788982677166</v>
      </c>
      <c r="BB17" s="35">
        <f t="shared" si="21"/>
        <v>1.8937413392125984</v>
      </c>
      <c r="BC17" s="22">
        <f t="shared" si="21"/>
        <v>3.8925372302362211</v>
      </c>
      <c r="BD17" s="22">
        <f t="shared" si="21"/>
        <v>0.60953321102362212</v>
      </c>
      <c r="BE17" s="22">
        <f t="shared" si="21"/>
        <v>0.92686497165354342</v>
      </c>
      <c r="BF17" s="22">
        <f t="shared" si="21"/>
        <v>0.625991100472441</v>
      </c>
      <c r="BG17" s="55">
        <f t="shared" si="21"/>
        <v>0.6404779851968504</v>
      </c>
      <c r="BH17" s="22">
        <f t="shared" si="21"/>
        <v>1.7390174683464568</v>
      </c>
      <c r="BI17" s="22">
        <f t="shared" si="21"/>
        <v>0.92124760818897644</v>
      </c>
      <c r="BJ17" s="22">
        <f t="shared" si="21"/>
        <v>0.69172410803149609</v>
      </c>
      <c r="BK17" s="22">
        <f t="shared" si="21"/>
        <v>1.1761970692913386</v>
      </c>
      <c r="BL17" s="22">
        <f t="shared" si="21"/>
        <v>0.8429001703937008</v>
      </c>
      <c r="BM17" s="36">
        <f t="shared" si="21"/>
        <v>0.79815836314960642</v>
      </c>
      <c r="BN17" s="36">
        <f t="shared" si="21"/>
        <v>0.56232764787401579</v>
      </c>
      <c r="BO17" s="22">
        <f t="shared" si="21"/>
        <v>0</v>
      </c>
      <c r="BP17" s="22">
        <f t="shared" si="21"/>
        <v>0</v>
      </c>
      <c r="BQ17" s="22">
        <f t="shared" si="21"/>
        <v>0</v>
      </c>
      <c r="BR17" s="22">
        <f t="shared" si="21"/>
        <v>0</v>
      </c>
      <c r="BS17" s="22">
        <f t="shared" si="21"/>
        <v>0.56695950897637803</v>
      </c>
      <c r="BT17" s="22">
        <f t="shared" si="21"/>
        <v>0.42406166645669291</v>
      </c>
      <c r="BU17" s="22">
        <f t="shared" si="21"/>
        <v>1.9801698963779528</v>
      </c>
      <c r="BV17" s="32">
        <f t="shared" si="21"/>
        <v>0</v>
      </c>
      <c r="BW17" s="22">
        <f t="shared" si="21"/>
        <v>0.98254585511811032</v>
      </c>
      <c r="BX17" s="22">
        <f t="shared" si="21"/>
        <v>1.9316831801574805</v>
      </c>
      <c r="BY17" s="22">
        <f t="shared" si="21"/>
        <v>2.6298130535433071</v>
      </c>
      <c r="BZ17" s="22">
        <f t="shared" si="21"/>
        <v>1.3504338869291339</v>
      </c>
      <c r="CA17" s="22">
        <f t="shared" si="21"/>
        <v>0</v>
      </c>
      <c r="CB17" s="32">
        <f t="shared" si="21"/>
        <v>0</v>
      </c>
      <c r="CC17" s="32">
        <f t="shared" si="21"/>
        <v>0</v>
      </c>
      <c r="CD17" s="22">
        <f t="shared" si="21"/>
        <v>0.82043071653543298</v>
      </c>
      <c r="CE17" s="22">
        <f t="shared" si="21"/>
        <v>0.45372528755905511</v>
      </c>
      <c r="CF17" s="22">
        <f t="shared" si="21"/>
        <v>0.61347522047244107</v>
      </c>
      <c r="CG17" s="22">
        <f t="shared" si="21"/>
        <v>0.67851837637795276</v>
      </c>
      <c r="CH17" s="22">
        <f t="shared" si="21"/>
        <v>0.29831156503937006</v>
      </c>
      <c r="CI17" s="22">
        <f t="shared" si="21"/>
        <v>2.1297691549606297</v>
      </c>
      <c r="CJ17" s="22">
        <f t="shared" si="21"/>
        <v>1.8800428563779528</v>
      </c>
      <c r="CK17" s="22">
        <f t="shared" si="21"/>
        <v>1.5084099155905513</v>
      </c>
      <c r="CL17" s="22">
        <f t="shared" si="21"/>
        <v>1.6360324714960632</v>
      </c>
      <c r="CM17" s="22">
        <f>$C$10*CM16*0.04/0.002*100</f>
        <v>0</v>
      </c>
      <c r="CN17" s="22">
        <f t="shared" si="21"/>
        <v>0</v>
      </c>
      <c r="CO17" s="22">
        <f t="shared" si="21"/>
        <v>0</v>
      </c>
      <c r="CP17" s="22">
        <f t="shared" si="21"/>
        <v>0</v>
      </c>
      <c r="CQ17" s="22">
        <f t="shared" si="21"/>
        <v>0.80377572661417329</v>
      </c>
      <c r="CR17" s="22">
        <f t="shared" si="21"/>
        <v>1.8728486891338585</v>
      </c>
      <c r="CS17" s="22">
        <f t="shared" si="21"/>
        <v>0</v>
      </c>
      <c r="CT17" s="22">
        <f t="shared" si="21"/>
        <v>1.5121548245669292</v>
      </c>
      <c r="CU17" s="22">
        <f t="shared" si="21"/>
        <v>1.3704395848818898</v>
      </c>
      <c r="CV17" s="22">
        <f t="shared" si="21"/>
        <v>0.83462195055118127</v>
      </c>
      <c r="CW17" s="22">
        <f t="shared" si="21"/>
        <v>0</v>
      </c>
      <c r="CX17" s="22">
        <f t="shared" si="21"/>
        <v>0.87611159999999999</v>
      </c>
      <c r="CY17" s="22">
        <f t="shared" si="21"/>
        <v>0</v>
      </c>
      <c r="CZ17" s="22">
        <f t="shared" si="21"/>
        <v>0.69024585448818898</v>
      </c>
      <c r="DA17" s="22">
        <f t="shared" si="21"/>
        <v>0</v>
      </c>
      <c r="DB17" s="22">
        <f t="shared" si="21"/>
        <v>0</v>
      </c>
      <c r="DC17" s="22">
        <f t="shared" si="21"/>
        <v>0</v>
      </c>
      <c r="DD17" s="22">
        <f t="shared" ref="DD17:FF17" si="22">$C$10*DD16*0.04/0.002*100</f>
        <v>0</v>
      </c>
      <c r="DE17" s="22">
        <f t="shared" si="22"/>
        <v>0</v>
      </c>
      <c r="DF17" s="22">
        <f t="shared" si="22"/>
        <v>1.443268209448819</v>
      </c>
      <c r="DG17" s="22">
        <f t="shared" si="22"/>
        <v>0.76908604346456699</v>
      </c>
      <c r="DH17" s="22">
        <f t="shared" si="22"/>
        <v>0</v>
      </c>
      <c r="DI17" s="22">
        <f t="shared" si="22"/>
        <v>0</v>
      </c>
      <c r="DJ17" s="22">
        <f t="shared" si="22"/>
        <v>0</v>
      </c>
      <c r="DK17" s="22">
        <f t="shared" si="22"/>
        <v>1.8703849332283466</v>
      </c>
      <c r="DL17" s="22">
        <f t="shared" si="22"/>
        <v>0.69093570614173239</v>
      </c>
      <c r="DM17" s="22">
        <f t="shared" si="22"/>
        <v>3.0586051313385836</v>
      </c>
      <c r="DN17" s="22">
        <f t="shared" si="22"/>
        <v>0.9412533061417323</v>
      </c>
      <c r="DO17" s="22">
        <f t="shared" si="22"/>
        <v>3.1087672015748034</v>
      </c>
      <c r="DP17" s="22">
        <f t="shared" si="22"/>
        <v>0.35014898929133859</v>
      </c>
      <c r="DQ17" s="22">
        <f t="shared" si="22"/>
        <v>3.823946265826772</v>
      </c>
      <c r="DR17" s="22">
        <f t="shared" si="22"/>
        <v>0</v>
      </c>
      <c r="DS17" s="22">
        <f t="shared" si="22"/>
        <v>0</v>
      </c>
      <c r="DT17" s="22">
        <f t="shared" si="22"/>
        <v>3.9310703725984255</v>
      </c>
      <c r="DU17" s="22">
        <f t="shared" si="22"/>
        <v>0.60273324472440948</v>
      </c>
      <c r="DV17" s="22">
        <f t="shared" si="22"/>
        <v>0.40159221259842526</v>
      </c>
      <c r="DW17" s="22">
        <f t="shared" si="22"/>
        <v>0.54774221291338587</v>
      </c>
      <c r="DX17" s="22">
        <f t="shared" si="22"/>
        <v>0.65831557795275597</v>
      </c>
      <c r="DY17" s="22">
        <f t="shared" si="22"/>
        <v>0.60155064188976382</v>
      </c>
      <c r="DZ17" s="22">
        <f t="shared" si="22"/>
        <v>0.43046743181102365</v>
      </c>
      <c r="EA17" s="22">
        <f t="shared" si="22"/>
        <v>1.6538700642519686</v>
      </c>
      <c r="EB17" s="22">
        <f t="shared" si="22"/>
        <v>4.8650309612598424</v>
      </c>
      <c r="EC17" s="22">
        <f t="shared" si="22"/>
        <v>3.8225665625196852</v>
      </c>
      <c r="ED17" s="22">
        <f t="shared" si="22"/>
        <v>2.761377618897638</v>
      </c>
      <c r="EE17" s="22">
        <f t="shared" si="22"/>
        <v>1.6919104554330711</v>
      </c>
      <c r="EF17" s="22">
        <f t="shared" si="22"/>
        <v>0</v>
      </c>
      <c r="EG17" s="22">
        <f t="shared" si="22"/>
        <v>0.53177707464566926</v>
      </c>
      <c r="EH17" s="22">
        <f t="shared" si="22"/>
        <v>0.74001372377952768</v>
      </c>
      <c r="EI17" s="22">
        <f t="shared" si="22"/>
        <v>0</v>
      </c>
      <c r="EJ17" s="22">
        <f t="shared" si="22"/>
        <v>0.78298162677165362</v>
      </c>
      <c r="EK17" s="22">
        <f t="shared" si="22"/>
        <v>0.95741554488188974</v>
      </c>
      <c r="EL17" s="22">
        <f t="shared" si="22"/>
        <v>0</v>
      </c>
      <c r="EM17" s="22">
        <f t="shared" si="22"/>
        <v>0</v>
      </c>
      <c r="EN17" s="22">
        <f t="shared" si="22"/>
        <v>0</v>
      </c>
      <c r="EO17" s="22">
        <f t="shared" si="22"/>
        <v>0</v>
      </c>
      <c r="EP17" s="22">
        <f t="shared" si="22"/>
        <v>0</v>
      </c>
      <c r="EQ17" s="22">
        <f t="shared" si="22"/>
        <v>0</v>
      </c>
      <c r="ER17" s="22">
        <f t="shared" si="22"/>
        <v>0</v>
      </c>
      <c r="ES17" s="22">
        <f t="shared" si="22"/>
        <v>0</v>
      </c>
      <c r="ET17" s="22">
        <f t="shared" si="22"/>
        <v>0</v>
      </c>
      <c r="EU17" s="22">
        <f t="shared" si="22"/>
        <v>0</v>
      </c>
      <c r="EV17" s="22">
        <f t="shared" si="22"/>
        <v>0</v>
      </c>
      <c r="EW17" s="22">
        <f t="shared" si="22"/>
        <v>0</v>
      </c>
      <c r="EX17" s="22">
        <f t="shared" si="22"/>
        <v>0</v>
      </c>
      <c r="EY17" s="22">
        <f t="shared" si="22"/>
        <v>0</v>
      </c>
      <c r="EZ17" s="22">
        <f t="shared" si="22"/>
        <v>0</v>
      </c>
      <c r="FA17" s="22">
        <f t="shared" si="22"/>
        <v>0</v>
      </c>
      <c r="FB17" s="22">
        <f t="shared" si="22"/>
        <v>0</v>
      </c>
      <c r="FC17" s="22">
        <f t="shared" si="22"/>
        <v>0</v>
      </c>
      <c r="FD17" s="22">
        <f t="shared" si="22"/>
        <v>0</v>
      </c>
      <c r="FE17" s="22">
        <f t="shared" si="22"/>
        <v>0</v>
      </c>
      <c r="FF17" s="22">
        <f t="shared" si="22"/>
        <v>0</v>
      </c>
    </row>
    <row r="18" spans="5:162" x14ac:dyDescent="0.55000000000000004">
      <c r="E18" s="28" t="s">
        <v>10</v>
      </c>
      <c r="F18" s="28">
        <f>$E$19*F19*0.04*166.14</f>
        <v>2.9516752983743996E-2</v>
      </c>
      <c r="G18" s="2"/>
      <c r="H18" s="2"/>
      <c r="I18" s="2"/>
      <c r="J18" s="2"/>
      <c r="K18" s="2"/>
      <c r="L18" s="2"/>
      <c r="M18" s="2"/>
      <c r="N18" s="2"/>
      <c r="O18" s="2"/>
      <c r="AH18" s="30"/>
      <c r="AI18" s="30"/>
      <c r="AJ18" s="30"/>
      <c r="AL18" s="30"/>
      <c r="AN18" s="30"/>
      <c r="AT18" s="30"/>
    </row>
    <row r="19" spans="5:162" x14ac:dyDescent="0.55000000000000004">
      <c r="E19" s="28">
        <v>2.953E-8</v>
      </c>
      <c r="F19" s="28">
        <v>150408</v>
      </c>
      <c r="G19" s="2"/>
      <c r="H19" s="2"/>
      <c r="I19" s="2"/>
      <c r="J19" s="2"/>
      <c r="K19" s="2"/>
      <c r="L19" s="2"/>
      <c r="M19" s="2"/>
      <c r="N19" s="2"/>
      <c r="O19" s="2"/>
      <c r="AL19" s="30"/>
      <c r="AN19" s="30"/>
    </row>
    <row r="20" spans="5:162" x14ac:dyDescent="0.55000000000000004">
      <c r="E20" s="28">
        <v>6.6168999999999994E-11</v>
      </c>
      <c r="F20" s="28">
        <v>69982346</v>
      </c>
      <c r="G20" s="2" t="s">
        <v>20</v>
      </c>
      <c r="H20" s="2">
        <f>H5+H9+H11+H13+H15+H17</f>
        <v>59.088892758110227</v>
      </c>
      <c r="I20" s="2">
        <f t="shared" ref="I20:AW20" si="23">I5+I9+I11+I13+I15+I17+I19</f>
        <v>18.097969488661416</v>
      </c>
      <c r="J20" s="2">
        <f t="shared" si="23"/>
        <v>71.959500998110244</v>
      </c>
      <c r="K20" s="2">
        <f t="shared" si="23"/>
        <v>19.27272745480315</v>
      </c>
      <c r="L20" s="2">
        <f t="shared" si="23"/>
        <v>43.209289508031496</v>
      </c>
      <c r="M20" s="2">
        <f t="shared" si="23"/>
        <v>9.1643073296062987</v>
      </c>
      <c r="N20" s="2">
        <f t="shared" si="23"/>
        <v>23.539173484409446</v>
      </c>
      <c r="O20" s="2">
        <f t="shared" si="23"/>
        <v>4.0220796343307086</v>
      </c>
      <c r="P20" s="2">
        <f t="shared" si="23"/>
        <v>25.735479296220472</v>
      </c>
      <c r="Q20" s="2">
        <f t="shared" si="23"/>
        <v>76.105314368188985</v>
      </c>
      <c r="R20" s="2">
        <f t="shared" si="23"/>
        <v>27.777435245354333</v>
      </c>
      <c r="S20" s="2">
        <f t="shared" si="23"/>
        <v>81.022247285196869</v>
      </c>
      <c r="T20" s="2">
        <f t="shared" si="23"/>
        <v>18.001123580472438</v>
      </c>
      <c r="U20" s="2">
        <f t="shared" si="23"/>
        <v>18.927540625984257</v>
      </c>
      <c r="V20" s="2">
        <f t="shared" si="23"/>
        <v>15.312970856692914</v>
      </c>
      <c r="W20" s="2">
        <f t="shared" si="23"/>
        <v>68.942447604881892</v>
      </c>
      <c r="X20" s="2">
        <f t="shared" si="23"/>
        <v>16.312684168188976</v>
      </c>
      <c r="Y20" s="2">
        <f t="shared" si="23"/>
        <v>18.116216403937006</v>
      </c>
      <c r="Z20" s="2">
        <f t="shared" si="23"/>
        <v>30.878771038267718</v>
      </c>
      <c r="AA20" s="2">
        <f t="shared" si="23"/>
        <v>16.918973550078743</v>
      </c>
      <c r="AB20" s="2">
        <f t="shared" si="23"/>
        <v>23.882006943149612</v>
      </c>
      <c r="AC20" s="2">
        <f t="shared" si="23"/>
        <v>13.586321890236221</v>
      </c>
      <c r="AD20" s="2">
        <f t="shared" si="23"/>
        <v>19.843870428503934</v>
      </c>
      <c r="AE20" s="2">
        <f t="shared" si="23"/>
        <v>29.338080651653545</v>
      </c>
      <c r="AF20" s="2">
        <f t="shared" si="23"/>
        <v>40.993117484094483</v>
      </c>
      <c r="AG20" s="2">
        <f t="shared" si="23"/>
        <v>47.869195318267721</v>
      </c>
      <c r="AH20" s="2">
        <f t="shared" si="23"/>
        <v>10.154673047716537</v>
      </c>
      <c r="AI20" s="2">
        <f t="shared" si="23"/>
        <v>0.70375500000000002</v>
      </c>
      <c r="AJ20" s="2">
        <f t="shared" si="23"/>
        <v>26.905665197637795</v>
      </c>
      <c r="AK20" s="2">
        <f t="shared" si="23"/>
        <v>10.205825874173229</v>
      </c>
      <c r="AL20" s="2">
        <f t="shared" si="23"/>
        <v>0</v>
      </c>
      <c r="AM20" s="2">
        <f t="shared" si="23"/>
        <v>33.193132255118115</v>
      </c>
      <c r="AN20" s="31">
        <f t="shared" si="23"/>
        <v>24.712235344251972</v>
      </c>
      <c r="AO20" s="2">
        <f t="shared" si="23"/>
        <v>26.215409098425198</v>
      </c>
      <c r="AP20" s="2">
        <f t="shared" si="23"/>
        <v>8.7697313748031505</v>
      </c>
      <c r="AQ20" s="2">
        <f t="shared" si="23"/>
        <v>23.3663721015748</v>
      </c>
      <c r="AR20" s="2">
        <f t="shared" si="23"/>
        <v>52.324041470078747</v>
      </c>
      <c r="AS20" s="2">
        <f t="shared" si="23"/>
        <v>20.241841348031496</v>
      </c>
      <c r="AT20" s="2">
        <f t="shared" si="23"/>
        <v>24.490184361889764</v>
      </c>
      <c r="AU20" s="2">
        <f t="shared" si="23"/>
        <v>46.680394494960623</v>
      </c>
      <c r="AV20" s="2">
        <f t="shared" si="23"/>
        <v>36.608179754173221</v>
      </c>
      <c r="AW20" s="2">
        <f t="shared" si="23"/>
        <v>17.000519136535431</v>
      </c>
      <c r="AX20" s="2">
        <f>AX5+AX9+AX11+AX13+AX15+AX17+AX19</f>
        <v>98.518808767716536</v>
      </c>
      <c r="AY20" s="2">
        <f>AY5+AY9+AY11+AY13+AY15+AY17+AY19</f>
        <v>12.302776198267717</v>
      </c>
      <c r="AZ20" s="2">
        <f>AZ5+AZ9+AZ11+AZ13+AZ15+AZ17+AZ19</f>
        <v>41.747609118740158</v>
      </c>
      <c r="BA20" s="2">
        <f t="shared" ref="BA20:DC20" si="24">BA5+BA9+BA11+BA13+BA15+BA17+BA19</f>
        <v>42.497705598267721</v>
      </c>
      <c r="BB20" s="2">
        <f t="shared" si="24"/>
        <v>44.225494899212599</v>
      </c>
      <c r="BC20" s="2">
        <f t="shared" si="24"/>
        <v>46.01471093023622</v>
      </c>
      <c r="BD20" s="2">
        <f t="shared" si="24"/>
        <v>19.844407971023621</v>
      </c>
      <c r="BE20" s="2">
        <f t="shared" si="24"/>
        <v>58.185048811653544</v>
      </c>
      <c r="BF20" s="2">
        <f t="shared" si="24"/>
        <v>39.161102880472441</v>
      </c>
      <c r="BG20" s="2">
        <f t="shared" si="24"/>
        <v>31.094331065196847</v>
      </c>
      <c r="BH20" s="2">
        <f t="shared" si="24"/>
        <v>33.703771908346454</v>
      </c>
      <c r="BI20" s="2">
        <f t="shared" si="24"/>
        <v>24.846162988188979</v>
      </c>
      <c r="BJ20" s="2">
        <f t="shared" si="24"/>
        <v>24.328695628031497</v>
      </c>
      <c r="BK20" s="2">
        <f t="shared" si="24"/>
        <v>36.142934109291339</v>
      </c>
      <c r="BL20" s="2">
        <f t="shared" si="24"/>
        <v>26.028399090393702</v>
      </c>
      <c r="BM20" s="2">
        <f t="shared" si="24"/>
        <v>18.264837943149608</v>
      </c>
      <c r="BN20" s="2">
        <f t="shared" si="24"/>
        <v>15.627390387874017</v>
      </c>
      <c r="BO20" s="2">
        <f t="shared" si="24"/>
        <v>1.0930949999999999</v>
      </c>
      <c r="BP20" s="2">
        <f t="shared" si="24"/>
        <v>0.59028749999999997</v>
      </c>
      <c r="BQ20" s="2">
        <f t="shared" si="24"/>
        <v>16.363620000000001</v>
      </c>
      <c r="BR20" s="2">
        <f t="shared" si="24"/>
        <v>7.00542</v>
      </c>
      <c r="BS20" s="2">
        <f t="shared" si="24"/>
        <v>19.073149148976377</v>
      </c>
      <c r="BT20" s="2">
        <f t="shared" si="24"/>
        <v>11.879472706456694</v>
      </c>
      <c r="BU20" s="2">
        <f t="shared" si="24"/>
        <v>50.763196396377957</v>
      </c>
      <c r="BV20" s="2">
        <f t="shared" si="24"/>
        <v>13.699867500000002</v>
      </c>
      <c r="BW20" s="2">
        <f t="shared" si="24"/>
        <v>32.563656375118107</v>
      </c>
      <c r="BX20" s="2">
        <f t="shared" si="24"/>
        <v>49.605743480157486</v>
      </c>
      <c r="BY20" s="2">
        <f t="shared" si="24"/>
        <v>59.439104753543312</v>
      </c>
      <c r="BZ20" s="2">
        <f t="shared" si="24"/>
        <v>40.615278366929132</v>
      </c>
      <c r="CA20" s="2">
        <f t="shared" si="24"/>
        <v>39.150945</v>
      </c>
      <c r="CB20" s="2">
        <f t="shared" si="24"/>
        <v>5.6808675000000006</v>
      </c>
      <c r="CC20" s="2">
        <f t="shared" si="24"/>
        <v>29.965544999999999</v>
      </c>
      <c r="CD20" s="2">
        <f t="shared" si="24"/>
        <v>18.911456396535435</v>
      </c>
      <c r="CE20" s="2">
        <f t="shared" si="24"/>
        <v>35.643032167559056</v>
      </c>
      <c r="CF20" s="2">
        <f t="shared" si="24"/>
        <v>26.378669440472439</v>
      </c>
      <c r="CG20" s="2">
        <f t="shared" si="24"/>
        <v>19.380135916377952</v>
      </c>
      <c r="CH20" s="2">
        <f t="shared" si="24"/>
        <v>4.7427538450393705</v>
      </c>
      <c r="CI20" s="2">
        <f t="shared" si="24"/>
        <v>43.334541574960632</v>
      </c>
      <c r="CJ20" s="2">
        <f t="shared" si="24"/>
        <v>42.538907696377962</v>
      </c>
      <c r="CK20" s="2">
        <f t="shared" si="24"/>
        <v>39.779233795590557</v>
      </c>
      <c r="CL20" s="2">
        <f t="shared" si="24"/>
        <v>40.773741571496075</v>
      </c>
      <c r="CM20" s="2">
        <f t="shared" si="24"/>
        <v>1.7776520200000001</v>
      </c>
      <c r="CN20" s="2">
        <f t="shared" si="24"/>
        <v>44.794012500000001</v>
      </c>
      <c r="CO20" s="2">
        <f t="shared" si="24"/>
        <v>31.777244999999997</v>
      </c>
      <c r="CP20" s="2">
        <f t="shared" si="24"/>
        <v>14.83812</v>
      </c>
      <c r="CQ20" s="2">
        <f t="shared" si="24"/>
        <v>18.668609046614172</v>
      </c>
      <c r="CR20" s="2">
        <f t="shared" si="24"/>
        <v>49.968495409133872</v>
      </c>
      <c r="CS20" s="2">
        <f t="shared" si="24"/>
        <v>12.409672500000001</v>
      </c>
      <c r="CT20" s="2">
        <f t="shared" si="24"/>
        <v>33.521421624566926</v>
      </c>
      <c r="CU20" s="2">
        <f t="shared" si="24"/>
        <v>42.783773784881888</v>
      </c>
      <c r="CV20" s="2">
        <f t="shared" si="24"/>
        <v>43.09208831055119</v>
      </c>
      <c r="CW20" s="2">
        <f t="shared" si="24"/>
        <v>30.714997500000003</v>
      </c>
      <c r="CX20" s="2">
        <f t="shared" si="24"/>
        <v>24.819911380000004</v>
      </c>
      <c r="CY20" s="2">
        <f t="shared" si="24"/>
        <v>9.9518625000000007</v>
      </c>
      <c r="CZ20" s="2">
        <f t="shared" si="24"/>
        <v>25.034120434488191</v>
      </c>
      <c r="DA20" s="2">
        <f t="shared" si="24"/>
        <v>14.112090000000002</v>
      </c>
      <c r="DB20" s="2">
        <f t="shared" si="24"/>
        <v>98.24773316000001</v>
      </c>
      <c r="DC20" s="2">
        <f t="shared" si="24"/>
        <v>30.550934360000007</v>
      </c>
      <c r="DD20" s="2">
        <f t="shared" ref="DD20:FF20" si="25">DD5+DD9+DD11+DD13+DD15+DD17+DD19</f>
        <v>19.3816512</v>
      </c>
      <c r="DE20" s="2">
        <f t="shared" si="25"/>
        <v>16.129538139999998</v>
      </c>
      <c r="DF20" s="2">
        <f t="shared" si="25"/>
        <v>29.869301249448817</v>
      </c>
      <c r="DG20" s="2">
        <f t="shared" si="25"/>
        <v>21.066007803464569</v>
      </c>
      <c r="DH20" s="2">
        <f t="shared" si="25"/>
        <v>31.575037740000003</v>
      </c>
      <c r="DI20" s="2">
        <f t="shared" si="25"/>
        <v>25.867756580000002</v>
      </c>
      <c r="DJ20" s="2">
        <f t="shared" si="25"/>
        <v>3.2598019599999999</v>
      </c>
      <c r="DK20" s="2">
        <f t="shared" si="25"/>
        <v>37.434817913228343</v>
      </c>
      <c r="DL20" s="2">
        <f t="shared" si="25"/>
        <v>24.040747566141736</v>
      </c>
      <c r="DM20" s="2">
        <f t="shared" si="25"/>
        <v>32.963037751338582</v>
      </c>
      <c r="DN20" s="2">
        <f t="shared" si="25"/>
        <v>50.186591546141734</v>
      </c>
      <c r="DO20" s="2">
        <f t="shared" si="25"/>
        <v>45.02744764157481</v>
      </c>
      <c r="DP20" s="2">
        <f t="shared" si="25"/>
        <v>11.480998569291339</v>
      </c>
      <c r="DQ20" s="2">
        <f t="shared" si="25"/>
        <v>48.02309090582677</v>
      </c>
      <c r="DR20" s="2">
        <f t="shared" si="25"/>
        <v>13.55373</v>
      </c>
      <c r="DS20" s="2">
        <f t="shared" si="25"/>
        <v>12.724425000000004</v>
      </c>
      <c r="DT20" s="2">
        <f t="shared" si="25"/>
        <v>50.888849992598431</v>
      </c>
      <c r="DU20" s="2">
        <f t="shared" si="25"/>
        <v>43.175488564724418</v>
      </c>
      <c r="DV20" s="2">
        <f t="shared" si="25"/>
        <v>21.180717532598429</v>
      </c>
      <c r="DW20" s="2">
        <f t="shared" si="25"/>
        <v>35.618882672913379</v>
      </c>
      <c r="DX20" s="2">
        <f t="shared" si="25"/>
        <v>42.250244317952756</v>
      </c>
      <c r="DY20" s="2">
        <f t="shared" si="25"/>
        <v>19.886720721889763</v>
      </c>
      <c r="DZ20" s="2">
        <f t="shared" si="25"/>
        <v>33.590623951811025</v>
      </c>
      <c r="EA20" s="2">
        <f t="shared" si="25"/>
        <v>61.848452504251973</v>
      </c>
      <c r="EB20" s="2">
        <f t="shared" si="25"/>
        <v>17.650646041259844</v>
      </c>
      <c r="EC20" s="2">
        <f t="shared" si="25"/>
        <v>51.754497262519692</v>
      </c>
      <c r="ED20" s="2">
        <f t="shared" si="25"/>
        <v>53.185391858897646</v>
      </c>
      <c r="EE20" s="2">
        <f t="shared" si="25"/>
        <v>37.346196895433074</v>
      </c>
      <c r="EF20" s="2">
        <f t="shared" si="25"/>
        <v>3.0275774999999996</v>
      </c>
      <c r="EG20" s="2">
        <f t="shared" si="25"/>
        <v>24.966064634645669</v>
      </c>
      <c r="EH20" s="2">
        <f t="shared" si="25"/>
        <v>21.897445303779527</v>
      </c>
      <c r="EI20" s="2">
        <f t="shared" si="25"/>
        <v>7.4209500000000004</v>
      </c>
      <c r="EJ20" s="2">
        <f t="shared" si="25"/>
        <v>19.230872346771655</v>
      </c>
      <c r="EK20" s="2">
        <f t="shared" si="25"/>
        <v>24.703188684881891</v>
      </c>
      <c r="EL20" s="2">
        <f t="shared" si="25"/>
        <v>6.4945124999999999</v>
      </c>
      <c r="EM20" s="2">
        <f t="shared" si="25"/>
        <v>30.465044999999996</v>
      </c>
      <c r="EN20" s="2">
        <f t="shared" si="25"/>
        <v>30.465180000000004</v>
      </c>
      <c r="EO20" s="2">
        <f t="shared" si="25"/>
        <v>30.465315000000004</v>
      </c>
      <c r="EP20" s="2">
        <f t="shared" si="25"/>
        <v>30.465450000000004</v>
      </c>
      <c r="EQ20" s="2">
        <f t="shared" si="25"/>
        <v>30.465584999999997</v>
      </c>
      <c r="ER20" s="2">
        <f t="shared" si="25"/>
        <v>30.465720000000005</v>
      </c>
      <c r="ES20" s="2">
        <f t="shared" si="25"/>
        <v>30.465854999999998</v>
      </c>
      <c r="ET20" s="2">
        <f t="shared" si="25"/>
        <v>30.465989999999998</v>
      </c>
      <c r="EU20" s="2">
        <f t="shared" si="25"/>
        <v>30.466124999999995</v>
      </c>
      <c r="EV20" s="2">
        <f t="shared" si="25"/>
        <v>30.466260000000005</v>
      </c>
      <c r="EW20" s="2">
        <f t="shared" si="25"/>
        <v>30.466395000000002</v>
      </c>
      <c r="EX20" s="2">
        <f t="shared" si="25"/>
        <v>30.466530000000002</v>
      </c>
      <c r="EY20" s="2">
        <f t="shared" si="25"/>
        <v>30.466664999999995</v>
      </c>
      <c r="EZ20" s="2">
        <f t="shared" si="25"/>
        <v>30.466799999999996</v>
      </c>
      <c r="FA20" s="2">
        <f t="shared" si="25"/>
        <v>30.466934999999999</v>
      </c>
      <c r="FB20" s="2">
        <f t="shared" si="25"/>
        <v>30.46707</v>
      </c>
      <c r="FC20" s="2">
        <f t="shared" si="25"/>
        <v>30.467205000000003</v>
      </c>
      <c r="FD20" s="2">
        <f t="shared" si="25"/>
        <v>30.46734</v>
      </c>
      <c r="FE20" s="2">
        <f t="shared" si="25"/>
        <v>30.467475</v>
      </c>
      <c r="FF20" s="2">
        <f t="shared" si="25"/>
        <v>30.467610000000001</v>
      </c>
    </row>
    <row r="21" spans="5:162" x14ac:dyDescent="0.55000000000000004">
      <c r="E21" s="28"/>
      <c r="F21" s="28">
        <f>$E$20*F20*0.04*166.14</f>
        <v>3.077352640680121E-2</v>
      </c>
      <c r="G21" s="2" t="s">
        <v>21</v>
      </c>
      <c r="H21" s="2">
        <f>H3-H20</f>
        <v>22.238267735716597</v>
      </c>
      <c r="I21" s="2">
        <f t="shared" ref="I21:AW21" si="26">I3-I20</f>
        <v>8.6304255730672317</v>
      </c>
      <c r="J21" s="2">
        <f t="shared" si="26"/>
        <v>23.040499001889899</v>
      </c>
      <c r="K21" s="2">
        <f t="shared" si="26"/>
        <v>11.097642915567217</v>
      </c>
      <c r="L21" s="2">
        <f t="shared" si="26"/>
        <v>11.327747529005684</v>
      </c>
      <c r="M21" s="2">
        <f t="shared" si="26"/>
        <v>8.7677914358257318</v>
      </c>
      <c r="N21" s="2">
        <f t="shared" si="26"/>
        <v>21.275641330405698</v>
      </c>
      <c r="O21" s="2">
        <f t="shared" si="26"/>
        <v>9.6507598718421264</v>
      </c>
      <c r="P21" s="2">
        <f t="shared" si="26"/>
        <v>11.517607123533015</v>
      </c>
      <c r="Q21" s="2">
        <f t="shared" si="26"/>
        <v>19.172463409588829</v>
      </c>
      <c r="R21" s="2">
        <f t="shared" si="26"/>
        <v>2.531206729954441</v>
      </c>
      <c r="S21" s="2">
        <f t="shared" si="26"/>
        <v>13.73083913455639</v>
      </c>
      <c r="T21" s="2">
        <f t="shared" si="26"/>
        <v>9.159370246688411</v>
      </c>
      <c r="U21" s="2">
        <f t="shared" si="26"/>
        <v>8.7267803616698174</v>
      </c>
      <c r="V21" s="2">
        <f t="shared" si="26"/>
        <v>6.1067822297268606</v>
      </c>
      <c r="W21" s="2">
        <f t="shared" si="26"/>
        <v>-2.831336493770749</v>
      </c>
      <c r="X21" s="2">
        <f t="shared" si="26"/>
        <v>7.7305257083541683</v>
      </c>
      <c r="Y21" s="2">
        <f t="shared" si="26"/>
        <v>6.3282280405075362</v>
      </c>
      <c r="Z21" s="2">
        <f t="shared" si="26"/>
        <v>5.7261672333374882</v>
      </c>
      <c r="AA21" s="2">
        <f t="shared" si="26"/>
        <v>10.581026449921357</v>
      </c>
      <c r="AB21" s="2">
        <f t="shared" si="26"/>
        <v>9.6982399704308264</v>
      </c>
      <c r="AC21" s="2">
        <f t="shared" si="26"/>
        <v>8.7593571221095061</v>
      </c>
      <c r="AD21" s="2">
        <f t="shared" si="26"/>
        <v>8.4277345097681717</v>
      </c>
      <c r="AE21" s="2">
        <f t="shared" si="26"/>
        <v>5.7853761384703368</v>
      </c>
      <c r="AF21" s="2">
        <f t="shared" si="26"/>
        <v>8.1735491825718114</v>
      </c>
      <c r="AG21" s="2">
        <f t="shared" si="26"/>
        <v>11.575249126176395</v>
      </c>
      <c r="AH21" s="2">
        <f t="shared" si="26"/>
        <v>-10.154673047716537</v>
      </c>
      <c r="AI21" s="2">
        <f t="shared" si="26"/>
        <v>9.7283437654319602</v>
      </c>
      <c r="AJ21" s="2">
        <f t="shared" si="26"/>
        <v>5.470878012238451</v>
      </c>
      <c r="AK21" s="2">
        <f t="shared" si="26"/>
        <v>7.510223508542694</v>
      </c>
      <c r="AL21" s="2">
        <f t="shared" si="26"/>
        <v>34.38271604938268</v>
      </c>
      <c r="AM21" s="2">
        <f t="shared" si="26"/>
        <v>-11.372144600796943</v>
      </c>
      <c r="AN21" s="2">
        <f>AN3-AN20</f>
        <v>11.676653544636586</v>
      </c>
      <c r="AO21" s="2">
        <f t="shared" si="26"/>
        <v>6.4697760867600778</v>
      </c>
      <c r="AP21" s="2">
        <f t="shared" si="26"/>
        <v>10.48952788445623</v>
      </c>
      <c r="AQ21" s="2">
        <f>AQ3-AQ20</f>
        <v>13.022516787313759</v>
      </c>
      <c r="AR21" s="2">
        <f t="shared" si="26"/>
        <v>33.138921492884101</v>
      </c>
      <c r="AS21" s="2">
        <f t="shared" si="26"/>
        <v>12.844578405054623</v>
      </c>
      <c r="AT21" s="2">
        <f t="shared" si="26"/>
        <v>6.775247736875766</v>
      </c>
      <c r="AU21" s="2">
        <f t="shared" si="26"/>
        <v>11.745531430965698</v>
      </c>
      <c r="AV21" s="2">
        <f t="shared" si="26"/>
        <v>12.311573332246603</v>
      </c>
      <c r="AW21" s="2">
        <f t="shared" si="26"/>
        <v>7.9377524684028913</v>
      </c>
      <c r="AX21" s="2">
        <f>AX3-AX20</f>
        <v>-24.074364323271737</v>
      </c>
      <c r="AY21" s="2">
        <f>AY3-AY20</f>
        <v>11.555248493090138</v>
      </c>
      <c r="AZ21" s="2">
        <f>AZ3-AZ20</f>
        <v>17.573378535580787</v>
      </c>
      <c r="BA21" s="2" t="e">
        <f>#REF!-BA20</f>
        <v>#REF!</v>
      </c>
      <c r="BB21" s="2">
        <f>BA3-BB20</f>
        <v>15.373270532886025</v>
      </c>
      <c r="BC21" s="2">
        <f>BB3-BC20</f>
        <v>26.300103884578974</v>
      </c>
      <c r="BD21" s="2">
        <f t="shared" ref="BD21:DC21" si="27">BD3-BD20</f>
        <v>7.2234932635442917</v>
      </c>
      <c r="BE21" s="2">
        <f t="shared" si="27"/>
        <v>-58.185048811653544</v>
      </c>
      <c r="BF21" s="2">
        <f t="shared" si="27"/>
        <v>-39.161102880472441</v>
      </c>
      <c r="BG21" s="2">
        <f t="shared" si="27"/>
        <v>-31.094331065196847</v>
      </c>
      <c r="BH21" s="2">
        <f t="shared" si="27"/>
        <v>16.172771301530126</v>
      </c>
      <c r="BI21" s="2">
        <f t="shared" si="27"/>
        <v>-2.4696197783124489</v>
      </c>
      <c r="BJ21" s="2">
        <f t="shared" si="27"/>
        <v>7.2453784460430626</v>
      </c>
      <c r="BK21" s="2">
        <f t="shared" si="27"/>
        <v>4.628670828980141</v>
      </c>
      <c r="BL21" s="2">
        <f t="shared" si="27"/>
        <v>10.977773749112355</v>
      </c>
      <c r="BM21" s="2">
        <f t="shared" si="27"/>
        <v>8.833927488949108</v>
      </c>
      <c r="BN21" s="2">
        <f t="shared" si="27"/>
        <v>9.0948318343482111</v>
      </c>
      <c r="BO21" s="2">
        <f t="shared" si="27"/>
        <v>17.271102530864219</v>
      </c>
      <c r="BP21" s="2">
        <f t="shared" si="27"/>
        <v>11.261564351851691</v>
      </c>
      <c r="BQ21" s="2">
        <f t="shared" si="27"/>
        <v>12.617861481481423</v>
      </c>
      <c r="BR21" s="2">
        <f t="shared" si="27"/>
        <v>27.377296049382679</v>
      </c>
      <c r="BS21" s="2">
        <f t="shared" si="27"/>
        <v>6.482406406579436</v>
      </c>
      <c r="BT21" s="2">
        <f t="shared" si="27"/>
        <v>13.676082849099119</v>
      </c>
      <c r="BU21" s="2">
        <f t="shared" si="27"/>
        <v>11.057791257942647</v>
      </c>
      <c r="BV21" s="2">
        <f t="shared" si="27"/>
        <v>14.417416450617049</v>
      </c>
      <c r="BW21" s="2">
        <f t="shared" si="27"/>
        <v>13.423997945869552</v>
      </c>
      <c r="BX21" s="2">
        <f t="shared" si="27"/>
        <v>24.622651581570906</v>
      </c>
      <c r="BY21" s="2">
        <f t="shared" si="27"/>
        <v>25.591759443987549</v>
      </c>
      <c r="BZ21" s="2">
        <f t="shared" si="27"/>
        <v>10.341511756527368</v>
      </c>
      <c r="CA21" s="2">
        <f t="shared" si="27"/>
        <v>-13.595389444444187</v>
      </c>
      <c r="CB21" s="2">
        <f t="shared" si="27"/>
        <v>19.874688055555811</v>
      </c>
      <c r="CC21" s="2">
        <f t="shared" si="27"/>
        <v>-4.4099894444441858</v>
      </c>
      <c r="CD21" s="2">
        <f t="shared" si="27"/>
        <v>13.032988047909008</v>
      </c>
      <c r="CE21" s="2">
        <f t="shared" si="27"/>
        <v>-14.28500747620086</v>
      </c>
      <c r="CF21" s="2">
        <f t="shared" si="27"/>
        <v>16.059602164466309</v>
      </c>
      <c r="CG21" s="2">
        <f t="shared" si="27"/>
        <v>34.940851737943035</v>
      </c>
      <c r="CH21" s="2">
        <f t="shared" si="27"/>
        <v>10.25724615496063</v>
      </c>
      <c r="CI21" s="2">
        <f t="shared" si="27"/>
        <v>18.023483116396989</v>
      </c>
      <c r="CJ21" s="2">
        <f t="shared" si="27"/>
        <v>14.621586130782589</v>
      </c>
      <c r="CK21" s="2">
        <f t="shared" si="27"/>
        <v>12.782494599470986</v>
      </c>
      <c r="CL21" s="2">
        <f t="shared" si="27"/>
        <v>11.170702872948524</v>
      </c>
      <c r="CM21" s="2">
        <f t="shared" si="27"/>
        <v>19.580372671358194</v>
      </c>
      <c r="CN21" s="2">
        <f t="shared" si="27"/>
        <v>-23.435987808641805</v>
      </c>
      <c r="CO21" s="2">
        <f t="shared" si="27"/>
        <v>-10.419220308641801</v>
      </c>
      <c r="CP21" s="2">
        <f t="shared" si="27"/>
        <v>6.5199046913581959</v>
      </c>
      <c r="CQ21" s="2">
        <f t="shared" si="27"/>
        <v>9.4486749040034326</v>
      </c>
      <c r="CR21" s="2">
        <f t="shared" si="27"/>
        <v>16.759899652594534</v>
      </c>
      <c r="CS21" s="2">
        <f t="shared" si="27"/>
        <v>8.9483521913581949</v>
      </c>
      <c r="CT21" s="2">
        <f t="shared" si="27"/>
        <v>15.73783763469234</v>
      </c>
      <c r="CU21" s="2">
        <f t="shared" si="27"/>
        <v>16.660670659562562</v>
      </c>
      <c r="CV21" s="2">
        <f t="shared" si="27"/>
        <v>20.858528973399856</v>
      </c>
      <c r="CW21" s="2">
        <f t="shared" si="27"/>
        <v>28.945496327160491</v>
      </c>
      <c r="CX21" s="2">
        <f t="shared" si="27"/>
        <v>15.828236768148148</v>
      </c>
      <c r="CY21" s="2">
        <f t="shared" si="27"/>
        <v>11.406162191358195</v>
      </c>
      <c r="CZ21" s="2">
        <f t="shared" si="27"/>
        <v>23.422669688968949</v>
      </c>
      <c r="DA21" s="2">
        <f t="shared" si="27"/>
        <v>7.2459346913581939</v>
      </c>
      <c r="DB21" s="2">
        <f t="shared" si="27"/>
        <v>-76.889708468641814</v>
      </c>
      <c r="DC21" s="2">
        <f t="shared" si="27"/>
        <v>-9.1929096686418106</v>
      </c>
      <c r="DD21" s="2">
        <f t="shared" ref="DD21:FF21" si="28">DD3-DD20</f>
        <v>1.9763734913581956</v>
      </c>
      <c r="DE21" s="2">
        <f t="shared" si="28"/>
        <v>5.2284865513581984</v>
      </c>
      <c r="DF21" s="2">
        <f t="shared" si="28"/>
        <v>9.1430444295636661</v>
      </c>
      <c r="DG21" s="2">
        <f t="shared" si="28"/>
        <v>0.29201688789362734</v>
      </c>
      <c r="DH21" s="2">
        <f t="shared" si="28"/>
        <v>-10.217013048641807</v>
      </c>
      <c r="DI21" s="2">
        <f t="shared" si="28"/>
        <v>-4.5097318886418059</v>
      </c>
      <c r="DJ21" s="2">
        <f t="shared" si="28"/>
        <v>18.098222731358195</v>
      </c>
      <c r="DK21" s="2">
        <f t="shared" si="28"/>
        <v>-23.2372870490304</v>
      </c>
      <c r="DL21" s="2">
        <f t="shared" si="28"/>
        <v>18.150610458549767</v>
      </c>
      <c r="DM21" s="2">
        <f t="shared" si="28"/>
        <v>38.703628915328331</v>
      </c>
      <c r="DN21" s="2">
        <f t="shared" si="28"/>
        <v>24.165260305709872</v>
      </c>
      <c r="DO21" s="2">
        <f t="shared" si="28"/>
        <v>27.472552358425133</v>
      </c>
      <c r="DP21" s="2">
        <f t="shared" si="28"/>
        <v>17.407890319598003</v>
      </c>
      <c r="DQ21" s="2">
        <f t="shared" si="28"/>
        <v>42.686785637383373</v>
      </c>
      <c r="DR21" s="2">
        <f t="shared" si="28"/>
        <v>7.8042946913581961</v>
      </c>
      <c r="DS21" s="2">
        <f t="shared" si="28"/>
        <v>8.6335996913581923</v>
      </c>
      <c r="DT21" s="2">
        <f t="shared" si="28"/>
        <v>41.888927785179739</v>
      </c>
      <c r="DU21" s="2">
        <f t="shared" si="28"/>
        <v>19.478832422929905</v>
      </c>
      <c r="DV21" s="2">
        <f t="shared" si="28"/>
        <v>16.103233084685307</v>
      </c>
      <c r="DW21" s="2">
        <f t="shared" si="28"/>
        <v>14.134203746839781</v>
      </c>
      <c r="DX21" s="2">
        <f t="shared" si="28"/>
        <v>17.25592852155323</v>
      </c>
      <c r="DY21" s="2">
        <f t="shared" si="28"/>
        <v>1.4713039694684333</v>
      </c>
      <c r="DZ21" s="2">
        <f>DZ3-DZ20</f>
        <v>15.699499504978597</v>
      </c>
      <c r="EA21" s="2">
        <f t="shared" si="28"/>
        <v>-23.391662380795402</v>
      </c>
      <c r="EB21" s="2">
        <f t="shared" si="28"/>
        <v>78.398736674789419</v>
      </c>
      <c r="EC21" s="2">
        <f t="shared" si="28"/>
        <v>40.344268169578854</v>
      </c>
      <c r="ED21" s="2">
        <f t="shared" si="28"/>
        <v>24.901027894188857</v>
      </c>
      <c r="EE21" s="2">
        <f t="shared" si="28"/>
        <v>17.499482116912574</v>
      </c>
      <c r="EF21" s="2">
        <f t="shared" si="28"/>
        <v>18.330447191358196</v>
      </c>
      <c r="EG21" s="2">
        <f t="shared" si="28"/>
        <v>10.496898328316938</v>
      </c>
      <c r="EH21" s="2">
        <f t="shared" si="28"/>
        <v>6.0037892641214299</v>
      </c>
      <c r="EI21" s="2">
        <f t="shared" si="28"/>
        <v>13.937074691358195</v>
      </c>
      <c r="EJ21" s="2">
        <f t="shared" si="28"/>
        <v>8.3925844433516303</v>
      </c>
      <c r="EK21" s="2">
        <f t="shared" si="28"/>
        <v>11.006687858328153</v>
      </c>
      <c r="EL21" s="2">
        <f t="shared" si="28"/>
        <v>14.863512191358197</v>
      </c>
      <c r="EM21" s="2">
        <f t="shared" si="28"/>
        <v>-9.1070203086418005</v>
      </c>
      <c r="EN21" s="2">
        <f t="shared" si="28"/>
        <v>-9.1071553086418078</v>
      </c>
      <c r="EO21" s="2">
        <f t="shared" si="28"/>
        <v>-9.107290308641808</v>
      </c>
      <c r="EP21" s="2">
        <f t="shared" si="28"/>
        <v>-9.1074253086418082</v>
      </c>
      <c r="EQ21" s="2">
        <f t="shared" si="28"/>
        <v>-9.1075603086418013</v>
      </c>
      <c r="ER21" s="2">
        <f t="shared" si="28"/>
        <v>-9.1076953086418087</v>
      </c>
      <c r="ES21" s="2">
        <f t="shared" si="28"/>
        <v>-9.1078303086418018</v>
      </c>
      <c r="ET21" s="2">
        <f t="shared" si="28"/>
        <v>-9.107965308641802</v>
      </c>
      <c r="EU21" s="2">
        <f t="shared" si="28"/>
        <v>-9.1081003086417986</v>
      </c>
      <c r="EV21" s="2">
        <f t="shared" si="28"/>
        <v>-9.1082353086418095</v>
      </c>
      <c r="EW21" s="2">
        <f t="shared" si="28"/>
        <v>-9.1083703086418062</v>
      </c>
      <c r="EX21" s="2">
        <f t="shared" si="28"/>
        <v>-9.1085053086418064</v>
      </c>
      <c r="EY21" s="2">
        <f t="shared" si="28"/>
        <v>-9.1086403086417995</v>
      </c>
      <c r="EZ21" s="2">
        <f t="shared" si="28"/>
        <v>-9.1087753086417997</v>
      </c>
      <c r="FA21" s="2">
        <f t="shared" si="28"/>
        <v>-9.1089103086418035</v>
      </c>
      <c r="FB21" s="2">
        <f t="shared" si="28"/>
        <v>-9.1090453086418037</v>
      </c>
      <c r="FC21" s="2">
        <f t="shared" si="28"/>
        <v>-9.1091803086418075</v>
      </c>
      <c r="FD21" s="2">
        <f t="shared" si="28"/>
        <v>-9.1093153086418042</v>
      </c>
      <c r="FE21" s="2">
        <f t="shared" si="28"/>
        <v>-9.1094503086418044</v>
      </c>
      <c r="FF21" s="2">
        <f t="shared" si="28"/>
        <v>-9.1095853086418046</v>
      </c>
    </row>
    <row r="22" spans="5:162" x14ac:dyDescent="0.55000000000000004">
      <c r="E22" s="28"/>
      <c r="F22" s="28"/>
      <c r="G22" s="2" t="s">
        <v>9</v>
      </c>
      <c r="H22" s="2"/>
      <c r="I22" s="2" t="s">
        <v>10</v>
      </c>
      <c r="J22" s="2"/>
      <c r="K22" s="2" t="s">
        <v>19</v>
      </c>
      <c r="L22" s="2"/>
      <c r="M22" s="2" t="s">
        <v>11</v>
      </c>
      <c r="N22" s="2"/>
      <c r="O22" t="s">
        <v>32</v>
      </c>
      <c r="Q22" t="s">
        <v>40</v>
      </c>
      <c r="S22" t="s">
        <v>41</v>
      </c>
      <c r="T22" t="s">
        <v>44</v>
      </c>
      <c r="U22" t="s">
        <v>49</v>
      </c>
      <c r="V22" t="s">
        <v>49</v>
      </c>
      <c r="W22" t="s">
        <v>47</v>
      </c>
      <c r="X22" t="s">
        <v>52</v>
      </c>
      <c r="Z22" t="s">
        <v>54</v>
      </c>
      <c r="AA22" t="s">
        <v>57</v>
      </c>
      <c r="AB22" t="s">
        <v>69</v>
      </c>
      <c r="AC22" t="s">
        <v>60</v>
      </c>
      <c r="AD22" t="s">
        <v>70</v>
      </c>
      <c r="AE22" t="s">
        <v>72</v>
      </c>
      <c r="AF22" t="s">
        <v>73</v>
      </c>
      <c r="AG22" t="s">
        <v>75</v>
      </c>
      <c r="AH22" t="s">
        <v>76</v>
      </c>
      <c r="AI22" t="s">
        <v>79</v>
      </c>
      <c r="AJ22" t="s">
        <v>77</v>
      </c>
      <c r="AK22" t="s">
        <v>78</v>
      </c>
      <c r="AL22" t="s">
        <v>80</v>
      </c>
      <c r="AM22" t="s">
        <v>113</v>
      </c>
      <c r="AN22" t="s">
        <v>90</v>
      </c>
      <c r="AO22" t="s">
        <v>111</v>
      </c>
      <c r="AP22" t="s">
        <v>132</v>
      </c>
      <c r="AQ22" t="s">
        <v>129</v>
      </c>
      <c r="AR22" t="s">
        <v>130</v>
      </c>
      <c r="AS22" s="30" t="s">
        <v>90</v>
      </c>
      <c r="AT22" t="s">
        <v>148</v>
      </c>
      <c r="AU22" t="s">
        <v>153</v>
      </c>
      <c r="AV22" t="s">
        <v>162</v>
      </c>
      <c r="AW22" t="s">
        <v>163</v>
      </c>
      <c r="AX22" t="s">
        <v>189</v>
      </c>
      <c r="AY22" t="s">
        <v>192</v>
      </c>
      <c r="AZ22" t="s">
        <v>197</v>
      </c>
      <c r="BA22" t="s">
        <v>198</v>
      </c>
      <c r="BB22" t="s">
        <v>199</v>
      </c>
      <c r="BC22" t="s">
        <v>200</v>
      </c>
      <c r="BD22" s="34" t="s">
        <v>9</v>
      </c>
      <c r="BE22" s="34" t="s">
        <v>201</v>
      </c>
      <c r="BF22" t="s">
        <v>206</v>
      </c>
      <c r="BG22" t="s">
        <v>207</v>
      </c>
      <c r="BH22" t="s">
        <v>208</v>
      </c>
      <c r="BI22" t="s">
        <v>209</v>
      </c>
      <c r="BJ22" t="s">
        <v>210</v>
      </c>
      <c r="BK22" t="s">
        <v>211</v>
      </c>
      <c r="BL22" t="s">
        <v>212</v>
      </c>
      <c r="BM22" t="s">
        <v>213</v>
      </c>
      <c r="BN22" t="s">
        <v>215</v>
      </c>
      <c r="BR22" t="s">
        <v>235</v>
      </c>
    </row>
    <row r="23" spans="5:162" x14ac:dyDescent="0.55000000000000004">
      <c r="E23" s="28"/>
      <c r="F23" s="28"/>
      <c r="G23" s="2" t="s">
        <v>16</v>
      </c>
      <c r="H23" s="2" t="s">
        <v>17</v>
      </c>
      <c r="I23" s="2" t="s">
        <v>16</v>
      </c>
      <c r="J23" s="2" t="s">
        <v>17</v>
      </c>
      <c r="K23" s="2" t="s">
        <v>16</v>
      </c>
      <c r="L23" s="2" t="s">
        <v>17</v>
      </c>
      <c r="M23" s="2" t="s">
        <v>16</v>
      </c>
      <c r="N23" s="2" t="s">
        <v>17</v>
      </c>
      <c r="O23" s="2" t="s">
        <v>16</v>
      </c>
      <c r="P23" s="2" t="s">
        <v>17</v>
      </c>
      <c r="Q23" s="2" t="s">
        <v>16</v>
      </c>
      <c r="R23" s="2" t="s">
        <v>17</v>
      </c>
      <c r="S23" s="2" t="s">
        <v>17</v>
      </c>
      <c r="T23" s="2" t="s">
        <v>17</v>
      </c>
      <c r="U23" s="2" t="s">
        <v>46</v>
      </c>
      <c r="V23" s="2" t="s">
        <v>46</v>
      </c>
      <c r="W23" s="2" t="s">
        <v>46</v>
      </c>
      <c r="X23" s="2" t="s">
        <v>46</v>
      </c>
      <c r="Z23" s="2" t="s">
        <v>46</v>
      </c>
      <c r="AA23" s="2" t="s">
        <v>46</v>
      </c>
    </row>
    <row r="24" spans="5:162" x14ac:dyDescent="0.55000000000000004">
      <c r="F24" t="s">
        <v>18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v>94.753086419753259</v>
      </c>
      <c r="R24" s="2"/>
      <c r="S24" s="2"/>
      <c r="T24" s="2">
        <v>27.654320987654074</v>
      </c>
      <c r="U24" s="2"/>
      <c r="V24" s="2"/>
      <c r="W24" s="2"/>
      <c r="X24" s="2"/>
      <c r="Y24" s="2">
        <f>Z3</f>
        <v>36.604938271605207</v>
      </c>
      <c r="Z24" s="2">
        <v>27.500000000000099</v>
      </c>
      <c r="AA24" s="2">
        <v>33.580246913580439</v>
      </c>
      <c r="AB24" s="2">
        <v>22.345679012345727</v>
      </c>
      <c r="AC24" s="2">
        <v>28.271604938272105</v>
      </c>
      <c r="AD24" s="2">
        <f t="shared" ref="AD24:AK24" si="29">AE3</f>
        <v>35.123456790123882</v>
      </c>
      <c r="AE24" s="2">
        <f t="shared" si="29"/>
        <v>49.166666666666295</v>
      </c>
      <c r="AF24" s="2">
        <v>59.444444444444116</v>
      </c>
      <c r="AG24" s="2">
        <f t="shared" si="29"/>
        <v>0</v>
      </c>
      <c r="AH24" s="2">
        <f t="shared" si="29"/>
        <v>10.432098765431959</v>
      </c>
      <c r="AI24" s="2">
        <f t="shared" si="29"/>
        <v>32.376543209876246</v>
      </c>
      <c r="AJ24" s="2">
        <v>17.716049382715923</v>
      </c>
      <c r="AK24" s="2">
        <f t="shared" si="29"/>
        <v>34.38271604938268</v>
      </c>
      <c r="AL24" s="2">
        <f>AM3</f>
        <v>21.820987654321172</v>
      </c>
      <c r="AM24" s="2">
        <v>36.388888888888559</v>
      </c>
      <c r="AN24" s="2">
        <v>32.685185185185276</v>
      </c>
      <c r="AO24" s="2">
        <v>19.25925925925938</v>
      </c>
      <c r="AP24" s="2">
        <v>36.388888888888559</v>
      </c>
      <c r="AQ24" s="2">
        <v>85.462962962962848</v>
      </c>
      <c r="AR24" s="2">
        <v>33.086419753086119</v>
      </c>
      <c r="AS24" s="2">
        <v>31.26543209876553</v>
      </c>
      <c r="AT24" s="2">
        <f>AU3</f>
        <v>58.425925925926322</v>
      </c>
      <c r="AU24" s="2">
        <f>AV3</f>
        <v>48.919753086419824</v>
      </c>
      <c r="AV24" s="2">
        <f>AW3</f>
        <v>24.938271604938322</v>
      </c>
      <c r="AW24" s="2">
        <f>AX3</f>
        <v>74.444444444444798</v>
      </c>
      <c r="AX24" s="2">
        <f>AY3</f>
        <v>23.858024691357855</v>
      </c>
      <c r="AY24" s="2">
        <v>59.320987654320945</v>
      </c>
      <c r="AZ24" s="2">
        <v>59.598765432098624</v>
      </c>
      <c r="BA24" s="2">
        <v>72.314814814815193</v>
      </c>
      <c r="BB24" s="2">
        <v>76.851851851852075</v>
      </c>
      <c r="BC24" s="2">
        <v>27.067901234567913</v>
      </c>
      <c r="BD24" s="2">
        <v>0</v>
      </c>
      <c r="BE24" s="2">
        <v>0</v>
      </c>
      <c r="BF24" s="2">
        <v>0</v>
      </c>
      <c r="BG24" s="2">
        <v>49.87654320987658</v>
      </c>
      <c r="BH24" s="2">
        <v>22.37654320987653</v>
      </c>
      <c r="BI24" s="2">
        <v>31.574074074074559</v>
      </c>
      <c r="BJ24" s="2">
        <v>40.77160493827148</v>
      </c>
      <c r="BK24" s="2">
        <v>37.006172839506057</v>
      </c>
      <c r="BL24" s="2">
        <v>27.098765432098716</v>
      </c>
      <c r="BM24" s="2">
        <v>25.555555555555259</v>
      </c>
      <c r="BN24" s="2">
        <f t="shared" ref="BN24:CD24" si="30">BO3</f>
        <v>18.364197530864217</v>
      </c>
      <c r="BO24" s="2">
        <f t="shared" si="30"/>
        <v>11.851851851851691</v>
      </c>
      <c r="BP24" s="2">
        <f t="shared" si="30"/>
        <v>28.981481481481424</v>
      </c>
      <c r="BQ24" s="2">
        <f t="shared" si="30"/>
        <v>34.38271604938268</v>
      </c>
      <c r="BR24" s="2">
        <f t="shared" si="30"/>
        <v>25.555555555555813</v>
      </c>
      <c r="BS24" s="2">
        <f t="shared" si="30"/>
        <v>25.555555555555813</v>
      </c>
      <c r="BT24" s="2">
        <f t="shared" si="30"/>
        <v>61.820987654320604</v>
      </c>
      <c r="BU24" s="2">
        <f t="shared" si="30"/>
        <v>28.11728395061705</v>
      </c>
      <c r="BV24" s="2">
        <f t="shared" si="30"/>
        <v>45.987654320987659</v>
      </c>
      <c r="BW24" s="2">
        <f t="shared" si="30"/>
        <v>74.228395061728392</v>
      </c>
      <c r="BX24" s="2">
        <f t="shared" si="30"/>
        <v>85.03086419753086</v>
      </c>
      <c r="BY24" s="2">
        <f t="shared" si="30"/>
        <v>50.9567901234565</v>
      </c>
      <c r="BZ24" s="2">
        <f t="shared" si="30"/>
        <v>25.555555555555813</v>
      </c>
      <c r="CA24" s="2">
        <f t="shared" si="30"/>
        <v>25.555555555555813</v>
      </c>
      <c r="CB24" s="2">
        <f t="shared" si="30"/>
        <v>25.555555555555813</v>
      </c>
      <c r="CC24" s="2">
        <f t="shared" si="30"/>
        <v>31.944444444444443</v>
      </c>
      <c r="CD24" s="2">
        <f t="shared" si="30"/>
        <v>21.358024691358196</v>
      </c>
      <c r="CE24" s="2">
        <v>42.438271604938748</v>
      </c>
      <c r="CF24" s="2">
        <f t="shared" ref="CF24:CW24" si="31">CG3</f>
        <v>54.320987654320987</v>
      </c>
      <c r="CG24" s="2">
        <f t="shared" si="31"/>
        <v>15</v>
      </c>
      <c r="CH24" s="2">
        <f t="shared" si="31"/>
        <v>61.35802469135762</v>
      </c>
      <c r="CI24" s="2">
        <f t="shared" si="31"/>
        <v>57.16049382716055</v>
      </c>
      <c r="CJ24" s="2">
        <f t="shared" si="31"/>
        <v>52.561728395061543</v>
      </c>
      <c r="CK24" s="2">
        <f t="shared" si="31"/>
        <v>51.944444444444599</v>
      </c>
      <c r="CL24" s="2">
        <f t="shared" si="31"/>
        <v>21.358024691358196</v>
      </c>
      <c r="CM24" s="2">
        <f t="shared" si="31"/>
        <v>21.358024691358196</v>
      </c>
      <c r="CN24" s="2">
        <f t="shared" si="31"/>
        <v>21.358024691358196</v>
      </c>
      <c r="CO24" s="2">
        <f t="shared" si="31"/>
        <v>21.358024691358196</v>
      </c>
      <c r="CP24" s="2">
        <f t="shared" si="31"/>
        <v>28.117283950617605</v>
      </c>
      <c r="CQ24" s="2">
        <f t="shared" si="31"/>
        <v>66.728395061728406</v>
      </c>
      <c r="CR24" s="2">
        <f t="shared" si="31"/>
        <v>21.358024691358196</v>
      </c>
      <c r="CS24" s="2">
        <f t="shared" si="31"/>
        <v>49.259259259259267</v>
      </c>
      <c r="CT24" s="2">
        <f t="shared" si="31"/>
        <v>59.44444444444445</v>
      </c>
      <c r="CU24" s="2">
        <f t="shared" si="31"/>
        <v>63.950617283951047</v>
      </c>
      <c r="CV24" s="2">
        <f t="shared" si="31"/>
        <v>59.660493827160494</v>
      </c>
      <c r="CW24" s="2">
        <f t="shared" si="31"/>
        <v>40.648148148148152</v>
      </c>
    </row>
    <row r="25" spans="5:162" x14ac:dyDescent="0.55000000000000004">
      <c r="F25" t="s">
        <v>2</v>
      </c>
      <c r="G25" s="2">
        <v>39.331642499999994</v>
      </c>
      <c r="H25" s="2">
        <v>11.449282499999999</v>
      </c>
      <c r="I25" s="2">
        <v>55.038622500000002</v>
      </c>
      <c r="J25" s="2">
        <v>13.284067499999999</v>
      </c>
      <c r="K25" s="2">
        <v>17.790030000000002</v>
      </c>
      <c r="L25" s="2">
        <v>3.4493175000000003</v>
      </c>
      <c r="M25" s="2">
        <v>4.2933375000000007</v>
      </c>
      <c r="N25" s="2">
        <v>0.6969375000000001</v>
      </c>
      <c r="O25" s="2">
        <v>57.471254999999999</v>
      </c>
      <c r="P25" s="2">
        <v>18.013455</v>
      </c>
      <c r="Q25" s="2">
        <v>51.882592500000015</v>
      </c>
      <c r="R25" s="2">
        <v>11.530552500000001</v>
      </c>
      <c r="S25" s="2">
        <v>11.165849999999999</v>
      </c>
      <c r="T25" s="2">
        <v>12.377745000000001</v>
      </c>
      <c r="U25" s="2">
        <v>8.7356475000000007</v>
      </c>
      <c r="V25" s="2">
        <v>47.937622499999996</v>
      </c>
      <c r="W25" s="2">
        <v>9.7463250000000006</v>
      </c>
      <c r="X25" s="2">
        <v>11.798730000000001</v>
      </c>
      <c r="Y25" s="2">
        <v>18.651870000000002</v>
      </c>
      <c r="Z25" s="2">
        <v>10.519807500000001</v>
      </c>
      <c r="AA25" s="2">
        <v>16.624912500000004</v>
      </c>
      <c r="AB25" s="2">
        <v>6.8025825000000015</v>
      </c>
      <c r="AC25" s="2">
        <v>13.358722500000001</v>
      </c>
      <c r="AD25" s="2">
        <v>21.166852500000001</v>
      </c>
      <c r="AE25" s="2">
        <v>30.598357500000002</v>
      </c>
      <c r="AF25" s="2">
        <v>36.053505000000001</v>
      </c>
      <c r="AG25" s="2">
        <v>4.3799400000000004</v>
      </c>
      <c r="AH25" s="2">
        <f>AI5</f>
        <v>0.70375500000000002</v>
      </c>
      <c r="AI25" s="2">
        <f>AJ5</f>
        <v>19.962585000000001</v>
      </c>
      <c r="AJ25" s="2">
        <v>4.1843250000000003</v>
      </c>
      <c r="AK25" s="2">
        <f>AL5</f>
        <v>0</v>
      </c>
      <c r="AL25" s="2">
        <f>AM5</f>
        <v>22.5195525</v>
      </c>
      <c r="AM25" s="2">
        <v>18.155205000000002</v>
      </c>
      <c r="AN25" s="2">
        <v>12.493304999999999</v>
      </c>
      <c r="AO25" s="2">
        <v>3.3001425000000002</v>
      </c>
      <c r="AP25" s="2">
        <v>15.648592499999999</v>
      </c>
      <c r="AQ25" s="2">
        <v>35.909797500000003</v>
      </c>
      <c r="AR25" s="2">
        <v>12.4278975</v>
      </c>
      <c r="AS25" s="2">
        <v>10.9875825</v>
      </c>
      <c r="AT25" s="2">
        <f>AU5</f>
        <v>28.509435</v>
      </c>
      <c r="AU25" s="2">
        <v>27.798862499999998</v>
      </c>
      <c r="AV25" s="2">
        <v>10.8543375</v>
      </c>
      <c r="AW25" s="2">
        <f>AX5</f>
        <v>39.259349999999998</v>
      </c>
      <c r="AX25" s="2">
        <v>9.2736225000000001</v>
      </c>
      <c r="AY25" s="2">
        <v>30.652290000000004</v>
      </c>
      <c r="AZ25" s="2">
        <v>26.485447500000003</v>
      </c>
      <c r="BA25" s="2">
        <v>24.090209999999999</v>
      </c>
      <c r="BB25" s="2">
        <v>21.176369999999999</v>
      </c>
      <c r="BC25" s="2">
        <v>12.65868</v>
      </c>
      <c r="BD25" s="2">
        <v>41.090220000000002</v>
      </c>
      <c r="BE25" s="2">
        <v>10.930005</v>
      </c>
      <c r="BF25" s="2">
        <v>7.5529125000000006</v>
      </c>
      <c r="BG25" s="2">
        <v>20.519797499999999</v>
      </c>
      <c r="BH25" s="2">
        <v>17.688307500000001</v>
      </c>
      <c r="BI25" s="2">
        <v>17.671432500000002</v>
      </c>
      <c r="BJ25" s="2">
        <v>22.940145000000005</v>
      </c>
      <c r="BK25" s="2">
        <v>18.583155000000001</v>
      </c>
      <c r="BL25" s="2">
        <v>10.917585000000001</v>
      </c>
      <c r="BM25" s="2">
        <v>9.1196550000000016</v>
      </c>
      <c r="BN25" s="2">
        <f t="shared" ref="BN25:CD25" si="32">BO5</f>
        <v>1.0930949999999999</v>
      </c>
      <c r="BO25" s="2">
        <f t="shared" si="32"/>
        <v>0.59028749999999997</v>
      </c>
      <c r="BP25" s="2">
        <f t="shared" si="32"/>
        <v>16.363620000000001</v>
      </c>
      <c r="BQ25" s="2">
        <f t="shared" si="32"/>
        <v>7.00542</v>
      </c>
      <c r="BR25" s="2">
        <f t="shared" si="32"/>
        <v>13.293315</v>
      </c>
      <c r="BS25" s="2">
        <f t="shared" si="32"/>
        <v>5.4079649999999999</v>
      </c>
      <c r="BT25" s="2">
        <f t="shared" si="32"/>
        <v>38.295450000000002</v>
      </c>
      <c r="BU25" s="2">
        <f t="shared" si="32"/>
        <v>13.699867500000002</v>
      </c>
      <c r="BV25" s="2">
        <f t="shared" si="32"/>
        <v>24.836895000000002</v>
      </c>
      <c r="BW25" s="2">
        <f t="shared" si="32"/>
        <v>37.787377500000005</v>
      </c>
      <c r="BX25" s="2">
        <f t="shared" si="32"/>
        <v>43.950667500000002</v>
      </c>
      <c r="BY25" s="2">
        <f t="shared" si="32"/>
        <v>30.725257500000001</v>
      </c>
      <c r="BZ25" s="2">
        <f t="shared" si="32"/>
        <v>39.150945</v>
      </c>
      <c r="CA25" s="2">
        <f t="shared" si="32"/>
        <v>5.6808675000000006</v>
      </c>
      <c r="CB25" s="2">
        <f t="shared" si="32"/>
        <v>29.965544999999999</v>
      </c>
      <c r="CC25" s="2">
        <f t="shared" si="32"/>
        <v>12.829320000000003</v>
      </c>
      <c r="CD25" s="2">
        <f t="shared" si="32"/>
        <v>8.945707500000001</v>
      </c>
      <c r="CE25" s="2">
        <v>4.9593600000000002</v>
      </c>
      <c r="CF25" s="2">
        <f t="shared" ref="CF25:CW25" si="33">CG5</f>
        <v>12.968910000000001</v>
      </c>
      <c r="CG25" s="2">
        <f t="shared" si="33"/>
        <v>0.81614249999999999</v>
      </c>
      <c r="CH25" s="2">
        <f t="shared" si="33"/>
        <v>22.153972499999998</v>
      </c>
      <c r="CI25" s="2">
        <f t="shared" si="33"/>
        <v>27.8702775</v>
      </c>
      <c r="CJ25" s="2">
        <f t="shared" si="33"/>
        <v>28.619932500000001</v>
      </c>
      <c r="CK25" s="2">
        <f t="shared" si="33"/>
        <v>26.669520000000002</v>
      </c>
      <c r="CL25" s="2">
        <f t="shared" si="33"/>
        <v>1.5319125</v>
      </c>
      <c r="CM25" s="2">
        <f t="shared" si="33"/>
        <v>44.794012500000001</v>
      </c>
      <c r="CN25" s="2">
        <f t="shared" si="33"/>
        <v>31.777244999999997</v>
      </c>
      <c r="CO25" s="2">
        <f t="shared" si="33"/>
        <v>14.83812</v>
      </c>
      <c r="CP25" s="2">
        <f t="shared" si="33"/>
        <v>11.318670000000001</v>
      </c>
      <c r="CQ25" s="2">
        <f t="shared" si="33"/>
        <v>34.696080000000009</v>
      </c>
      <c r="CR25" s="2">
        <f t="shared" si="33"/>
        <v>12.409672500000001</v>
      </c>
      <c r="CS25" s="2">
        <f t="shared" si="33"/>
        <v>20.549497500000001</v>
      </c>
      <c r="CT25" s="2">
        <f t="shared" si="33"/>
        <v>32.976382499999993</v>
      </c>
      <c r="CU25" s="2">
        <f t="shared" si="33"/>
        <v>10.241167500000001</v>
      </c>
      <c r="CV25" s="2">
        <f t="shared" si="33"/>
        <v>30.714997500000003</v>
      </c>
      <c r="CW25" s="2">
        <f t="shared" si="33"/>
        <v>18.413932500000001</v>
      </c>
    </row>
    <row r="26" spans="5:162" x14ac:dyDescent="0.55000000000000004">
      <c r="F26" t="s">
        <v>12</v>
      </c>
      <c r="G26" s="2">
        <v>3.6727258999999997</v>
      </c>
      <c r="H26" s="2">
        <v>0.68769525999999992</v>
      </c>
      <c r="I26" s="2">
        <v>0.99815105999999987</v>
      </c>
      <c r="J26" s="2">
        <v>0.39270593999999992</v>
      </c>
      <c r="K26" s="2">
        <v>9.7010492599999978</v>
      </c>
      <c r="L26" s="2">
        <v>1.5477366599999998</v>
      </c>
      <c r="M26" s="2">
        <v>8.2026401600000014</v>
      </c>
      <c r="N26" s="2">
        <v>1.0255177199999999</v>
      </c>
      <c r="O26" s="2">
        <v>1.2762849199999999</v>
      </c>
      <c r="P26" s="2">
        <v>0.36747905999999997</v>
      </c>
      <c r="Q26" s="2">
        <v>5.2638212600000003</v>
      </c>
      <c r="R26" s="2">
        <v>5.2239537799999995</v>
      </c>
      <c r="S26" s="2">
        <v>0.61708252000000008</v>
      </c>
      <c r="T26" s="2">
        <v>0.56005925999999995</v>
      </c>
      <c r="U26" s="2">
        <v>0.7392376799999999</v>
      </c>
      <c r="V26" s="2">
        <v>3.6391276000000001</v>
      </c>
      <c r="W26" s="2">
        <v>0.79723697999999998</v>
      </c>
      <c r="X26" s="2">
        <v>0.6549228399999999</v>
      </c>
      <c r="Y26" s="2">
        <v>2.6906419599999998</v>
      </c>
      <c r="Z26" s="2">
        <v>0.70485103999999998</v>
      </c>
      <c r="AA26" s="2">
        <v>0.41688169999999991</v>
      </c>
      <c r="AB26" s="2">
        <v>1.1374244599999999</v>
      </c>
      <c r="AC26" s="2">
        <v>0.58513597999999989</v>
      </c>
      <c r="AD26" s="2">
        <v>0.35828175999999995</v>
      </c>
      <c r="AE26" s="2">
        <v>0.28128721999999995</v>
      </c>
      <c r="AF26" s="2">
        <v>0.22572802</v>
      </c>
      <c r="AG26" s="2">
        <v>0.92415972000000002</v>
      </c>
      <c r="AH26" s="2">
        <f>AI15</f>
        <v>0</v>
      </c>
      <c r="AI26" s="2">
        <f>AJ15</f>
        <v>1.0006875</v>
      </c>
      <c r="AJ26" s="2">
        <v>0.96102399999999988</v>
      </c>
      <c r="AK26" s="2">
        <f>AL15</f>
        <v>0</v>
      </c>
      <c r="AL26" s="2">
        <f>AM15</f>
        <v>0</v>
      </c>
      <c r="AM26" s="2">
        <v>0.32599736000000001</v>
      </c>
      <c r="AN26" s="2">
        <v>0.60743473999999997</v>
      </c>
      <c r="AO26" s="2">
        <v>1.46788908</v>
      </c>
      <c r="AP26" s="2">
        <v>0.44717647999999988</v>
      </c>
      <c r="AQ26" s="2">
        <v>0.17658815999999999</v>
      </c>
      <c r="AR26" s="2">
        <v>0.81574419999999992</v>
      </c>
      <c r="AS26" s="2">
        <v>0.6825147399999999</v>
      </c>
      <c r="AT26" s="2">
        <f>AU15</f>
        <v>0</v>
      </c>
      <c r="AU26" s="2">
        <v>0.25087981999999998</v>
      </c>
      <c r="AV26" s="2">
        <v>0.66847477999999994</v>
      </c>
      <c r="AW26" s="2">
        <f>AX15</f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0.73995094000000006</v>
      </c>
      <c r="BD26" s="2">
        <v>2.39981958</v>
      </c>
      <c r="BE26" s="2">
        <v>11.646784999999999</v>
      </c>
      <c r="BF26" s="2">
        <v>11.24439374</v>
      </c>
      <c r="BG26" s="2">
        <v>0</v>
      </c>
      <c r="BH26" s="2">
        <v>0.51767660000000004</v>
      </c>
      <c r="BI26" s="2">
        <v>0.46872443999999996</v>
      </c>
      <c r="BJ26" s="2">
        <v>2.4905162199999999</v>
      </c>
      <c r="BK26" s="2">
        <v>0.44436097999999996</v>
      </c>
      <c r="BL26" s="2">
        <v>0</v>
      </c>
      <c r="BM26" s="2">
        <v>0.32201812000000002</v>
      </c>
      <c r="BN26" s="2">
        <f t="shared" ref="BN26:CD26" si="34">BO15</f>
        <v>0</v>
      </c>
      <c r="BO26" s="2">
        <f t="shared" si="34"/>
        <v>0</v>
      </c>
      <c r="BP26" s="2">
        <f t="shared" si="34"/>
        <v>0</v>
      </c>
      <c r="BQ26" s="2">
        <f t="shared" si="34"/>
        <v>0</v>
      </c>
      <c r="BR26" s="2">
        <f t="shared" si="34"/>
        <v>1.0561725000000002</v>
      </c>
      <c r="BS26" s="2">
        <f t="shared" si="34"/>
        <v>2.8605150000000004</v>
      </c>
      <c r="BT26" s="2">
        <f t="shared" si="34"/>
        <v>0.42842249999999998</v>
      </c>
      <c r="BU26" s="2">
        <f t="shared" si="34"/>
        <v>0</v>
      </c>
      <c r="BV26" s="2">
        <f t="shared" si="34"/>
        <v>0.55984499999999993</v>
      </c>
      <c r="BW26" s="2">
        <f t="shared" si="34"/>
        <v>0.25670249999999994</v>
      </c>
      <c r="BX26" s="2">
        <f t="shared" si="34"/>
        <v>0.40338000000000007</v>
      </c>
      <c r="BY26" s="2">
        <f t="shared" si="34"/>
        <v>0.49437000000000003</v>
      </c>
      <c r="BZ26" s="2">
        <f t="shared" si="34"/>
        <v>0</v>
      </c>
      <c r="CA26" s="2">
        <f t="shared" si="34"/>
        <v>0</v>
      </c>
      <c r="CB26" s="2">
        <f t="shared" si="34"/>
        <v>0</v>
      </c>
      <c r="CC26" s="2">
        <f t="shared" si="34"/>
        <v>0.95499000000000023</v>
      </c>
      <c r="CD26" s="2">
        <f t="shared" si="34"/>
        <v>11.228895</v>
      </c>
      <c r="CE26" s="2">
        <v>8.6009770999999979</v>
      </c>
      <c r="CF26" s="2">
        <f t="shared" ref="CF26:CW26" si="35">CG15</f>
        <v>1.07298</v>
      </c>
      <c r="CG26" s="2">
        <f t="shared" si="35"/>
        <v>1.9174725000000004</v>
      </c>
      <c r="CH26" s="2">
        <f t="shared" si="35"/>
        <v>0.84341250000000012</v>
      </c>
      <c r="CI26" s="2">
        <f t="shared" si="35"/>
        <v>0.20850750000000001</v>
      </c>
      <c r="CJ26" s="2">
        <f t="shared" si="35"/>
        <v>0.40499999999999997</v>
      </c>
      <c r="CK26" s="2">
        <f t="shared" si="35"/>
        <v>0.49275000000000002</v>
      </c>
      <c r="CL26" s="2">
        <f t="shared" si="35"/>
        <v>0</v>
      </c>
      <c r="CM26" s="2">
        <f t="shared" si="35"/>
        <v>0</v>
      </c>
      <c r="CN26" s="2">
        <f t="shared" si="35"/>
        <v>0</v>
      </c>
      <c r="CO26" s="2">
        <f t="shared" si="35"/>
        <v>0</v>
      </c>
      <c r="CP26" s="2">
        <f t="shared" si="35"/>
        <v>0.97280999999999995</v>
      </c>
      <c r="CQ26" s="2">
        <f t="shared" si="35"/>
        <v>0.91010250000000004</v>
      </c>
      <c r="CR26" s="2">
        <f t="shared" si="35"/>
        <v>0</v>
      </c>
      <c r="CS26" s="2">
        <f t="shared" si="35"/>
        <v>0.69734250000000009</v>
      </c>
      <c r="CT26" s="2">
        <f t="shared" si="35"/>
        <v>0.43895250000000002</v>
      </c>
      <c r="CU26" s="2">
        <f t="shared" si="35"/>
        <v>23.422500000000003</v>
      </c>
      <c r="CV26" s="2">
        <f t="shared" si="35"/>
        <v>0</v>
      </c>
      <c r="CW26" s="2">
        <f t="shared" si="35"/>
        <v>0.48262500000000008</v>
      </c>
    </row>
    <row r="27" spans="5:162" x14ac:dyDescent="0.55000000000000004">
      <c r="F27" t="s">
        <v>24</v>
      </c>
      <c r="G27" s="2">
        <v>2.8212299999999999</v>
      </c>
      <c r="H27" s="2">
        <v>1.7029575000000001</v>
      </c>
      <c r="I27" s="2">
        <v>2.493045</v>
      </c>
      <c r="J27" s="2">
        <v>1.5048450000000002</v>
      </c>
      <c r="K27" s="2">
        <v>2.2730625</v>
      </c>
      <c r="L27" s="2">
        <v>1.2750075000000001</v>
      </c>
      <c r="M27" s="2">
        <v>1.5973199999999996</v>
      </c>
      <c r="N27" s="2">
        <v>0.58016250000000003</v>
      </c>
      <c r="O27" s="2">
        <v>2.9536650000000004</v>
      </c>
      <c r="P27" s="2">
        <v>1.7446049999999997</v>
      </c>
      <c r="Q27" s="2">
        <v>4.3168274999999996</v>
      </c>
      <c r="R27" s="2">
        <v>1.8454500000000003</v>
      </c>
      <c r="S27" s="2">
        <v>1.7456850000000004</v>
      </c>
      <c r="T27" s="2">
        <v>0.76179332598425198</v>
      </c>
      <c r="U27" s="2">
        <v>1.6635375000000001</v>
      </c>
      <c r="V27" s="2">
        <v>3.4188750000000003</v>
      </c>
      <c r="W27" s="2">
        <v>1.6964774999999999</v>
      </c>
      <c r="X27" s="2">
        <v>1.7973225000000002</v>
      </c>
      <c r="Y27" s="2">
        <v>2.8433024999999996</v>
      </c>
      <c r="Z27" s="2">
        <v>1.8567900000000002</v>
      </c>
      <c r="AA27" s="2">
        <v>1.8654975</v>
      </c>
      <c r="AB27" s="2">
        <v>1.5632325000000002</v>
      </c>
      <c r="AC27" s="2">
        <v>1.8430875000000002</v>
      </c>
      <c r="AD27" s="2">
        <v>1.8029924999999998</v>
      </c>
      <c r="AE27" s="2">
        <v>1.8060300000000002</v>
      </c>
      <c r="AF27" s="2">
        <v>1.7275949999999998</v>
      </c>
      <c r="AG27" s="2">
        <v>1.3691024999999999</v>
      </c>
      <c r="AH27" s="2">
        <f>AI13</f>
        <v>0</v>
      </c>
      <c r="AI27" s="2">
        <f>AJ13</f>
        <v>1.1352149999999999</v>
      </c>
      <c r="AJ27" s="2">
        <v>1.3153724999999998</v>
      </c>
      <c r="AK27" s="2">
        <f>AL13</f>
        <v>0</v>
      </c>
      <c r="AL27" s="2">
        <f>AM13</f>
        <v>4.3528725000000001</v>
      </c>
      <c r="AM27" s="2">
        <v>1.6748099999999999</v>
      </c>
      <c r="AN27" s="2">
        <v>1.5871949999999999</v>
      </c>
      <c r="AO27" s="2">
        <v>1.3354874999999999</v>
      </c>
      <c r="AP27" s="2">
        <v>1.6524000000000001</v>
      </c>
      <c r="AQ27" s="2">
        <v>1.4354549999999999</v>
      </c>
      <c r="AR27" s="2">
        <v>1.7622225000000002</v>
      </c>
      <c r="AS27" s="2">
        <v>1.6627949999999998</v>
      </c>
      <c r="AT27" s="2">
        <f>AU13</f>
        <v>8.8773975000000007</v>
      </c>
      <c r="AU27" s="2">
        <v>1.9319175000000002</v>
      </c>
      <c r="AV27" s="2">
        <v>1.7228025</v>
      </c>
      <c r="AW27" s="2">
        <f>AX13</f>
        <v>43.902742500000002</v>
      </c>
      <c r="AX27" s="2">
        <v>0</v>
      </c>
      <c r="AY27" s="2">
        <v>1.9014750000000005</v>
      </c>
      <c r="AZ27" s="2">
        <v>3.3430050000000002</v>
      </c>
      <c r="BA27" s="2">
        <v>1.9016099999999998</v>
      </c>
      <c r="BB27" s="2">
        <v>1.9016774999999999</v>
      </c>
      <c r="BC27" s="2">
        <v>1.8255375</v>
      </c>
      <c r="BD27" s="2">
        <v>2.8071225000000002</v>
      </c>
      <c r="BE27" s="2">
        <v>2.3459625000000002</v>
      </c>
      <c r="BF27" s="2">
        <v>2.2807575000000004</v>
      </c>
      <c r="BG27" s="2">
        <v>2.9479275000000005</v>
      </c>
      <c r="BH27" s="2">
        <v>1.66428</v>
      </c>
      <c r="BI27" s="2">
        <v>1.6791975000000001</v>
      </c>
      <c r="BJ27" s="2">
        <v>2.7420525000000002</v>
      </c>
      <c r="BK27" s="2">
        <v>1.7758575000000003</v>
      </c>
      <c r="BL27" s="2">
        <v>2.9625075000000005</v>
      </c>
      <c r="BM27" s="2">
        <v>1.5379874999999998</v>
      </c>
      <c r="BN27" s="2">
        <f t="shared" ref="BN27:CD27" si="36">BO13</f>
        <v>0</v>
      </c>
      <c r="BO27" s="2">
        <f t="shared" si="36"/>
        <v>0</v>
      </c>
      <c r="BP27" s="2">
        <f t="shared" si="36"/>
        <v>0</v>
      </c>
      <c r="BQ27" s="2">
        <f t="shared" si="36"/>
        <v>0</v>
      </c>
      <c r="BR27" s="2">
        <f t="shared" si="36"/>
        <v>1.6312725000000001</v>
      </c>
      <c r="BS27" s="2">
        <f t="shared" si="36"/>
        <v>1.6849350000000003</v>
      </c>
      <c r="BT27" s="2">
        <f t="shared" si="36"/>
        <v>1.495395</v>
      </c>
      <c r="BU27" s="2">
        <f t="shared" si="36"/>
        <v>0</v>
      </c>
      <c r="BV27" s="2">
        <f t="shared" si="36"/>
        <v>1.7327250000000003</v>
      </c>
      <c r="BW27" s="2">
        <f t="shared" si="36"/>
        <v>1.3880025</v>
      </c>
      <c r="BX27" s="2">
        <f t="shared" si="36"/>
        <v>1.3498649999999999</v>
      </c>
      <c r="BY27" s="2">
        <f t="shared" si="36"/>
        <v>1.6724474999999999</v>
      </c>
      <c r="BZ27" s="2">
        <f t="shared" si="36"/>
        <v>0</v>
      </c>
      <c r="CA27" s="2">
        <f t="shared" si="36"/>
        <v>0</v>
      </c>
      <c r="CB27" s="2">
        <f t="shared" si="36"/>
        <v>0</v>
      </c>
      <c r="CC27" s="2">
        <f t="shared" si="36"/>
        <v>1.7289450000000002</v>
      </c>
      <c r="CD27" s="2">
        <f t="shared" si="36"/>
        <v>1.7187524999999999</v>
      </c>
      <c r="CE27" s="2">
        <v>1.6503750000000001</v>
      </c>
      <c r="CF27" s="2">
        <f t="shared" ref="CF27:CW27" si="37">CG13</f>
        <v>1.8355275</v>
      </c>
      <c r="CG27" s="2">
        <f t="shared" si="37"/>
        <v>0.70713000000000004</v>
      </c>
      <c r="CH27" s="2">
        <f t="shared" si="37"/>
        <v>1.6364025</v>
      </c>
      <c r="CI27" s="2">
        <f t="shared" si="37"/>
        <v>1.9696499999999999</v>
      </c>
      <c r="CJ27" s="2">
        <f t="shared" si="37"/>
        <v>1.4214825000000002</v>
      </c>
      <c r="CK27" s="2">
        <f t="shared" si="37"/>
        <v>1.6364025</v>
      </c>
      <c r="CL27" s="2">
        <f t="shared" si="37"/>
        <v>0</v>
      </c>
      <c r="CM27" s="2">
        <f t="shared" si="37"/>
        <v>0</v>
      </c>
      <c r="CN27" s="2">
        <f t="shared" si="37"/>
        <v>0</v>
      </c>
      <c r="CO27" s="2">
        <f t="shared" si="37"/>
        <v>0</v>
      </c>
      <c r="CP27" s="2">
        <f t="shared" si="37"/>
        <v>1.568295</v>
      </c>
      <c r="CQ27" s="2">
        <f t="shared" si="37"/>
        <v>1.1788874999999999</v>
      </c>
      <c r="CR27" s="2">
        <f t="shared" si="37"/>
        <v>0</v>
      </c>
      <c r="CS27" s="2">
        <f t="shared" si="37"/>
        <v>2.0973599999999997</v>
      </c>
      <c r="CT27" s="2">
        <f t="shared" si="37"/>
        <v>1.5645150000000001</v>
      </c>
      <c r="CU27" s="2">
        <f t="shared" si="37"/>
        <v>2.5491375000000005</v>
      </c>
      <c r="CV27" s="2">
        <f t="shared" si="37"/>
        <v>0</v>
      </c>
      <c r="CW27" s="2">
        <f t="shared" si="37"/>
        <v>1.6775100000000001</v>
      </c>
    </row>
    <row r="28" spans="5:162" x14ac:dyDescent="0.55000000000000004">
      <c r="F28" t="s">
        <v>7</v>
      </c>
      <c r="G28" s="2">
        <v>5.8741935200000004</v>
      </c>
      <c r="H28" s="2">
        <v>1.9667284000000003</v>
      </c>
      <c r="I28" s="2">
        <v>7.3866582400000009</v>
      </c>
      <c r="J28" s="2">
        <v>2.0049775200000006</v>
      </c>
      <c r="K28" s="2">
        <v>3.5463136800000004</v>
      </c>
      <c r="L28" s="2">
        <v>0.82590040000000009</v>
      </c>
      <c r="M28" s="2">
        <v>2.0420452</v>
      </c>
      <c r="N28" s="2">
        <v>0.41771288000000006</v>
      </c>
      <c r="O28" s="2">
        <v>7.5813743200000001</v>
      </c>
      <c r="P28" s="2">
        <v>2.7258036000000003</v>
      </c>
      <c r="Q28" s="2">
        <v>9.0030896800000004</v>
      </c>
      <c r="R28" s="2">
        <v>2.7410884800000002</v>
      </c>
      <c r="S28" s="2">
        <v>2.13641272</v>
      </c>
      <c r="T28" s="2">
        <v>1.9802411200000001</v>
      </c>
      <c r="U28" s="2">
        <v>1.4268103200000002</v>
      </c>
      <c r="V28" s="2">
        <v>6.0337617600000009</v>
      </c>
      <c r="W28" s="2">
        <v>1.81328888</v>
      </c>
      <c r="X28" s="2">
        <v>1.6836258400000002</v>
      </c>
      <c r="Y28" s="2">
        <v>2.22767896</v>
      </c>
      <c r="Z28" s="2">
        <v>1.3864198400000003</v>
      </c>
      <c r="AA28" s="2">
        <v>2.3055801599999999</v>
      </c>
      <c r="AB28" s="2">
        <v>1.6382142400000002</v>
      </c>
      <c r="AC28" s="2">
        <v>1.71611544</v>
      </c>
      <c r="AD28" s="2">
        <v>3.0800140800000002</v>
      </c>
      <c r="AE28" s="2">
        <v>4.6122679199999999</v>
      </c>
      <c r="AF28" s="2">
        <v>5.80227336</v>
      </c>
      <c r="AG28" s="2">
        <v>1.5299647999999999</v>
      </c>
      <c r="AH28" s="2">
        <f>AI9</f>
        <v>0</v>
      </c>
      <c r="AI28" s="2">
        <f>AJ9</f>
        <v>2.48205776</v>
      </c>
      <c r="AJ28" s="2">
        <v>1.8104091200000001</v>
      </c>
      <c r="AK28" s="2">
        <f>AL9</f>
        <v>0</v>
      </c>
      <c r="AL28" s="2">
        <f>AM9</f>
        <v>3.47468888</v>
      </c>
      <c r="AM28" s="2">
        <v>2.2439237600000004</v>
      </c>
      <c r="AN28" s="2">
        <v>2.1152944800000002</v>
      </c>
      <c r="AO28" s="2">
        <v>0.99624928000000001</v>
      </c>
      <c r="AP28" s="2">
        <v>2.64805008</v>
      </c>
      <c r="AQ28" s="2">
        <v>8.6348496000000008</v>
      </c>
      <c r="AR28" s="2">
        <v>2.3911607199999998</v>
      </c>
      <c r="AS28" s="2">
        <v>1.9547663200000003</v>
      </c>
      <c r="AT28" s="2">
        <f>AU9</f>
        <v>4.9843476799999991</v>
      </c>
      <c r="AU28" s="2">
        <v>4.2531840000000001</v>
      </c>
      <c r="AV28" s="2">
        <v>1.4681607200000002</v>
      </c>
      <c r="AW28" s="2">
        <f>AX9</f>
        <v>9.3315300000000025</v>
      </c>
      <c r="AX28" s="2">
        <v>1.5646695999999998</v>
      </c>
      <c r="AY28" s="2">
        <v>4.6883969600000004</v>
      </c>
      <c r="AZ28" s="2">
        <v>8.1472102400000015</v>
      </c>
      <c r="BA28" s="2">
        <v>13.031726240000003</v>
      </c>
      <c r="BB28" s="2">
        <v>15.787361200000003</v>
      </c>
      <c r="BC28" s="2">
        <v>2.1649888000000006</v>
      </c>
      <c r="BD28" s="2">
        <v>5.678960560000001</v>
      </c>
      <c r="BE28" s="2">
        <v>3.0285476</v>
      </c>
      <c r="BF28" s="2">
        <v>2.7591054400000004</v>
      </c>
      <c r="BG28" s="2">
        <v>6.2362310400000007</v>
      </c>
      <c r="BH28" s="2">
        <v>2.3081645600000003</v>
      </c>
      <c r="BI28" s="2">
        <v>2.1605584000000002</v>
      </c>
      <c r="BJ28" s="2">
        <v>3.20052096</v>
      </c>
      <c r="BK28" s="2">
        <v>2.5330812000000003</v>
      </c>
      <c r="BL28" s="2">
        <v>2.5728071200000002</v>
      </c>
      <c r="BM28" s="2">
        <v>2.6015308800000003</v>
      </c>
      <c r="BN28" s="2">
        <f t="shared" ref="BN28:CD28" si="38">BO9</f>
        <v>0</v>
      </c>
      <c r="BO28" s="2">
        <f t="shared" si="38"/>
        <v>0</v>
      </c>
      <c r="BP28" s="2">
        <f t="shared" si="38"/>
        <v>0</v>
      </c>
      <c r="BQ28" s="2">
        <f t="shared" si="38"/>
        <v>0</v>
      </c>
      <c r="BR28" s="2">
        <f t="shared" si="38"/>
        <v>1.5672540000000001</v>
      </c>
      <c r="BS28" s="2">
        <f t="shared" si="38"/>
        <v>0.91989871999999995</v>
      </c>
      <c r="BT28" s="2">
        <f t="shared" si="38"/>
        <v>6.5712431200000001</v>
      </c>
      <c r="BU28" s="2">
        <f t="shared" si="38"/>
        <v>0</v>
      </c>
      <c r="BV28" s="2">
        <f t="shared" si="38"/>
        <v>2.9250239200000006</v>
      </c>
      <c r="BW28" s="2">
        <f t="shared" si="38"/>
        <v>6.2970752000000001</v>
      </c>
      <c r="BX28" s="2">
        <f t="shared" si="38"/>
        <v>8.8410847200000013</v>
      </c>
      <c r="BY28" s="2">
        <f t="shared" si="38"/>
        <v>4.52026328</v>
      </c>
      <c r="BZ28" s="2">
        <f t="shared" si="38"/>
        <v>0</v>
      </c>
      <c r="CA28" s="2">
        <f t="shared" si="38"/>
        <v>0</v>
      </c>
      <c r="CB28" s="2">
        <f t="shared" si="38"/>
        <v>0</v>
      </c>
      <c r="CC28" s="2">
        <f t="shared" si="38"/>
        <v>1.5981191200000002</v>
      </c>
      <c r="CD28" s="2">
        <f t="shared" si="38"/>
        <v>12.401871040000003</v>
      </c>
      <c r="CE28" s="2">
        <v>2.6750016800000003</v>
      </c>
      <c r="CF28" s="2">
        <f t="shared" ref="CF28:CW28" si="39">CG9</f>
        <v>1.7508202400000001</v>
      </c>
      <c r="CG28" s="2">
        <f t="shared" si="39"/>
        <v>0.61080448000000009</v>
      </c>
      <c r="CH28" s="2">
        <f t="shared" si="39"/>
        <v>14.41681696</v>
      </c>
      <c r="CI28" s="2">
        <f t="shared" si="39"/>
        <v>8.237590400000002</v>
      </c>
      <c r="CJ28" s="2">
        <f t="shared" si="39"/>
        <v>6.1750915200000005</v>
      </c>
      <c r="CK28" s="2">
        <f t="shared" si="39"/>
        <v>8.1848686400000012</v>
      </c>
      <c r="CL28" s="2">
        <f t="shared" si="39"/>
        <v>0.24573952000000004</v>
      </c>
      <c r="CM28" s="2">
        <f t="shared" si="39"/>
        <v>0</v>
      </c>
      <c r="CN28" s="2">
        <f t="shared" si="39"/>
        <v>0</v>
      </c>
      <c r="CO28" s="2">
        <f t="shared" si="39"/>
        <v>0</v>
      </c>
      <c r="CP28" s="2">
        <f t="shared" si="39"/>
        <v>2.7419745600000005</v>
      </c>
      <c r="CQ28" s="2">
        <f t="shared" si="39"/>
        <v>9.1927846399999993</v>
      </c>
      <c r="CR28" s="2">
        <f t="shared" si="39"/>
        <v>0</v>
      </c>
      <c r="CS28" s="2">
        <f t="shared" si="39"/>
        <v>6.59605336</v>
      </c>
      <c r="CT28" s="2">
        <f t="shared" si="39"/>
        <v>4.8070578399999997</v>
      </c>
      <c r="CU28" s="2">
        <f t="shared" si="39"/>
        <v>4.32325816</v>
      </c>
      <c r="CV28" s="2">
        <f t="shared" si="39"/>
        <v>0</v>
      </c>
      <c r="CW28" s="2">
        <f t="shared" si="39"/>
        <v>2.2590609600000007</v>
      </c>
    </row>
    <row r="29" spans="5:162" x14ac:dyDescent="0.55000000000000004">
      <c r="F29" t="s">
        <v>8</v>
      </c>
      <c r="G29" s="2">
        <v>3.3072916799999996</v>
      </c>
      <c r="H29" s="2">
        <v>0.98373031999999994</v>
      </c>
      <c r="I29" s="2">
        <v>3.74530056</v>
      </c>
      <c r="J29" s="2">
        <v>1.0239352400000001</v>
      </c>
      <c r="K29" s="2">
        <v>1.3522337999999998</v>
      </c>
      <c r="L29" s="2">
        <v>0.45998423999999999</v>
      </c>
      <c r="M29" s="2">
        <v>1.1196612400000001</v>
      </c>
      <c r="N29" s="2">
        <v>0.22283348</v>
      </c>
      <c r="O29" s="2">
        <v>4.2696293200000008</v>
      </c>
      <c r="P29" s="2">
        <v>1.4034263999999999</v>
      </c>
      <c r="Q29" s="2">
        <v>4.4378573600000006</v>
      </c>
      <c r="R29" s="2">
        <v>1.1969911999999998</v>
      </c>
      <c r="S29" s="2">
        <v>0.97981804000000006</v>
      </c>
      <c r="T29" s="2">
        <v>1.0431636799999999</v>
      </c>
      <c r="U29" s="2">
        <v>1.6084465199999998</v>
      </c>
      <c r="V29" s="2">
        <v>3.8635846000000003</v>
      </c>
      <c r="W29" s="2">
        <v>0.88958587999999994</v>
      </c>
      <c r="X29" s="2">
        <v>1.00229284</v>
      </c>
      <c r="Y29" s="2">
        <v>1.4133319599999998</v>
      </c>
      <c r="Z29" s="2">
        <v>1.0541513600000001</v>
      </c>
      <c r="AA29" s="2">
        <v>1.40059624</v>
      </c>
      <c r="AB29" s="2">
        <v>0.8110905599999999</v>
      </c>
      <c r="AC29" s="2">
        <v>1.1568695199999999</v>
      </c>
      <c r="AD29" s="2">
        <v>1.51688252</v>
      </c>
      <c r="AE29" s="2">
        <v>1.9211791999999999</v>
      </c>
      <c r="AF29" s="2">
        <v>2.1993672799999997</v>
      </c>
      <c r="AG29" s="2">
        <v>0.58076548000000006</v>
      </c>
      <c r="AH29" s="2">
        <f>AI11</f>
        <v>0</v>
      </c>
      <c r="AI29" s="2">
        <f>AJ11</f>
        <v>1.39993032</v>
      </c>
      <c r="AJ29" s="2">
        <v>0.52349635999999999</v>
      </c>
      <c r="AK29" s="2">
        <f>AL11</f>
        <v>0</v>
      </c>
      <c r="AL29" s="2">
        <f>AM11</f>
        <v>1.6632184400000001</v>
      </c>
      <c r="AM29" s="2">
        <v>1.32443164</v>
      </c>
      <c r="AN29" s="2">
        <v>8.1687573999999987</v>
      </c>
      <c r="AO29" s="2">
        <v>0</v>
      </c>
      <c r="AP29" s="2">
        <v>1.4444637199999999</v>
      </c>
      <c r="AQ29" s="2">
        <v>3.1769378399999999</v>
      </c>
      <c r="AR29" s="2">
        <v>1.3643868399999999</v>
      </c>
      <c r="AS29" s="2">
        <v>7.8935659600000001</v>
      </c>
      <c r="AT29" s="2">
        <f>AU11</f>
        <v>2.0167387200000002</v>
      </c>
      <c r="AU29" s="2">
        <v>0.75290579999999996</v>
      </c>
      <c r="AV29" s="2">
        <v>1.0955216400000001</v>
      </c>
      <c r="AW29" s="2">
        <f>AX11</f>
        <v>3.0014679200000001</v>
      </c>
      <c r="AX29" s="2">
        <v>0.93536787999999993</v>
      </c>
      <c r="AY29" s="2">
        <v>2.3459529199999998</v>
      </c>
      <c r="AZ29" s="2">
        <v>2.60366396</v>
      </c>
      <c r="BA29" s="2">
        <v>3.3082073199999993</v>
      </c>
      <c r="BB29" s="2">
        <v>3.2567649999999997</v>
      </c>
      <c r="BC29" s="2">
        <v>1.2551759600000001</v>
      </c>
      <c r="BD29" s="2">
        <v>3.3668082799999999</v>
      </c>
      <c r="BE29" s="2">
        <v>1.2887216799999999</v>
      </c>
      <c r="BF29" s="2">
        <v>1.2224626399999998</v>
      </c>
      <c r="BG29" s="2">
        <v>2.2607983999999997</v>
      </c>
      <c r="BH29" s="2">
        <v>1.33333832</v>
      </c>
      <c r="BI29" s="2">
        <v>1.2829781199999999</v>
      </c>
      <c r="BJ29" s="2">
        <v>1.60586608</v>
      </c>
      <c r="BK29" s="2">
        <v>1.4944077199999997</v>
      </c>
      <c r="BL29" s="2">
        <v>1.0137799599999999</v>
      </c>
      <c r="BM29" s="2">
        <v>1.2268743599999998</v>
      </c>
      <c r="BN29" s="2">
        <f t="shared" ref="BN29:CD29" si="40">BO11</f>
        <v>0</v>
      </c>
      <c r="BO29" s="2">
        <f t="shared" si="40"/>
        <v>0</v>
      </c>
      <c r="BP29" s="2">
        <f t="shared" si="40"/>
        <v>0</v>
      </c>
      <c r="BQ29" s="2">
        <f t="shared" si="40"/>
        <v>0</v>
      </c>
      <c r="BR29" s="2">
        <f t="shared" si="40"/>
        <v>0.95817563999999988</v>
      </c>
      <c r="BS29" s="2">
        <f t="shared" si="40"/>
        <v>0.58209732000000003</v>
      </c>
      <c r="BT29" s="2">
        <f t="shared" si="40"/>
        <v>1.9925158799999998</v>
      </c>
      <c r="BU29" s="2">
        <f t="shared" si="40"/>
        <v>0</v>
      </c>
      <c r="BV29" s="2">
        <f t="shared" si="40"/>
        <v>1.5266215999999999</v>
      </c>
      <c r="BW29" s="2">
        <f t="shared" si="40"/>
        <v>1.9449025999999998</v>
      </c>
      <c r="BX29" s="2">
        <f t="shared" si="40"/>
        <v>2.2642944799999998</v>
      </c>
      <c r="BY29" s="2">
        <f t="shared" si="40"/>
        <v>1.8525061999999999</v>
      </c>
      <c r="BZ29" s="2">
        <f t="shared" si="40"/>
        <v>0</v>
      </c>
      <c r="CA29" s="2">
        <f t="shared" si="40"/>
        <v>0</v>
      </c>
      <c r="CB29" s="2">
        <f t="shared" si="40"/>
        <v>0</v>
      </c>
      <c r="CC29" s="2">
        <f t="shared" si="40"/>
        <v>0.97965155999999998</v>
      </c>
      <c r="CD29" s="2">
        <f t="shared" si="40"/>
        <v>0.89408083999999999</v>
      </c>
      <c r="CE29" s="2">
        <v>1.01519504</v>
      </c>
      <c r="CF29" s="2">
        <f t="shared" ref="CF29:CW29" si="41">CG11</f>
        <v>1.0733797999999999</v>
      </c>
      <c r="CG29" s="2">
        <f t="shared" si="41"/>
        <v>0.39289279999999999</v>
      </c>
      <c r="CH29" s="2">
        <f t="shared" si="41"/>
        <v>2.1541679599999997</v>
      </c>
      <c r="CI29" s="2">
        <f t="shared" si="41"/>
        <v>2.3728394399999999</v>
      </c>
      <c r="CJ29" s="2">
        <f t="shared" si="41"/>
        <v>1.6493173599999997</v>
      </c>
      <c r="CK29" s="2">
        <f t="shared" si="41"/>
        <v>2.1541679599999997</v>
      </c>
      <c r="CL29" s="2">
        <f t="shared" si="41"/>
        <v>0</v>
      </c>
      <c r="CM29" s="2">
        <f t="shared" si="41"/>
        <v>0</v>
      </c>
      <c r="CN29" s="2">
        <f t="shared" si="41"/>
        <v>0</v>
      </c>
      <c r="CO29" s="2">
        <f t="shared" si="41"/>
        <v>0</v>
      </c>
      <c r="CP29" s="2">
        <f t="shared" si="41"/>
        <v>1.2630837599999998</v>
      </c>
      <c r="CQ29" s="2">
        <f t="shared" si="41"/>
        <v>2.1177920800000001</v>
      </c>
      <c r="CR29" s="2">
        <f t="shared" si="41"/>
        <v>0</v>
      </c>
      <c r="CS29" s="2">
        <f t="shared" si="41"/>
        <v>2.0690134399999995</v>
      </c>
      <c r="CT29" s="2">
        <f t="shared" si="41"/>
        <v>1.62642636</v>
      </c>
      <c r="CU29" s="2">
        <f t="shared" si="41"/>
        <v>1.7214031999999997</v>
      </c>
      <c r="CV29" s="2">
        <f t="shared" si="41"/>
        <v>0</v>
      </c>
      <c r="CW29" s="2">
        <f t="shared" si="41"/>
        <v>1.11067132</v>
      </c>
    </row>
    <row r="30" spans="5:162" x14ac:dyDescent="0.55000000000000004">
      <c r="F30" t="s">
        <v>22</v>
      </c>
      <c r="G30" s="2">
        <v>1.1506725581102364</v>
      </c>
      <c r="H30" s="2">
        <v>0.75873826866141736</v>
      </c>
      <c r="I30" s="2">
        <v>1.5011171981102363</v>
      </c>
      <c r="J30" s="2">
        <v>0.74878469480314969</v>
      </c>
      <c r="K30" s="2">
        <v>0.80436702803149618</v>
      </c>
      <c r="L30" s="2">
        <v>0.37114018960629924</v>
      </c>
      <c r="M30" s="2">
        <v>0.58174204440944888</v>
      </c>
      <c r="N30" s="2">
        <v>0.26046827433070863</v>
      </c>
      <c r="O30" s="2">
        <v>1.5345257281889766</v>
      </c>
      <c r="P30" s="2">
        <v>1.1874317962204723</v>
      </c>
      <c r="Q30" s="2">
        <v>1.9170977451968507</v>
      </c>
      <c r="R30" s="2">
        <v>1.0702555653543309</v>
      </c>
      <c r="S30" s="2">
        <v>0.86379282047244088</v>
      </c>
      <c r="T30" s="2">
        <v>0.76179332598425198</v>
      </c>
      <c r="U30" s="2">
        <v>0.54931901669291339</v>
      </c>
      <c r="V30" s="2">
        <v>1.1451537448818898</v>
      </c>
      <c r="W30" s="2">
        <v>0.73350940818897647</v>
      </c>
      <c r="X30" s="2">
        <v>0.65664022393700794</v>
      </c>
      <c r="Y30" s="2">
        <v>0.90459261826771664</v>
      </c>
      <c r="Z30" s="2">
        <v>0.83442485007874012</v>
      </c>
      <c r="AA30" s="2">
        <v>0.93583304314960625</v>
      </c>
      <c r="AB30" s="2">
        <v>0.72601959023622042</v>
      </c>
      <c r="AC30" s="2">
        <v>0.71695296850393708</v>
      </c>
      <c r="AD30" s="2">
        <v>1.1271190516535432</v>
      </c>
      <c r="AE30" s="2">
        <v>1.5495053640944882</v>
      </c>
      <c r="AF30" s="2">
        <v>1.6805771782677166</v>
      </c>
      <c r="AG30" s="2">
        <v>0.63318526771653549</v>
      </c>
      <c r="AH30" s="2">
        <f>AI17</f>
        <v>0</v>
      </c>
      <c r="AI30" s="2">
        <f>AJ17</f>
        <v>0.9251896176377955</v>
      </c>
      <c r="AJ30" s="2">
        <v>0.64422289417322842</v>
      </c>
      <c r="AK30" s="2">
        <f>AL17</f>
        <v>0</v>
      </c>
      <c r="AL30" s="2">
        <f>AM17</f>
        <v>1.1827999351181104</v>
      </c>
      <c r="AM30" s="2">
        <v>0.72769494425196868</v>
      </c>
      <c r="AN30" s="2">
        <v>0.75863971842519695</v>
      </c>
      <c r="AO30" s="2">
        <v>0.49846709480314971</v>
      </c>
      <c r="AP30" s="2">
        <v>1.1688058015748033</v>
      </c>
      <c r="AQ30" s="2">
        <v>2.8494815300787404</v>
      </c>
      <c r="AR30" s="2">
        <v>0.82939878803149625</v>
      </c>
      <c r="AS30" s="2">
        <v>0.76425708188976371</v>
      </c>
      <c r="AT30" s="2">
        <f>AU17</f>
        <v>2.2924755949606306</v>
      </c>
      <c r="AU30" s="2">
        <v>1.4202074541732284</v>
      </c>
      <c r="AV30" s="2">
        <v>0.65772427653543319</v>
      </c>
      <c r="AW30" s="2">
        <f>AX17</f>
        <v>3.0237183477165357</v>
      </c>
      <c r="AX30" s="2">
        <v>0.5291162182677166</v>
      </c>
      <c r="AY30" s="2">
        <v>1.8935442387401575</v>
      </c>
      <c r="AZ30" s="2">
        <v>1.9183788982677166</v>
      </c>
      <c r="BA30" s="2">
        <v>1.8937413392125984</v>
      </c>
      <c r="BB30" s="2">
        <v>3.8925372302362211</v>
      </c>
      <c r="BC30" s="2">
        <v>0.60953321102362212</v>
      </c>
      <c r="BD30" s="2">
        <v>0.92686497165354342</v>
      </c>
      <c r="BE30" s="2">
        <v>0.625991100472441</v>
      </c>
      <c r="BF30" s="2">
        <v>0.6404779851968504</v>
      </c>
      <c r="BG30" s="2">
        <v>1.7390174683464568</v>
      </c>
      <c r="BH30" s="2">
        <v>0.92124760818897644</v>
      </c>
      <c r="BI30" s="2">
        <v>0.69172410803149609</v>
      </c>
      <c r="BJ30" s="2">
        <v>1.1761970692913386</v>
      </c>
      <c r="BK30" s="2">
        <v>0.8429001703937008</v>
      </c>
      <c r="BL30" s="2">
        <v>0.79815836314960642</v>
      </c>
      <c r="BM30" s="2">
        <v>0</v>
      </c>
      <c r="BN30" s="2">
        <f t="shared" ref="BN30:CD30" si="42">BO17</f>
        <v>0</v>
      </c>
      <c r="BO30" s="2">
        <f t="shared" si="42"/>
        <v>0</v>
      </c>
      <c r="BP30" s="2">
        <f t="shared" si="42"/>
        <v>0</v>
      </c>
      <c r="BQ30" s="2">
        <f t="shared" si="42"/>
        <v>0</v>
      </c>
      <c r="BR30" s="2">
        <f t="shared" si="42"/>
        <v>0.56695950897637803</v>
      </c>
      <c r="BS30" s="2">
        <f t="shared" si="42"/>
        <v>0.42406166645669291</v>
      </c>
      <c r="BT30" s="2">
        <f t="shared" si="42"/>
        <v>1.9801698963779528</v>
      </c>
      <c r="BU30" s="2">
        <f t="shared" si="42"/>
        <v>0</v>
      </c>
      <c r="BV30" s="2">
        <f t="shared" si="42"/>
        <v>0.98254585511811032</v>
      </c>
      <c r="BW30" s="2">
        <f t="shared" si="42"/>
        <v>1.9316831801574805</v>
      </c>
      <c r="BX30" s="2">
        <f t="shared" si="42"/>
        <v>2.6298130535433071</v>
      </c>
      <c r="BY30" s="2">
        <f t="shared" si="42"/>
        <v>1.3504338869291339</v>
      </c>
      <c r="BZ30" s="2">
        <f t="shared" si="42"/>
        <v>0</v>
      </c>
      <c r="CA30" s="2">
        <f t="shared" si="42"/>
        <v>0</v>
      </c>
      <c r="CB30" s="2">
        <f t="shared" si="42"/>
        <v>0</v>
      </c>
      <c r="CC30" s="2">
        <f t="shared" si="42"/>
        <v>0.82043071653543298</v>
      </c>
      <c r="CD30" s="2">
        <f t="shared" si="42"/>
        <v>0.45372528755905511</v>
      </c>
      <c r="CE30" s="2">
        <v>0.61347522047244107</v>
      </c>
      <c r="CF30" s="2">
        <f t="shared" ref="CF30:CW30" si="43">CG17</f>
        <v>0.67851837637795276</v>
      </c>
      <c r="CG30" s="2">
        <f t="shared" si="43"/>
        <v>0.29831156503937006</v>
      </c>
      <c r="CH30" s="2">
        <f t="shared" si="43"/>
        <v>2.1297691549606297</v>
      </c>
      <c r="CI30" s="2">
        <f t="shared" si="43"/>
        <v>1.8800428563779528</v>
      </c>
      <c r="CJ30" s="2">
        <f t="shared" si="43"/>
        <v>1.5084099155905513</v>
      </c>
      <c r="CK30" s="2">
        <f t="shared" si="43"/>
        <v>1.6360324714960632</v>
      </c>
      <c r="CL30" s="2">
        <f t="shared" si="43"/>
        <v>0</v>
      </c>
      <c r="CM30" s="2">
        <f t="shared" si="43"/>
        <v>0</v>
      </c>
      <c r="CN30" s="2">
        <f t="shared" si="43"/>
        <v>0</v>
      </c>
      <c r="CO30" s="2">
        <f t="shared" si="43"/>
        <v>0</v>
      </c>
      <c r="CP30" s="2">
        <f t="shared" si="43"/>
        <v>0.80377572661417329</v>
      </c>
      <c r="CQ30" s="2">
        <f t="shared" si="43"/>
        <v>1.8728486891338585</v>
      </c>
      <c r="CR30" s="2">
        <f t="shared" si="43"/>
        <v>0</v>
      </c>
      <c r="CS30" s="2">
        <f t="shared" si="43"/>
        <v>1.5121548245669292</v>
      </c>
      <c r="CT30" s="2">
        <f t="shared" si="43"/>
        <v>1.3704395848818898</v>
      </c>
      <c r="CU30" s="2">
        <f t="shared" si="43"/>
        <v>0.83462195055118127</v>
      </c>
      <c r="CV30" s="2">
        <f t="shared" si="43"/>
        <v>0</v>
      </c>
      <c r="CW30" s="2">
        <f t="shared" si="43"/>
        <v>0.87611159999999999</v>
      </c>
    </row>
    <row r="31" spans="5:162" x14ac:dyDescent="0.55000000000000004">
      <c r="F31" t="s">
        <v>21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v>17.931800374556389</v>
      </c>
      <c r="R31" s="2"/>
      <c r="S31" s="2"/>
      <c r="T31" s="2">
        <v>9.1737536016698229</v>
      </c>
      <c r="U31" s="2"/>
      <c r="V31" s="2"/>
      <c r="W31" s="2"/>
      <c r="X31" s="2"/>
      <c r="Y31" s="2">
        <f>Z21</f>
        <v>5.7261672333374882</v>
      </c>
      <c r="Z31" s="2">
        <v>11.143555409921358</v>
      </c>
      <c r="AA31" s="2">
        <v>10.030945770430826</v>
      </c>
      <c r="AB31" s="2">
        <v>9.6671151621095053</v>
      </c>
      <c r="AC31" s="2">
        <v>8.8947210297681707</v>
      </c>
      <c r="AD31" s="2">
        <v>6.0713143784703369</v>
      </c>
      <c r="AE31" s="2">
        <f t="shared" ref="AE31:AK31" si="44">AF21</f>
        <v>8.1735491825718114</v>
      </c>
      <c r="AF31" s="2">
        <v>11.755398606176399</v>
      </c>
      <c r="AG31" s="2">
        <f t="shared" si="44"/>
        <v>-10.154673047716537</v>
      </c>
      <c r="AH31" s="2">
        <f t="shared" si="44"/>
        <v>9.7283437654319602</v>
      </c>
      <c r="AI31" s="2">
        <f t="shared" si="44"/>
        <v>5.470878012238451</v>
      </c>
      <c r="AJ31" s="2">
        <v>8.2771995085426937</v>
      </c>
      <c r="AK31" s="2">
        <f t="shared" si="44"/>
        <v>34.38271604938268</v>
      </c>
      <c r="AL31" s="2">
        <f>AM21</f>
        <v>-11.372144600796943</v>
      </c>
      <c r="AM31" s="2">
        <v>11.936826184636587</v>
      </c>
      <c r="AN31" s="2">
        <v>6.9545588467600794</v>
      </c>
      <c r="AO31" s="2">
        <v>11.66102380445623</v>
      </c>
      <c r="AP31" s="2">
        <v>13.379400307313759</v>
      </c>
      <c r="AQ31" s="2">
        <v>33.279853332884102</v>
      </c>
      <c r="AR31" s="2">
        <v>13.49560920505462</v>
      </c>
      <c r="AS31" s="2">
        <v>7.3199504968757658</v>
      </c>
      <c r="AT31" s="2">
        <f>AU21</f>
        <v>11.745531430965698</v>
      </c>
      <c r="AU31" s="2">
        <f>AV21</f>
        <v>12.311573332246603</v>
      </c>
      <c r="AV31" s="2">
        <f>AW21</f>
        <v>7.9377524684028913</v>
      </c>
      <c r="AW31" s="2">
        <f>AX21</f>
        <v>-24.074364323271737</v>
      </c>
      <c r="AX31" s="2">
        <f>AY21</f>
        <v>11.555248493090138</v>
      </c>
      <c r="AY31" s="2">
        <v>17.839328535580783</v>
      </c>
      <c r="AZ31" s="2"/>
      <c r="BA31" s="2">
        <v>15.373270532886025</v>
      </c>
      <c r="BB31" s="2">
        <v>26.300103884578974</v>
      </c>
      <c r="BC31" s="2">
        <v>7.8140348235442936</v>
      </c>
      <c r="BD31" s="2">
        <v>-56.269795891653544</v>
      </c>
      <c r="BE31" s="2">
        <v>-29.866012880472439</v>
      </c>
      <c r="BF31" s="2">
        <v>-25.700109805196849</v>
      </c>
      <c r="BG31" s="2">
        <v>16.172771301530126</v>
      </c>
      <c r="BH31" s="2">
        <v>-2.0564713783124517</v>
      </c>
      <c r="BI31" s="2">
        <v>7.619459006043062</v>
      </c>
      <c r="BJ31" s="2">
        <v>6.6163071089801377</v>
      </c>
      <c r="BK31" s="2">
        <v>11.332410269112355</v>
      </c>
      <c r="BL31" s="2">
        <v>8.833927488949108</v>
      </c>
      <c r="BM31" s="2">
        <v>0</v>
      </c>
      <c r="BN31" s="2">
        <f t="shared" ref="BN31:CD31" si="45">BO21</f>
        <v>17.271102530864219</v>
      </c>
      <c r="BO31" s="2">
        <f t="shared" si="45"/>
        <v>11.261564351851691</v>
      </c>
      <c r="BP31" s="2">
        <f t="shared" si="45"/>
        <v>12.617861481481423</v>
      </c>
      <c r="BQ31" s="2">
        <f t="shared" si="45"/>
        <v>27.377296049382679</v>
      </c>
      <c r="BR31" s="2">
        <f t="shared" si="45"/>
        <v>6.482406406579436</v>
      </c>
      <c r="BS31" s="2">
        <f t="shared" si="45"/>
        <v>13.676082849099119</v>
      </c>
      <c r="BT31" s="2">
        <f t="shared" si="45"/>
        <v>11.057791257942647</v>
      </c>
      <c r="BU31" s="2">
        <f t="shared" si="45"/>
        <v>14.417416450617049</v>
      </c>
      <c r="BV31" s="2">
        <f t="shared" si="45"/>
        <v>13.423997945869552</v>
      </c>
      <c r="BW31" s="2">
        <f t="shared" si="45"/>
        <v>24.622651581570906</v>
      </c>
      <c r="BX31" s="2">
        <f t="shared" si="45"/>
        <v>25.591759443987549</v>
      </c>
      <c r="BY31" s="2">
        <f t="shared" si="45"/>
        <v>10.341511756527368</v>
      </c>
      <c r="BZ31" s="2">
        <f t="shared" si="45"/>
        <v>-13.595389444444187</v>
      </c>
      <c r="CA31" s="2">
        <f t="shared" si="45"/>
        <v>19.874688055555811</v>
      </c>
      <c r="CB31" s="2">
        <f t="shared" si="45"/>
        <v>-4.4099894444441858</v>
      </c>
      <c r="CC31" s="2">
        <f t="shared" si="45"/>
        <v>13.032988047909008</v>
      </c>
      <c r="CD31" s="2">
        <f t="shared" si="45"/>
        <v>-14.28500747620086</v>
      </c>
      <c r="CE31" s="2">
        <v>22.923887564466309</v>
      </c>
      <c r="CF31" s="2">
        <f>CG21</f>
        <v>34.940851737943035</v>
      </c>
      <c r="CG31" s="2">
        <f>CH21</f>
        <v>10.25724615496063</v>
      </c>
      <c r="CH31" s="2">
        <f>CI21</f>
        <v>18.023483116396989</v>
      </c>
      <c r="CI31" s="2">
        <f>CJ21</f>
        <v>14.621586130782589</v>
      </c>
      <c r="CJ31" s="2">
        <f t="shared" ref="CJ31:CW31" si="46">CK21</f>
        <v>12.782494599470986</v>
      </c>
      <c r="CK31" s="2">
        <f t="shared" si="46"/>
        <v>11.170702872948524</v>
      </c>
      <c r="CL31" s="2">
        <f t="shared" si="46"/>
        <v>19.580372671358194</v>
      </c>
      <c r="CM31" s="2">
        <f t="shared" si="46"/>
        <v>-23.435987808641805</v>
      </c>
      <c r="CN31" s="2">
        <f t="shared" si="46"/>
        <v>-10.419220308641801</v>
      </c>
      <c r="CO31" s="2">
        <f t="shared" si="46"/>
        <v>6.5199046913581959</v>
      </c>
      <c r="CP31" s="2">
        <f t="shared" si="46"/>
        <v>9.4486749040034326</v>
      </c>
      <c r="CQ31" s="2">
        <f t="shared" si="46"/>
        <v>16.759899652594534</v>
      </c>
      <c r="CR31" s="2">
        <f t="shared" si="46"/>
        <v>8.9483521913581949</v>
      </c>
      <c r="CS31" s="2">
        <f t="shared" si="46"/>
        <v>15.73783763469234</v>
      </c>
      <c r="CT31" s="2">
        <f t="shared" si="46"/>
        <v>16.660670659562562</v>
      </c>
      <c r="CU31" s="2">
        <f t="shared" si="46"/>
        <v>20.858528973399856</v>
      </c>
      <c r="CV31" s="2">
        <f t="shared" si="46"/>
        <v>28.945496327160491</v>
      </c>
      <c r="CW31" s="2">
        <f t="shared" si="46"/>
        <v>15.828236768148148</v>
      </c>
    </row>
    <row r="32" spans="5:162" x14ac:dyDescent="0.55000000000000004">
      <c r="G32" t="s">
        <v>18</v>
      </c>
      <c r="H32" t="s">
        <v>2</v>
      </c>
      <c r="I32" t="s">
        <v>12</v>
      </c>
      <c r="J32" t="s">
        <v>24</v>
      </c>
      <c r="K32" t="s">
        <v>7</v>
      </c>
      <c r="L32" t="s">
        <v>8</v>
      </c>
      <c r="M32" t="s">
        <v>22</v>
      </c>
      <c r="N32" t="s">
        <v>21</v>
      </c>
      <c r="O32" s="24" t="s">
        <v>34</v>
      </c>
      <c r="Q32" s="24" t="s">
        <v>38</v>
      </c>
      <c r="R32" t="s">
        <v>39</v>
      </c>
      <c r="S32" t="s">
        <v>35</v>
      </c>
      <c r="T32" t="s">
        <v>36</v>
      </c>
      <c r="V32" t="s">
        <v>147</v>
      </c>
    </row>
    <row r="33" spans="2:35" x14ac:dyDescent="0.55000000000000004">
      <c r="B33" t="s">
        <v>11</v>
      </c>
      <c r="C33">
        <f>2*H39/100*1000</f>
        <v>55.999999999999993</v>
      </c>
      <c r="D33" t="s">
        <v>37</v>
      </c>
      <c r="E33" s="2" t="s">
        <v>9</v>
      </c>
      <c r="F33" s="2" t="s">
        <v>16</v>
      </c>
      <c r="G33" s="2">
        <f>100-(9.1561-9.0956)/0.324*100</f>
        <v>81.327160493826824</v>
      </c>
      <c r="H33" s="2">
        <v>5</v>
      </c>
      <c r="I33" s="2">
        <v>3.6727258999999997</v>
      </c>
      <c r="J33" s="2">
        <v>2.8212299999999999</v>
      </c>
      <c r="K33" s="2">
        <v>5.8741935200000004</v>
      </c>
      <c r="L33" s="2">
        <v>3.3072916799999996</v>
      </c>
      <c r="M33" s="2">
        <v>1.1506725581102364</v>
      </c>
      <c r="N33" s="2">
        <v>25.1694043357166</v>
      </c>
      <c r="O33" s="2">
        <v>50</v>
      </c>
      <c r="P33" s="2">
        <f>2*H33/100*1000-$C$33</f>
        <v>44.000000000000007</v>
      </c>
      <c r="Q33" s="2">
        <v>1027</v>
      </c>
      <c r="R33">
        <f>P33/O33/Q33*1000</f>
        <v>0.85686465433300885</v>
      </c>
      <c r="V33">
        <f>(0.002*H33-$DV$5*0.002)/100/0.000357</f>
        <v>0.12612885154061623</v>
      </c>
    </row>
    <row r="34" spans="2:35" x14ac:dyDescent="0.55000000000000004">
      <c r="C34">
        <f>2*H40/100*1000</f>
        <v>13.938750000000001</v>
      </c>
      <c r="D34" t="s">
        <v>37</v>
      </c>
      <c r="E34" s="2"/>
      <c r="F34" s="2" t="s">
        <v>17</v>
      </c>
      <c r="G34" s="22">
        <f>100-(9.3372-9.0998)/0.324*100</f>
        <v>26.728395061728648</v>
      </c>
      <c r="H34" s="22">
        <v>11.449282500000001</v>
      </c>
      <c r="I34" s="22">
        <v>0.68769525999999992</v>
      </c>
      <c r="J34" s="22">
        <v>1.7029575000000001</v>
      </c>
      <c r="K34" s="22">
        <v>1.9667284000000003</v>
      </c>
      <c r="L34" s="22">
        <v>0.98373031999999994</v>
      </c>
      <c r="M34" s="22">
        <v>0.75873826866141736</v>
      </c>
      <c r="N34" s="22">
        <v>9.1792628130672327</v>
      </c>
      <c r="O34" s="22">
        <v>50</v>
      </c>
      <c r="P34" s="22">
        <f>2*H34/100*1000-$C$34</f>
        <v>215.04690000000002</v>
      </c>
      <c r="Q34" s="22">
        <v>1011</v>
      </c>
      <c r="R34" s="23">
        <f t="shared" ref="R34:R93" si="47">P34/O34/Q34*1000</f>
        <v>4.2541424332344224</v>
      </c>
      <c r="V34" s="23">
        <f t="shared" ref="V34:V71" si="48">(0.002*H34-$H$40*0.002)/100/0.000357</f>
        <v>0.60237226890756312</v>
      </c>
    </row>
    <row r="35" spans="2:35" x14ac:dyDescent="0.55000000000000004">
      <c r="E35" s="2" t="s">
        <v>10</v>
      </c>
      <c r="F35" s="2" t="s">
        <v>16</v>
      </c>
      <c r="G35" s="2">
        <f>100-(9.109-9.0928)/0.324*100</f>
        <v>95.000000000000142</v>
      </c>
      <c r="H35" s="2">
        <v>8.8000000000000007</v>
      </c>
      <c r="I35" s="2">
        <v>0.99815105999999987</v>
      </c>
      <c r="J35" s="2">
        <v>2.493045</v>
      </c>
      <c r="K35" s="2">
        <v>7.3866582400000009</v>
      </c>
      <c r="L35" s="2">
        <v>3.74530056</v>
      </c>
      <c r="M35" s="2">
        <v>1.5011171981102363</v>
      </c>
      <c r="N35" s="2">
        <v>23.837105441889904</v>
      </c>
      <c r="O35" s="2">
        <v>29.6</v>
      </c>
      <c r="P35" s="2">
        <f>2*H35/100*1000-$C$33</f>
        <v>120.00000000000003</v>
      </c>
      <c r="Q35" s="2">
        <v>1030</v>
      </c>
      <c r="R35">
        <f>P35/O35/Q35*1000</f>
        <v>3.9359748097612184</v>
      </c>
      <c r="V35">
        <f>(0.002*H35-$H$39*0.002)/100/0.000357</f>
        <v>0.33613445378151263</v>
      </c>
    </row>
    <row r="36" spans="2:35" x14ac:dyDescent="0.55000000000000004">
      <c r="E36" s="2"/>
      <c r="F36" s="2" t="s">
        <v>17</v>
      </c>
      <c r="G36" s="22">
        <f>100-(9.3242-9.0986)/0.324*100</f>
        <v>30.370370370370367</v>
      </c>
      <c r="H36" s="26">
        <v>13.284067499999999</v>
      </c>
      <c r="I36" s="22">
        <v>0.39270593999999992</v>
      </c>
      <c r="J36" s="22">
        <v>1.5048450000000002</v>
      </c>
      <c r="K36" s="22">
        <v>2.0049775200000006</v>
      </c>
      <c r="L36" s="22">
        <v>1.0239352400000001</v>
      </c>
      <c r="M36" s="22">
        <v>0.74878469480314969</v>
      </c>
      <c r="N36" s="22">
        <v>11.411054475567219</v>
      </c>
      <c r="O36" s="22">
        <v>29.6</v>
      </c>
      <c r="P36" s="22">
        <f>2*H36/100*1000-$C$34</f>
        <v>251.74260000000001</v>
      </c>
      <c r="Q36" s="22">
        <v>1042</v>
      </c>
      <c r="R36" s="23">
        <f t="shared" si="47"/>
        <v>8.1620130206982413</v>
      </c>
      <c r="V36" s="23">
        <f t="shared" si="48"/>
        <v>0.70516134453781509</v>
      </c>
    </row>
    <row r="37" spans="2:35" x14ac:dyDescent="0.55000000000000004">
      <c r="E37" s="2" t="s">
        <v>19</v>
      </c>
      <c r="F37" s="2" t="s">
        <v>16</v>
      </c>
      <c r="G37" s="2">
        <f>100-(9.2477-9.1004)/0.324*100</f>
        <v>54.53703703703718</v>
      </c>
      <c r="H37" s="2">
        <v>17.790030000000002</v>
      </c>
      <c r="I37" s="2">
        <v>9.7010492599999978</v>
      </c>
      <c r="J37" s="2">
        <v>2.2730625</v>
      </c>
      <c r="K37" s="2">
        <v>3.5463136800000004</v>
      </c>
      <c r="L37" s="2">
        <v>1.3522337999999998</v>
      </c>
      <c r="M37" s="2">
        <v>0.80436702803149618</v>
      </c>
      <c r="N37" s="2">
        <v>19.069980769005689</v>
      </c>
      <c r="O37" s="2">
        <v>43.6</v>
      </c>
      <c r="P37" s="2">
        <f>2*H37/100*1000-$C$33</f>
        <v>299.80060000000003</v>
      </c>
      <c r="Q37" s="2">
        <v>1036</v>
      </c>
      <c r="R37">
        <f t="shared" si="47"/>
        <v>6.6372206085508845</v>
      </c>
      <c r="V37">
        <f t="shared" si="48"/>
        <v>0.95759621848739496</v>
      </c>
    </row>
    <row r="38" spans="2:35" x14ac:dyDescent="0.55000000000000004">
      <c r="E38" s="2"/>
      <c r="F38" s="2" t="s">
        <v>17</v>
      </c>
      <c r="G38" s="22">
        <f>100-(9.3564-9.0905)/0.324*100</f>
        <v>17.932098765432031</v>
      </c>
      <c r="H38" s="22">
        <v>3.4493175000000003</v>
      </c>
      <c r="I38" s="22">
        <v>1.5477366599999998</v>
      </c>
      <c r="J38" s="22">
        <v>1.2750075000000001</v>
      </c>
      <c r="K38" s="22">
        <v>0.82590040000000009</v>
      </c>
      <c r="L38" s="22">
        <v>0.45998423999999999</v>
      </c>
      <c r="M38" s="22">
        <v>0.37114018960629924</v>
      </c>
      <c r="N38" s="22">
        <v>10.003012275825732</v>
      </c>
      <c r="O38" s="22">
        <v>43.6</v>
      </c>
      <c r="P38" s="22">
        <f>2*H38/100*1000-$C$34</f>
        <v>55.047600000000003</v>
      </c>
      <c r="Q38" s="22">
        <v>1045</v>
      </c>
      <c r="R38" s="23">
        <f t="shared" si="47"/>
        <v>1.2081910363899744</v>
      </c>
      <c r="S38" s="6">
        <v>0</v>
      </c>
      <c r="T38" s="6">
        <v>0</v>
      </c>
      <c r="U38" t="s">
        <v>26</v>
      </c>
      <c r="V38" s="23">
        <f t="shared" si="48"/>
        <v>0.1541949579831933</v>
      </c>
    </row>
    <row r="39" spans="2:35" x14ac:dyDescent="0.55000000000000004">
      <c r="E39" s="2" t="s">
        <v>11</v>
      </c>
      <c r="F39" s="2" t="s">
        <v>16</v>
      </c>
      <c r="G39" s="2">
        <v>44.81</v>
      </c>
      <c r="H39" s="2">
        <v>2.8</v>
      </c>
      <c r="I39" s="2">
        <v>8.2026401600000014</v>
      </c>
      <c r="J39" s="2">
        <v>1.5973199999999996</v>
      </c>
      <c r="K39" s="2">
        <v>2.0420452</v>
      </c>
      <c r="L39" s="2">
        <v>1.1196612400000001</v>
      </c>
      <c r="M39" s="2">
        <v>0.58174204440944888</v>
      </c>
      <c r="N39" s="2">
        <v>26.98</v>
      </c>
      <c r="O39" s="2">
        <v>0</v>
      </c>
      <c r="P39" s="2">
        <f>2*H39/100*1000-$C$33</f>
        <v>0</v>
      </c>
      <c r="Q39" s="2">
        <v>1031</v>
      </c>
      <c r="R39" t="e">
        <f t="shared" si="47"/>
        <v>#DIV/0!</v>
      </c>
      <c r="S39">
        <v>1.2081910363899744</v>
      </c>
      <c r="T39">
        <v>5.9760070932662677</v>
      </c>
      <c r="U39" t="s">
        <v>19</v>
      </c>
      <c r="V39">
        <f t="shared" si="48"/>
        <v>0.11781862745098039</v>
      </c>
    </row>
    <row r="40" spans="2:35" x14ac:dyDescent="0.55000000000000004">
      <c r="E40" s="2"/>
      <c r="F40" s="2" t="s">
        <v>17</v>
      </c>
      <c r="G40" s="22">
        <f>100-(9.3719-9.0922)/0.324*100</f>
        <v>13.672839506172835</v>
      </c>
      <c r="H40" s="22">
        <v>0.6969375000000001</v>
      </c>
      <c r="I40" s="22">
        <v>1.0255177199999999</v>
      </c>
      <c r="J40" s="22">
        <v>0.58016250000000003</v>
      </c>
      <c r="K40" s="22">
        <v>0.41771288000000006</v>
      </c>
      <c r="L40" s="22">
        <v>0.22283348</v>
      </c>
      <c r="M40" s="22">
        <v>0.26046827433070863</v>
      </c>
      <c r="N40" s="22">
        <v>10.469207151842127</v>
      </c>
      <c r="O40" s="22">
        <v>0</v>
      </c>
      <c r="P40" s="22">
        <f>2*H40/100*1000-$C$34</f>
        <v>0</v>
      </c>
      <c r="Q40" s="22">
        <v>1053</v>
      </c>
      <c r="R40" s="23" t="e">
        <f t="shared" si="47"/>
        <v>#DIV/0!</v>
      </c>
      <c r="S40">
        <v>8.0126517930399004</v>
      </c>
      <c r="T40">
        <v>33.288693912358958</v>
      </c>
      <c r="U40" t="s">
        <v>10</v>
      </c>
      <c r="V40" s="23">
        <f t="shared" si="48"/>
        <v>0</v>
      </c>
    </row>
    <row r="41" spans="2:35" x14ac:dyDescent="0.55000000000000004">
      <c r="E41" t="s">
        <v>32</v>
      </c>
      <c r="F41" s="2" t="s">
        <v>16</v>
      </c>
      <c r="G41" s="2">
        <v>95.28</v>
      </c>
      <c r="H41" s="2">
        <v>57.471254999999999</v>
      </c>
      <c r="I41" s="2">
        <v>1.2762849199999999</v>
      </c>
      <c r="J41" s="2">
        <v>2.9536650000000004</v>
      </c>
      <c r="K41" s="2">
        <v>7.5813743200000001</v>
      </c>
      <c r="L41" s="2">
        <v>4.2696293200000008</v>
      </c>
      <c r="M41" s="2">
        <v>1.5345257281889766</v>
      </c>
      <c r="N41" s="2">
        <v>20.190000000000001</v>
      </c>
      <c r="O41" s="2">
        <v>39.1</v>
      </c>
      <c r="P41" s="2">
        <f>2*H41/100*1000-$C$33</f>
        <v>1093.4250999999999</v>
      </c>
      <c r="Q41" s="2">
        <v>1030</v>
      </c>
      <c r="R41">
        <f t="shared" si="47"/>
        <v>27.150326521490822</v>
      </c>
      <c r="S41">
        <v>9.1956023528812612</v>
      </c>
      <c r="T41">
        <v>39.818479611431158</v>
      </c>
      <c r="U41" t="s">
        <v>40</v>
      </c>
      <c r="V41">
        <f t="shared" si="48"/>
        <v>3.1806340336134449</v>
      </c>
    </row>
    <row r="42" spans="2:35" x14ac:dyDescent="0.55000000000000004">
      <c r="F42" s="2" t="s">
        <v>17</v>
      </c>
      <c r="G42" s="22">
        <v>37.25</v>
      </c>
      <c r="H42" s="22">
        <v>18.013455</v>
      </c>
      <c r="I42" s="22">
        <v>0.36747905999999997</v>
      </c>
      <c r="J42" s="22">
        <v>1.7446049999999997</v>
      </c>
      <c r="K42" s="22">
        <v>2.7258036000000003</v>
      </c>
      <c r="L42" s="22">
        <v>1.4034263999999999</v>
      </c>
      <c r="M42" s="22">
        <v>1.1874317962204723</v>
      </c>
      <c r="N42" s="22">
        <v>11.81</v>
      </c>
      <c r="O42" s="22">
        <v>39.1</v>
      </c>
      <c r="P42" s="22">
        <f>2*H42/100*1000-$C$34</f>
        <v>346.33034999999995</v>
      </c>
      <c r="Q42" s="22">
        <v>1044</v>
      </c>
      <c r="R42" s="23">
        <f t="shared" si="47"/>
        <v>8.4842468471646519</v>
      </c>
      <c r="S42">
        <v>2.8368146352308456</v>
      </c>
      <c r="T42">
        <v>15.401817758345068</v>
      </c>
      <c r="U42" s="29" t="s">
        <v>49</v>
      </c>
      <c r="V42" s="23">
        <f t="shared" si="48"/>
        <v>0.97011302521008402</v>
      </c>
    </row>
    <row r="43" spans="2:35" x14ac:dyDescent="0.55000000000000004">
      <c r="E43" t="s">
        <v>42</v>
      </c>
      <c r="F43" s="2" t="s">
        <v>17</v>
      </c>
      <c r="G43" s="22">
        <v>27.16</v>
      </c>
      <c r="H43" s="22">
        <v>11.165849999999999</v>
      </c>
      <c r="I43" s="22">
        <v>0.61708252000000008</v>
      </c>
      <c r="J43" s="22">
        <v>1.7456850000000004</v>
      </c>
      <c r="K43" s="22">
        <v>2.13641272</v>
      </c>
      <c r="L43" s="22">
        <v>0.97981804000000006</v>
      </c>
      <c r="M43" s="22">
        <v>0.86379282047244088</v>
      </c>
      <c r="N43" s="22">
        <v>9.6518527266884107</v>
      </c>
      <c r="O43" s="22">
        <v>39.1</v>
      </c>
      <c r="P43" s="22">
        <f t="shared" ref="P43:P93" si="49">2*H43/100*1000-$C$34</f>
        <v>209.37824999999998</v>
      </c>
      <c r="Q43" s="22">
        <v>1031</v>
      </c>
      <c r="R43" s="23">
        <f t="shared" si="47"/>
        <v>5.1939306064432262</v>
      </c>
      <c r="S43">
        <v>5.1939306064432262</v>
      </c>
      <c r="T43">
        <v>26.408719241178947</v>
      </c>
      <c r="U43" s="29" t="s">
        <v>32</v>
      </c>
      <c r="V43" s="23">
        <f t="shared" si="48"/>
        <v>0.5864936974789916</v>
      </c>
      <c r="W43" s="6">
        <f>(G43+G44)/2</f>
        <v>27.407160493827035</v>
      </c>
      <c r="X43" s="6">
        <f t="shared" ref="X43:AH43" si="50">(H43+H44)/2</f>
        <v>11.7717975</v>
      </c>
      <c r="Y43" s="6">
        <f t="shared" si="50"/>
        <v>0.58857088999999996</v>
      </c>
      <c r="Z43" s="6">
        <f t="shared" si="50"/>
        <v>1.2537391629921262</v>
      </c>
      <c r="AA43" s="6">
        <f t="shared" si="50"/>
        <v>2.0583269199999998</v>
      </c>
      <c r="AB43" s="6">
        <f t="shared" si="50"/>
        <v>1.0114908599999999</v>
      </c>
      <c r="AC43" s="6">
        <f t="shared" si="50"/>
        <v>0.81279307322834637</v>
      </c>
      <c r="AD43" s="6">
        <f t="shared" si="50"/>
        <v>9.4128031641791168</v>
      </c>
      <c r="AE43" s="6">
        <f t="shared" si="50"/>
        <v>39.1</v>
      </c>
      <c r="AF43" s="6">
        <f t="shared" si="50"/>
        <v>221.49720000000002</v>
      </c>
      <c r="AG43" s="6">
        <f t="shared" si="50"/>
        <v>1046.5</v>
      </c>
      <c r="AH43" s="6">
        <f t="shared" si="50"/>
        <v>5.409977354025723</v>
      </c>
      <c r="AI43" s="23">
        <f>(0.002*X43-$H$40*0.002)/100/0.000357</f>
        <v>0.62044033613445382</v>
      </c>
    </row>
    <row r="44" spans="2:35" x14ac:dyDescent="0.55000000000000004">
      <c r="E44" t="s">
        <v>43</v>
      </c>
      <c r="F44" s="2" t="s">
        <v>17</v>
      </c>
      <c r="G44" s="22">
        <v>27.654320987654074</v>
      </c>
      <c r="H44" s="22">
        <v>12.377745000000001</v>
      </c>
      <c r="I44" s="22">
        <v>0.56005925999999995</v>
      </c>
      <c r="J44" s="22">
        <v>0.76179332598425198</v>
      </c>
      <c r="K44" s="22">
        <v>1.9802411200000001</v>
      </c>
      <c r="L44" s="22">
        <v>1.0431636799999999</v>
      </c>
      <c r="M44" s="22">
        <v>0.76179332598425198</v>
      </c>
      <c r="N44" s="22">
        <v>9.1737536016698229</v>
      </c>
      <c r="O44" s="22">
        <v>39.1</v>
      </c>
      <c r="P44" s="22">
        <f t="shared" si="49"/>
        <v>233.61615000000003</v>
      </c>
      <c r="Q44" s="22">
        <v>1062</v>
      </c>
      <c r="R44" s="23">
        <f t="shared" si="47"/>
        <v>5.6260241016082198</v>
      </c>
      <c r="S44">
        <v>4.2541424332344215</v>
      </c>
      <c r="T44">
        <v>13.64685686465433</v>
      </c>
      <c r="U44" s="29" t="s">
        <v>9</v>
      </c>
      <c r="V44" s="23">
        <f t="shared" si="48"/>
        <v>0.65438697478991603</v>
      </c>
    </row>
    <row r="45" spans="2:35" x14ac:dyDescent="0.55000000000000004">
      <c r="E45" t="s">
        <v>40</v>
      </c>
      <c r="F45" s="2" t="s">
        <v>16</v>
      </c>
      <c r="G45" s="2">
        <v>94.753086419753259</v>
      </c>
      <c r="H45" s="2">
        <v>51.882592500000015</v>
      </c>
      <c r="I45" s="2">
        <v>5.2638212600000003</v>
      </c>
      <c r="J45" s="2">
        <v>4.3168274999999996</v>
      </c>
      <c r="K45" s="2">
        <v>9.0030896800000004</v>
      </c>
      <c r="L45" s="2">
        <v>4.4378573600000006</v>
      </c>
      <c r="M45" s="2">
        <v>1.9170977451968507</v>
      </c>
      <c r="N45" s="2">
        <v>17.931800374556389</v>
      </c>
      <c r="O45" s="2">
        <v>22.7</v>
      </c>
      <c r="P45" s="2">
        <f>2*H45/100*1000-$C$33</f>
        <v>981.65185000000019</v>
      </c>
      <c r="Q45" s="2">
        <v>1053</v>
      </c>
      <c r="R45">
        <f t="shared" si="47"/>
        <v>41.067972355050195</v>
      </c>
      <c r="S45">
        <v>5.3459331721786691</v>
      </c>
      <c r="U45" t="s">
        <v>82</v>
      </c>
      <c r="V45">
        <f t="shared" si="48"/>
        <v>2.8675436974789927</v>
      </c>
      <c r="W45">
        <v>28.271604938272105</v>
      </c>
      <c r="X45">
        <v>13.358722500000001</v>
      </c>
      <c r="Y45">
        <v>0.58513597999999989</v>
      </c>
      <c r="Z45">
        <v>1.8430875000000002</v>
      </c>
      <c r="AA45">
        <v>1.71611544</v>
      </c>
      <c r="AB45">
        <v>1.1568695199999999</v>
      </c>
      <c r="AC45">
        <v>0.71695296850393708</v>
      </c>
      <c r="AD45">
        <v>8.8947210297681707</v>
      </c>
      <c r="AE45">
        <v>29.6</v>
      </c>
      <c r="AF45">
        <v>253.23570000000004</v>
      </c>
      <c r="AG45">
        <v>1088</v>
      </c>
      <c r="AH45">
        <v>7.8632905653815577</v>
      </c>
      <c r="AI45" s="23">
        <f>(0.002*X45-$H$40*0.002)/100/0.000357</f>
        <v>0.70934369747899173</v>
      </c>
    </row>
    <row r="46" spans="2:35" x14ac:dyDescent="0.55000000000000004">
      <c r="F46" s="2" t="s">
        <v>17</v>
      </c>
      <c r="G46" s="22">
        <v>30.31</v>
      </c>
      <c r="H46" s="22">
        <v>11.530552500000001</v>
      </c>
      <c r="I46" s="22">
        <v>5.2239537799999995</v>
      </c>
      <c r="J46" s="22">
        <v>1.8454500000000003</v>
      </c>
      <c r="K46" s="22">
        <v>2.7410884800000002</v>
      </c>
      <c r="L46" s="22">
        <v>1.1969911999999998</v>
      </c>
      <c r="M46" s="22">
        <v>1.0702555653543309</v>
      </c>
      <c r="N46" s="22">
        <v>6.7003504499544499</v>
      </c>
      <c r="O46" s="22">
        <v>22.7</v>
      </c>
      <c r="P46" s="22">
        <f t="shared" si="49"/>
        <v>216.67230000000001</v>
      </c>
      <c r="Q46" s="22">
        <v>1038</v>
      </c>
      <c r="R46" s="23">
        <f t="shared" si="47"/>
        <v>9.1956023528812612</v>
      </c>
      <c r="S46">
        <v>16.427803853754938</v>
      </c>
      <c r="U46" t="s">
        <v>53</v>
      </c>
      <c r="V46" s="23">
        <f t="shared" si="48"/>
        <v>0.60692521008403366</v>
      </c>
      <c r="W46">
        <v>30.370370370370367</v>
      </c>
      <c r="X46">
        <v>13.284067499999999</v>
      </c>
      <c r="Y46">
        <v>0.39270593999999992</v>
      </c>
      <c r="Z46">
        <v>1.5048450000000002</v>
      </c>
      <c r="AA46">
        <v>2.0049775200000006</v>
      </c>
      <c r="AB46">
        <v>1.0239352400000001</v>
      </c>
      <c r="AC46">
        <v>0.74878469480314969</v>
      </c>
      <c r="AD46">
        <v>11.411054475567219</v>
      </c>
      <c r="AE46">
        <v>29.6</v>
      </c>
      <c r="AF46">
        <v>251.74260000000001</v>
      </c>
      <c r="AG46">
        <v>1042</v>
      </c>
      <c r="AH46">
        <v>8.1620130206982413</v>
      </c>
      <c r="AI46" s="23">
        <f>(0.002*X46-$H$40*0.002)/100/0.000357</f>
        <v>0.70516134453781509</v>
      </c>
    </row>
    <row r="47" spans="2:35" x14ac:dyDescent="0.55000000000000004">
      <c r="E47" t="s">
        <v>45</v>
      </c>
      <c r="F47" s="2" t="s">
        <v>16</v>
      </c>
      <c r="G47" s="2"/>
      <c r="H47" s="2">
        <v>47.937622499999996</v>
      </c>
      <c r="I47" s="2">
        <v>3.6391276000000001</v>
      </c>
      <c r="J47" s="2">
        <v>3.4188750000000003</v>
      </c>
      <c r="K47" s="2">
        <v>6.0337617600000009</v>
      </c>
      <c r="L47" s="2">
        <v>3.8635846000000003</v>
      </c>
      <c r="M47" s="2">
        <v>1.1451537448818898</v>
      </c>
      <c r="N47" s="2"/>
      <c r="O47" s="2">
        <v>55.4</v>
      </c>
      <c r="P47" s="2">
        <f>2*H47/100*1000-$C$33</f>
        <v>902.75244999999995</v>
      </c>
      <c r="Q47" s="2">
        <v>1023</v>
      </c>
      <c r="R47" s="25">
        <f t="shared" si="47"/>
        <v>15.928807993760827</v>
      </c>
      <c r="S47">
        <v>8.6515001387182444</v>
      </c>
      <c r="U47" t="s">
        <v>54</v>
      </c>
      <c r="V47">
        <f t="shared" si="48"/>
        <v>2.6465369747899161</v>
      </c>
      <c r="W47" s="6">
        <f>(W45+W46)/2</f>
        <v>29.320987654321236</v>
      </c>
      <c r="X47" s="6">
        <f t="shared" ref="X47:AI47" si="51">(X45+X46)/2</f>
        <v>13.321394999999999</v>
      </c>
      <c r="Y47" s="6">
        <f t="shared" si="51"/>
        <v>0.4889209599999999</v>
      </c>
      <c r="Z47" s="6">
        <f t="shared" si="51"/>
        <v>1.6739662500000003</v>
      </c>
      <c r="AA47" s="6">
        <f t="shared" si="51"/>
        <v>1.8605464800000004</v>
      </c>
      <c r="AB47" s="6">
        <f t="shared" si="51"/>
        <v>1.09040238</v>
      </c>
      <c r="AC47" s="6">
        <f t="shared" si="51"/>
        <v>0.73286883165354344</v>
      </c>
      <c r="AD47" s="6">
        <f t="shared" si="51"/>
        <v>10.152887752667695</v>
      </c>
      <c r="AE47" s="6">
        <f t="shared" si="51"/>
        <v>29.6</v>
      </c>
      <c r="AF47" s="6">
        <f t="shared" si="51"/>
        <v>252.48915000000002</v>
      </c>
      <c r="AG47" s="6">
        <f t="shared" si="51"/>
        <v>1065</v>
      </c>
      <c r="AH47" s="6">
        <f t="shared" si="51"/>
        <v>8.0126517930399004</v>
      </c>
      <c r="AI47" s="6">
        <f t="shared" si="51"/>
        <v>0.70725252100840341</v>
      </c>
    </row>
    <row r="48" spans="2:35" x14ac:dyDescent="0.55000000000000004">
      <c r="F48" s="2" t="s">
        <v>46</v>
      </c>
      <c r="G48" s="22">
        <v>21.419753086419774</v>
      </c>
      <c r="H48" s="22">
        <v>8.7356475000000007</v>
      </c>
      <c r="I48" s="22">
        <v>0.7392376799999999</v>
      </c>
      <c r="J48" s="22">
        <v>1.6635375000000001</v>
      </c>
      <c r="K48" s="22">
        <v>1.4268103200000002</v>
      </c>
      <c r="L48" s="22">
        <v>1.6084465199999998</v>
      </c>
      <c r="M48" s="22">
        <v>0.54931901669291339</v>
      </c>
      <c r="N48" s="22">
        <v>6.6967545497268617</v>
      </c>
      <c r="O48" s="22">
        <v>55.4</v>
      </c>
      <c r="P48" s="22">
        <f t="shared" si="49"/>
        <v>160.77420000000001</v>
      </c>
      <c r="Q48" s="22">
        <v>1023</v>
      </c>
      <c r="R48" s="23">
        <f t="shared" si="47"/>
        <v>2.8368146352308456</v>
      </c>
      <c r="S48">
        <v>3.7035557658362612</v>
      </c>
      <c r="U48" t="s">
        <v>85</v>
      </c>
      <c r="V48" s="23">
        <f t="shared" si="48"/>
        <v>0.45034789915966389</v>
      </c>
    </row>
    <row r="49" spans="5:22" x14ac:dyDescent="0.55000000000000004">
      <c r="E49" t="s">
        <v>47</v>
      </c>
      <c r="F49" s="2" t="s">
        <v>46</v>
      </c>
      <c r="G49" s="22">
        <v>24.043209876543145</v>
      </c>
      <c r="H49" s="22">
        <v>9.7463250000000006</v>
      </c>
      <c r="I49" s="22">
        <v>0.79723697999999998</v>
      </c>
      <c r="J49" s="22">
        <v>1.6964774999999999</v>
      </c>
      <c r="K49" s="22">
        <v>1.81328888</v>
      </c>
      <c r="L49" s="22">
        <v>0.88958587999999994</v>
      </c>
      <c r="M49" s="22">
        <v>0.73350940818897647</v>
      </c>
      <c r="N49" s="22">
        <v>8.3699999999999992</v>
      </c>
      <c r="O49" s="22">
        <v>47.1</v>
      </c>
      <c r="P49" s="22">
        <f t="shared" si="49"/>
        <v>180.98775000000001</v>
      </c>
      <c r="Q49" s="22">
        <v>1030</v>
      </c>
      <c r="R49" s="23">
        <f t="shared" si="47"/>
        <v>3.7307062024611963</v>
      </c>
      <c r="S49">
        <v>1.831319115716616</v>
      </c>
      <c r="U49" s="29" t="s">
        <v>75</v>
      </c>
      <c r="V49" s="23">
        <f t="shared" si="48"/>
        <v>0.50696848739495803</v>
      </c>
    </row>
    <row r="50" spans="5:22" x14ac:dyDescent="0.55000000000000004">
      <c r="E50" t="s">
        <v>52</v>
      </c>
      <c r="F50" s="2" t="s">
        <v>46</v>
      </c>
      <c r="G50" s="22">
        <v>24.444444444444542</v>
      </c>
      <c r="H50" s="22">
        <v>11.798730000000001</v>
      </c>
      <c r="I50" s="22">
        <v>0.6549228399999999</v>
      </c>
      <c r="J50" s="22">
        <v>1.7973225000000002</v>
      </c>
      <c r="K50" s="22">
        <v>1.6836258400000002</v>
      </c>
      <c r="L50" s="22">
        <v>1.00229284</v>
      </c>
      <c r="M50" s="22">
        <v>0.65664022393700794</v>
      </c>
      <c r="N50" s="22">
        <v>6.8509102005075349</v>
      </c>
      <c r="O50" s="22">
        <v>38.6</v>
      </c>
      <c r="P50" s="22">
        <f t="shared" si="49"/>
        <v>222.03585000000001</v>
      </c>
      <c r="Q50" s="22">
        <v>1076</v>
      </c>
      <c r="R50" s="23">
        <f t="shared" si="47"/>
        <v>5.3459331721786691</v>
      </c>
      <c r="S50">
        <v>2.2803676708920637</v>
      </c>
      <c r="U50" t="s">
        <v>111</v>
      </c>
      <c r="V50" s="23">
        <f t="shared" si="48"/>
        <v>0.62194915966386555</v>
      </c>
    </row>
    <row r="51" spans="5:22" x14ac:dyDescent="0.55000000000000004">
      <c r="E51" t="s">
        <v>53</v>
      </c>
      <c r="F51" s="2" t="s">
        <v>46</v>
      </c>
      <c r="G51" s="22">
        <v>36.604938271605207</v>
      </c>
      <c r="H51" s="26">
        <v>18.651870000000002</v>
      </c>
      <c r="I51" s="22">
        <v>2.6906419599999998</v>
      </c>
      <c r="J51" s="22">
        <v>2.8433024999999996</v>
      </c>
      <c r="K51" s="22">
        <v>2.22767896</v>
      </c>
      <c r="L51" s="22">
        <v>1.4133319599999998</v>
      </c>
      <c r="M51" s="22">
        <v>0.90459261826771664</v>
      </c>
      <c r="N51" s="22">
        <v>7.8735202733374869</v>
      </c>
      <c r="O51" s="22">
        <v>20.7</v>
      </c>
      <c r="P51" s="22">
        <f t="shared" si="49"/>
        <v>359.09865000000002</v>
      </c>
      <c r="Q51" s="22">
        <v>1056</v>
      </c>
      <c r="R51" s="23">
        <f t="shared" si="47"/>
        <v>16.427803853754938</v>
      </c>
      <c r="S51">
        <v>4.9655282022053191</v>
      </c>
      <c r="U51" t="s">
        <v>90</v>
      </c>
      <c r="V51" s="23">
        <f t="shared" si="48"/>
        <v>1.0058785714285716</v>
      </c>
    </row>
    <row r="52" spans="5:22" x14ac:dyDescent="0.55000000000000004">
      <c r="E52" t="s">
        <v>54</v>
      </c>
      <c r="F52" s="2" t="s">
        <v>46</v>
      </c>
      <c r="G52" s="22">
        <v>27.500000000000099</v>
      </c>
      <c r="H52" s="22">
        <v>10.519807500000001</v>
      </c>
      <c r="I52" s="22">
        <v>0.70485103999999998</v>
      </c>
      <c r="J52" s="22">
        <v>1.8567900000000002</v>
      </c>
      <c r="K52" s="22">
        <v>1.3864198400000003</v>
      </c>
      <c r="L52" s="22">
        <v>1.0541513600000001</v>
      </c>
      <c r="M52" s="22">
        <v>0.83442485007874012</v>
      </c>
      <c r="N52" s="22">
        <v>11.143555409921358</v>
      </c>
      <c r="O52" s="22">
        <v>20.7</v>
      </c>
      <c r="P52" s="22">
        <f t="shared" si="49"/>
        <v>196.45740000000001</v>
      </c>
      <c r="Q52" s="22">
        <v>1097</v>
      </c>
      <c r="R52" s="23">
        <f t="shared" si="47"/>
        <v>8.6515001387182444</v>
      </c>
      <c r="S52">
        <v>7.3450547696237338</v>
      </c>
      <c r="U52" t="s">
        <v>113</v>
      </c>
      <c r="V52" s="23">
        <f t="shared" si="48"/>
        <v>0.55030084033613447</v>
      </c>
    </row>
    <row r="53" spans="5:22" x14ac:dyDescent="0.55000000000000004">
      <c r="E53" t="s">
        <v>55</v>
      </c>
      <c r="F53" s="2" t="s">
        <v>46</v>
      </c>
      <c r="G53" s="22">
        <v>33.580246913580439</v>
      </c>
      <c r="H53" s="22">
        <v>16.624912500000004</v>
      </c>
      <c r="I53" s="22">
        <v>0.41688169999999991</v>
      </c>
      <c r="J53" s="22">
        <v>1.8654975</v>
      </c>
      <c r="K53" s="22">
        <v>2.3055801599999999</v>
      </c>
      <c r="L53" s="22">
        <v>1.40059624</v>
      </c>
      <c r="M53" s="22">
        <v>0.93583304314960625</v>
      </c>
      <c r="N53" s="22">
        <v>10.030945770430826</v>
      </c>
      <c r="O53" s="22">
        <v>59.3</v>
      </c>
      <c r="P53" s="22">
        <f t="shared" si="49"/>
        <v>318.55950000000007</v>
      </c>
      <c r="Q53" s="22">
        <v>1073</v>
      </c>
      <c r="R53" s="23">
        <f t="shared" si="47"/>
        <v>5.0065221935315565</v>
      </c>
      <c r="U53" t="s">
        <v>123</v>
      </c>
      <c r="V53" s="23">
        <f t="shared" si="48"/>
        <v>0.89232352941176485</v>
      </c>
    </row>
    <row r="54" spans="5:22" x14ac:dyDescent="0.55000000000000004">
      <c r="E54" t="s">
        <v>59</v>
      </c>
      <c r="F54" s="2" t="s">
        <v>46</v>
      </c>
      <c r="G54" s="22">
        <v>22.345679012345727</v>
      </c>
      <c r="H54" s="22">
        <v>6.8025825000000015</v>
      </c>
      <c r="I54" s="22">
        <v>1.1374244599999999</v>
      </c>
      <c r="J54" s="22">
        <v>1.5632325000000002</v>
      </c>
      <c r="K54" s="22">
        <v>1.6382142400000002</v>
      </c>
      <c r="L54" s="22">
        <v>0.8110905599999999</v>
      </c>
      <c r="M54" s="22">
        <v>0.72601959023622042</v>
      </c>
      <c r="N54" s="22">
        <v>9.6671151621095053</v>
      </c>
      <c r="O54" s="22">
        <v>30.7</v>
      </c>
      <c r="P54" s="22">
        <f t="shared" si="49"/>
        <v>122.11290000000002</v>
      </c>
      <c r="Q54" s="22">
        <v>1074</v>
      </c>
      <c r="R54" s="23">
        <f t="shared" si="47"/>
        <v>3.7035557658362612</v>
      </c>
      <c r="U54" t="s">
        <v>124</v>
      </c>
      <c r="V54" s="23">
        <f t="shared" si="48"/>
        <v>0.34205294117647067</v>
      </c>
    </row>
    <row r="55" spans="5:22" x14ac:dyDescent="0.55000000000000004">
      <c r="E55" t="s">
        <v>60</v>
      </c>
      <c r="F55" s="2" t="s">
        <v>46</v>
      </c>
      <c r="G55" s="22">
        <v>28.271604938272105</v>
      </c>
      <c r="H55" s="22">
        <v>13.358722500000001</v>
      </c>
      <c r="I55" s="22">
        <v>0.58513597999999989</v>
      </c>
      <c r="J55" s="22">
        <v>1.8430875000000002</v>
      </c>
      <c r="K55" s="22">
        <v>1.71611544</v>
      </c>
      <c r="L55" s="22">
        <v>1.1568695199999999</v>
      </c>
      <c r="M55" s="22">
        <v>0.71695296850393708</v>
      </c>
      <c r="N55" s="22">
        <v>8.8947210297681707</v>
      </c>
      <c r="O55" s="22">
        <v>29.6</v>
      </c>
      <c r="P55" s="22">
        <f t="shared" si="49"/>
        <v>253.23570000000004</v>
      </c>
      <c r="Q55" s="22">
        <v>1088</v>
      </c>
      <c r="R55" s="23">
        <f t="shared" si="47"/>
        <v>7.8632905653815577</v>
      </c>
      <c r="V55" s="23">
        <f t="shared" si="48"/>
        <v>0.70934369747899173</v>
      </c>
    </row>
    <row r="56" spans="5:22" x14ac:dyDescent="0.55000000000000004">
      <c r="E56" t="s">
        <v>70</v>
      </c>
      <c r="F56" s="2" t="s">
        <v>46</v>
      </c>
      <c r="G56" s="22">
        <v>35.123456790123882</v>
      </c>
      <c r="H56" s="22">
        <v>21.166852500000001</v>
      </c>
      <c r="I56" s="22">
        <v>0.35828175999999995</v>
      </c>
      <c r="J56" s="22">
        <v>1.8029924999999998</v>
      </c>
      <c r="K56" s="22">
        <v>3.0800140800000002</v>
      </c>
      <c r="L56" s="22">
        <v>1.51688252</v>
      </c>
      <c r="M56" s="22">
        <v>1.1271190516535432</v>
      </c>
      <c r="N56" s="22">
        <v>6.0713143784703369</v>
      </c>
      <c r="O56" s="22">
        <v>118.6</v>
      </c>
      <c r="P56" s="22">
        <f t="shared" si="49"/>
        <v>409.39829999999995</v>
      </c>
      <c r="Q56" s="22">
        <v>1096</v>
      </c>
      <c r="R56" s="23">
        <f t="shared" si="47"/>
        <v>3.1495665673736166</v>
      </c>
      <c r="V56" s="23">
        <f t="shared" si="48"/>
        <v>1.1467739495798321</v>
      </c>
    </row>
    <row r="57" spans="5:22" x14ac:dyDescent="0.55000000000000004">
      <c r="E57" t="s">
        <v>72</v>
      </c>
      <c r="F57" s="2" t="s">
        <v>46</v>
      </c>
      <c r="G57" s="22">
        <v>42.99382716049346</v>
      </c>
      <c r="H57" s="22">
        <v>30.598357500000002</v>
      </c>
      <c r="I57" s="22">
        <v>0.28128721999999995</v>
      </c>
      <c r="J57" s="22">
        <v>1.8060300000000002</v>
      </c>
      <c r="K57" s="22">
        <v>4.6122679199999999</v>
      </c>
      <c r="L57" s="22">
        <v>1.9211791999999999</v>
      </c>
      <c r="M57" s="22">
        <v>1.5495053640944882</v>
      </c>
      <c r="N57" s="22">
        <v>2.2251999563989742</v>
      </c>
      <c r="O57" s="22">
        <v>296.39999999999998</v>
      </c>
      <c r="P57" s="22">
        <f t="shared" si="49"/>
        <v>598.02840000000003</v>
      </c>
      <c r="Q57" s="22">
        <v>1079</v>
      </c>
      <c r="R57" s="23">
        <f t="shared" si="47"/>
        <v>1.869916289261687</v>
      </c>
      <c r="V57" s="23">
        <f t="shared" si="48"/>
        <v>1.6751495798319329</v>
      </c>
    </row>
    <row r="58" spans="5:22" x14ac:dyDescent="0.55000000000000004">
      <c r="E58" t="s">
        <v>73</v>
      </c>
      <c r="F58" s="2" t="s">
        <v>46</v>
      </c>
      <c r="G58" s="2">
        <v>59.444444444444116</v>
      </c>
      <c r="H58" s="2">
        <v>36.053505000000001</v>
      </c>
      <c r="I58" s="2">
        <v>0.22572802</v>
      </c>
      <c r="J58" s="2">
        <v>1.7275949999999998</v>
      </c>
      <c r="K58" s="2">
        <v>5.80227336</v>
      </c>
      <c r="L58" s="2">
        <v>2.1993672799999997</v>
      </c>
      <c r="M58" s="2">
        <v>1.6805771782677166</v>
      </c>
      <c r="N58" s="2">
        <v>11.755398606176399</v>
      </c>
      <c r="O58" s="22">
        <v>592.79999999999995</v>
      </c>
      <c r="P58" s="22">
        <f t="shared" si="49"/>
        <v>707.13135</v>
      </c>
      <c r="Q58" s="22">
        <v>1076</v>
      </c>
      <c r="R58" s="23">
        <f t="shared" si="47"/>
        <v>1.1086121280646568</v>
      </c>
      <c r="V58" s="23">
        <f t="shared" si="48"/>
        <v>1.9807600840336133</v>
      </c>
    </row>
    <row r="59" spans="5:22" x14ac:dyDescent="0.55000000000000004">
      <c r="E59" s="30" t="s">
        <v>75</v>
      </c>
      <c r="F59" s="31" t="s">
        <v>46</v>
      </c>
      <c r="G59" s="31"/>
      <c r="H59" s="31">
        <v>4.3799400000000004</v>
      </c>
      <c r="I59" s="31">
        <v>0.92415972000000002</v>
      </c>
      <c r="J59" s="31">
        <v>1.3691024999999999</v>
      </c>
      <c r="K59" s="31">
        <v>1.5299647999999999</v>
      </c>
      <c r="L59" s="31">
        <v>0.58076548000000006</v>
      </c>
      <c r="M59" s="31">
        <v>0.63318526771653549</v>
      </c>
      <c r="N59" s="31"/>
      <c r="O59" s="31">
        <v>36.799999999999997</v>
      </c>
      <c r="P59" s="31">
        <f t="shared" si="49"/>
        <v>73.660050000000012</v>
      </c>
      <c r="Q59" s="31">
        <v>1093</v>
      </c>
      <c r="R59" s="30">
        <f t="shared" si="47"/>
        <v>1.831319115716616</v>
      </c>
      <c r="V59" s="30">
        <f t="shared" si="48"/>
        <v>0.20633067226890761</v>
      </c>
    </row>
    <row r="60" spans="5:22" x14ac:dyDescent="0.55000000000000004">
      <c r="E60" s="30" t="s">
        <v>76</v>
      </c>
      <c r="F60" s="31" t="s">
        <v>46</v>
      </c>
      <c r="G60" s="31"/>
      <c r="H60" s="31">
        <v>0.7</v>
      </c>
      <c r="I60" s="31"/>
      <c r="J60" s="31"/>
      <c r="K60" s="31"/>
      <c r="L60" s="31"/>
      <c r="M60" s="31"/>
      <c r="N60" s="31"/>
      <c r="O60" s="31">
        <v>38.200000000000003</v>
      </c>
      <c r="P60" s="31">
        <f t="shared" si="49"/>
        <v>6.1249999999997584E-2</v>
      </c>
      <c r="Q60" s="31">
        <v>1058</v>
      </c>
      <c r="R60" s="30">
        <f t="shared" si="47"/>
        <v>1.5155039143300501E-3</v>
      </c>
      <c r="V60" s="30">
        <f t="shared" si="48"/>
        <v>1.7156862745097581E-4</v>
      </c>
    </row>
    <row r="61" spans="5:22" x14ac:dyDescent="0.55000000000000004">
      <c r="E61" t="s">
        <v>77</v>
      </c>
      <c r="F61" s="2" t="s">
        <v>46</v>
      </c>
      <c r="G61" s="22">
        <v>17.716049382715923</v>
      </c>
      <c r="H61" s="22">
        <v>4.1843250000000003</v>
      </c>
      <c r="I61" s="22">
        <v>0.96102399999999988</v>
      </c>
      <c r="J61" s="22">
        <v>1.3153724999999998</v>
      </c>
      <c r="K61" s="22">
        <v>1.8104091200000001</v>
      </c>
      <c r="L61" s="22">
        <v>0.52349635999999999</v>
      </c>
      <c r="M61" s="22">
        <v>0.64422289417322842</v>
      </c>
      <c r="N61" s="22">
        <v>8.2771995085426937</v>
      </c>
      <c r="O61" s="22">
        <v>36.799999999999997</v>
      </c>
      <c r="P61" s="22">
        <f t="shared" si="49"/>
        <v>69.747750000000011</v>
      </c>
      <c r="Q61" s="22">
        <v>1095</v>
      </c>
      <c r="R61" s="23">
        <f t="shared" si="47"/>
        <v>1.7308851995235264</v>
      </c>
      <c r="V61" s="23">
        <f t="shared" si="48"/>
        <v>0.19537184873949578</v>
      </c>
    </row>
    <row r="62" spans="5:22" x14ac:dyDescent="0.55000000000000004">
      <c r="E62" s="30" t="s">
        <v>79</v>
      </c>
      <c r="F62" s="31" t="s">
        <v>46</v>
      </c>
      <c r="G62" s="31"/>
      <c r="H62" s="31">
        <v>19.96</v>
      </c>
      <c r="I62" s="31"/>
      <c r="J62" s="31"/>
      <c r="K62" s="31"/>
      <c r="L62" s="31"/>
      <c r="M62" s="31"/>
      <c r="N62" s="31"/>
      <c r="O62" s="31">
        <v>188.4</v>
      </c>
      <c r="P62" s="31">
        <f t="shared" si="49"/>
        <v>385.26124999999996</v>
      </c>
      <c r="Q62" s="31">
        <v>1098</v>
      </c>
      <c r="R62" s="30">
        <f t="shared" si="47"/>
        <v>1.8623962599437696</v>
      </c>
      <c r="V62" s="30">
        <f t="shared" si="48"/>
        <v>1.0791631652661064</v>
      </c>
    </row>
    <row r="63" spans="5:22" x14ac:dyDescent="0.55000000000000004">
      <c r="E63" s="30" t="s">
        <v>78</v>
      </c>
      <c r="F63" s="31" t="s">
        <v>46</v>
      </c>
      <c r="G63" s="31"/>
      <c r="H63" s="31"/>
      <c r="I63" s="31"/>
      <c r="J63" s="31"/>
      <c r="K63" s="31"/>
      <c r="L63" s="31"/>
      <c r="M63" s="31"/>
      <c r="N63" s="31"/>
      <c r="O63" s="31">
        <v>94.2</v>
      </c>
      <c r="P63" s="31">
        <f>2*H63/100*1000-$C$34</f>
        <v>-13.938750000000001</v>
      </c>
      <c r="Q63" s="31">
        <v>1101</v>
      </c>
      <c r="R63" s="30">
        <f t="shared" si="47"/>
        <v>-0.13439577222791094</v>
      </c>
      <c r="V63" s="30">
        <f t="shared" si="48"/>
        <v>-3.9044117647058826E-2</v>
      </c>
    </row>
    <row r="64" spans="5:22" x14ac:dyDescent="0.55000000000000004">
      <c r="E64" t="s">
        <v>80</v>
      </c>
      <c r="F64" s="2" t="s">
        <v>46</v>
      </c>
      <c r="G64" s="22"/>
      <c r="H64" s="22">
        <v>22.52</v>
      </c>
      <c r="I64" s="22"/>
      <c r="J64" s="22"/>
      <c r="K64" s="22"/>
      <c r="L64" s="22"/>
      <c r="M64" s="22"/>
      <c r="N64" s="22"/>
      <c r="O64" s="22">
        <v>41.4</v>
      </c>
      <c r="P64" s="22">
        <f t="shared" si="49"/>
        <v>436.46124999999995</v>
      </c>
      <c r="Q64" s="22">
        <v>1089</v>
      </c>
      <c r="R64" s="23">
        <f t="shared" si="47"/>
        <v>9.6809387240876035</v>
      </c>
      <c r="V64" s="23">
        <f t="shared" si="48"/>
        <v>1.2225805322128849</v>
      </c>
    </row>
    <row r="65" spans="5:22" x14ac:dyDescent="0.55000000000000004">
      <c r="E65" s="30" t="s">
        <v>113</v>
      </c>
      <c r="F65" s="31" t="s">
        <v>46</v>
      </c>
      <c r="G65" s="31">
        <v>36.388888888888559</v>
      </c>
      <c r="H65" s="31">
        <v>18.155205000000002</v>
      </c>
      <c r="I65" s="31">
        <v>0.32599736000000001</v>
      </c>
      <c r="J65" s="31">
        <v>1.6748099999999999</v>
      </c>
      <c r="K65" s="31">
        <v>2.2439237600000004</v>
      </c>
      <c r="L65" s="31">
        <v>1.32443164</v>
      </c>
      <c r="M65" s="31">
        <v>0.72769494425196868</v>
      </c>
      <c r="N65" s="31">
        <v>11.936826184636587</v>
      </c>
      <c r="O65" s="31">
        <v>37.700000000000003</v>
      </c>
      <c r="P65" s="31">
        <f t="shared" si="49"/>
        <v>349.16534999999999</v>
      </c>
      <c r="Q65" s="31">
        <v>1082</v>
      </c>
      <c r="R65" s="30">
        <f t="shared" si="47"/>
        <v>8.5597785317493376</v>
      </c>
      <c r="V65" s="30">
        <f t="shared" si="48"/>
        <v>0.97805420168067236</v>
      </c>
    </row>
    <row r="66" spans="5:22" x14ac:dyDescent="0.55000000000000004">
      <c r="E66" t="s">
        <v>90</v>
      </c>
      <c r="F66" s="2" t="s">
        <v>46</v>
      </c>
      <c r="G66" s="22">
        <v>32.685185185185276</v>
      </c>
      <c r="H66" s="22">
        <v>12.493304999999999</v>
      </c>
      <c r="I66" s="22">
        <v>0.60743473999999997</v>
      </c>
      <c r="J66" s="22">
        <v>1.5871949999999999</v>
      </c>
      <c r="K66" s="22">
        <v>2.1152944800000002</v>
      </c>
      <c r="L66" s="31">
        <v>8.1687573999999987</v>
      </c>
      <c r="M66" s="22">
        <v>0.75863971842519695</v>
      </c>
      <c r="N66" s="22">
        <v>6.9545588467600794</v>
      </c>
      <c r="O66" s="22">
        <v>37.700000000000003</v>
      </c>
      <c r="P66" s="22">
        <f t="shared" si="49"/>
        <v>235.92734999999999</v>
      </c>
      <c r="Q66" s="22">
        <v>1089</v>
      </c>
      <c r="R66" s="23">
        <f t="shared" si="47"/>
        <v>5.7465747418725472</v>
      </c>
      <c r="V66" s="23">
        <f t="shared" si="48"/>
        <v>0.66086092436974786</v>
      </c>
    </row>
    <row r="67" spans="5:22" x14ac:dyDescent="0.55000000000000004">
      <c r="E67" t="s">
        <v>111</v>
      </c>
      <c r="F67" s="2" t="s">
        <v>46</v>
      </c>
      <c r="G67" s="22">
        <v>19.25925925925938</v>
      </c>
      <c r="H67" s="22">
        <v>3.3001425000000002</v>
      </c>
      <c r="I67" s="22">
        <v>1.46788908</v>
      </c>
      <c r="J67" s="22">
        <v>1.3354874999999999</v>
      </c>
      <c r="K67" s="22">
        <v>0.99624928000000001</v>
      </c>
      <c r="L67" s="31">
        <v>0</v>
      </c>
      <c r="M67" s="22">
        <v>0.49846709480314971</v>
      </c>
      <c r="N67" s="22">
        <v>11.66102380445623</v>
      </c>
      <c r="O67" s="2">
        <v>21.1</v>
      </c>
      <c r="P67" s="22">
        <f t="shared" si="49"/>
        <v>52.064099999999996</v>
      </c>
      <c r="Q67" s="2">
        <v>1082</v>
      </c>
      <c r="R67" s="23">
        <f t="shared" si="47"/>
        <v>2.2804925055409058</v>
      </c>
      <c r="V67" s="23">
        <f t="shared" si="48"/>
        <v>0.14583781512605043</v>
      </c>
    </row>
    <row r="68" spans="5:22" x14ac:dyDescent="0.55000000000000004">
      <c r="E68" t="s">
        <v>136</v>
      </c>
      <c r="F68" s="2" t="s">
        <v>46</v>
      </c>
      <c r="G68" s="22">
        <v>36.388888888888559</v>
      </c>
      <c r="H68" s="22">
        <v>15.648592499999999</v>
      </c>
      <c r="I68" s="22">
        <v>0.44717647999999988</v>
      </c>
      <c r="J68" s="22">
        <v>1.6524000000000001</v>
      </c>
      <c r="K68" s="22">
        <v>2.64805008</v>
      </c>
      <c r="L68" s="22">
        <v>1.4444637199999999</v>
      </c>
      <c r="M68" s="22">
        <v>1.1688058015748033</v>
      </c>
      <c r="N68" s="22">
        <v>13.379400307313759</v>
      </c>
      <c r="O68" s="2">
        <v>37.700000000000003</v>
      </c>
      <c r="P68" s="22">
        <f t="shared" si="49"/>
        <v>299.03309999999999</v>
      </c>
      <c r="Q68" s="2">
        <v>1080</v>
      </c>
      <c r="R68" s="23">
        <f t="shared" si="47"/>
        <v>7.3443633952254634</v>
      </c>
      <c r="V68" s="23">
        <f>(0.002*H68-$H$40*0.002)/100/0.000357</f>
        <v>0.83762773109243704</v>
      </c>
    </row>
    <row r="69" spans="5:22" x14ac:dyDescent="0.55000000000000004">
      <c r="E69" t="s">
        <v>184</v>
      </c>
      <c r="F69" s="2" t="s">
        <v>46</v>
      </c>
      <c r="G69" s="22">
        <v>85.462962962962848</v>
      </c>
      <c r="H69" s="22">
        <v>35.909797500000003</v>
      </c>
      <c r="I69" s="22">
        <v>0.17658815999999999</v>
      </c>
      <c r="J69" s="22">
        <v>1.4354549999999999</v>
      </c>
      <c r="K69" s="22">
        <v>8.6348496000000008</v>
      </c>
      <c r="L69" s="22">
        <v>3.1769378399999999</v>
      </c>
      <c r="M69" s="22">
        <v>2.8494815300787404</v>
      </c>
      <c r="N69" s="22">
        <v>33.279853332884102</v>
      </c>
      <c r="O69" s="2"/>
      <c r="P69" s="22">
        <f t="shared" si="49"/>
        <v>704.25720000000001</v>
      </c>
      <c r="Q69" s="2">
        <v>1077</v>
      </c>
      <c r="R69" s="23" t="e">
        <f t="shared" si="47"/>
        <v>#DIV/0!</v>
      </c>
      <c r="V69" s="29">
        <f>(0.002*H69-$H$40*0.002)/100/0.000357</f>
        <v>1.9727092436974791</v>
      </c>
    </row>
    <row r="70" spans="5:22" x14ac:dyDescent="0.55000000000000004">
      <c r="E70" t="s">
        <v>185</v>
      </c>
      <c r="F70" s="2" t="s">
        <v>46</v>
      </c>
      <c r="G70" s="22">
        <v>33.086419753086119</v>
      </c>
      <c r="H70" s="22">
        <v>12.4278975</v>
      </c>
      <c r="I70" s="22">
        <v>0.81574419999999992</v>
      </c>
      <c r="J70" s="22">
        <v>1.7622225000000002</v>
      </c>
      <c r="K70" s="22">
        <v>2.3911607199999998</v>
      </c>
      <c r="L70" s="22">
        <v>1.3643868399999999</v>
      </c>
      <c r="M70" s="22">
        <v>0.82939878803149625</v>
      </c>
      <c r="N70" s="22">
        <v>13.49560920505462</v>
      </c>
      <c r="O70" s="2"/>
      <c r="P70" s="22">
        <f t="shared" si="49"/>
        <v>234.61920000000001</v>
      </c>
      <c r="Q70" s="2">
        <v>1089</v>
      </c>
      <c r="R70" s="23" t="e">
        <f t="shared" si="47"/>
        <v>#DIV/0!</v>
      </c>
      <c r="V70" s="29">
        <f>(0.002*H70-$H$40*0.002)/100/0.000357</f>
        <v>0.65719663865546218</v>
      </c>
    </row>
    <row r="71" spans="5:22" x14ac:dyDescent="0.55000000000000004">
      <c r="E71" t="s">
        <v>186</v>
      </c>
      <c r="F71" s="2" t="s">
        <v>46</v>
      </c>
      <c r="G71" s="22"/>
      <c r="H71" s="22">
        <v>27.798862499999998</v>
      </c>
      <c r="I71" s="22">
        <v>0.25087981999999998</v>
      </c>
      <c r="J71" s="22">
        <v>1.9319175000000002</v>
      </c>
      <c r="K71" s="22">
        <v>4.2531840000000001</v>
      </c>
      <c r="L71" s="22">
        <v>0.75290579999999996</v>
      </c>
      <c r="M71" s="22">
        <v>1.4202074541732284</v>
      </c>
      <c r="N71" s="22"/>
      <c r="O71" s="2"/>
      <c r="P71" s="22">
        <f t="shared" si="49"/>
        <v>542.0385</v>
      </c>
      <c r="Q71" s="2">
        <v>1079</v>
      </c>
      <c r="R71" s="23" t="e">
        <f t="shared" si="47"/>
        <v>#DIV/0!</v>
      </c>
      <c r="V71" s="29">
        <f t="shared" si="48"/>
        <v>1.51831512605042</v>
      </c>
    </row>
    <row r="72" spans="5:22" x14ac:dyDescent="0.55000000000000004">
      <c r="E72" t="s">
        <v>165</v>
      </c>
      <c r="F72" s="2" t="s">
        <v>46</v>
      </c>
      <c r="G72" s="22">
        <v>31.26543209876553</v>
      </c>
      <c r="H72" s="22">
        <v>10.9875825</v>
      </c>
      <c r="I72" s="22">
        <v>0.6825147399999999</v>
      </c>
      <c r="J72" s="22">
        <v>1.6627949999999998</v>
      </c>
      <c r="K72" s="22">
        <v>1.9547663200000003</v>
      </c>
      <c r="L72" s="31">
        <v>7.8935659600000001</v>
      </c>
      <c r="M72" s="22">
        <v>0.76425708188976371</v>
      </c>
      <c r="N72" s="22">
        <v>7.3199504968757658</v>
      </c>
      <c r="O72" s="22">
        <v>37.700000000000003</v>
      </c>
      <c r="P72" s="22">
        <f t="shared" si="49"/>
        <v>205.81289999999998</v>
      </c>
      <c r="Q72" s="2">
        <v>1089</v>
      </c>
      <c r="R72" s="23">
        <f t="shared" si="47"/>
        <v>5.0130653046013531</v>
      </c>
      <c r="V72" s="23">
        <f>(0.002*H72-$H$40*0.002)/100/0.000357</f>
        <v>0.57650672268907566</v>
      </c>
    </row>
    <row r="73" spans="5:22" x14ac:dyDescent="0.55000000000000004">
      <c r="E73" t="s">
        <v>148</v>
      </c>
      <c r="F73" s="2" t="s">
        <v>46</v>
      </c>
      <c r="G73" s="22"/>
      <c r="H73" s="22">
        <v>28.509435</v>
      </c>
      <c r="I73" s="22"/>
      <c r="J73" s="22"/>
      <c r="K73" s="22"/>
      <c r="L73" s="22"/>
      <c r="M73" s="22"/>
      <c r="N73" s="22"/>
      <c r="O73" s="22">
        <v>82.8</v>
      </c>
      <c r="P73" s="22">
        <f t="shared" si="49"/>
        <v>556.24995000000001</v>
      </c>
      <c r="Q73" s="2">
        <v>1053</v>
      </c>
      <c r="R73" s="23">
        <f t="shared" si="47"/>
        <v>6.3798618852966689</v>
      </c>
      <c r="V73" s="23">
        <f t="shared" ref="V73:V92" si="52">(0.002*H73-$H$40*0.002)/100/0.000357</f>
        <v>1.5581231092436973</v>
      </c>
    </row>
    <row r="74" spans="5:22" x14ac:dyDescent="0.55000000000000004">
      <c r="E74" t="s">
        <v>167</v>
      </c>
      <c r="F74" s="2" t="s">
        <v>46</v>
      </c>
      <c r="G74" s="22"/>
      <c r="H74" s="22">
        <v>39.101129999999998</v>
      </c>
      <c r="I74" s="22"/>
      <c r="J74" s="22"/>
      <c r="K74" s="22"/>
      <c r="L74" s="22"/>
      <c r="M74" s="22"/>
      <c r="N74" s="22"/>
      <c r="O74" s="22">
        <v>414.2</v>
      </c>
      <c r="P74" s="22">
        <f t="shared" si="49"/>
        <v>768.08384999999987</v>
      </c>
      <c r="Q74" s="2">
        <v>1072</v>
      </c>
      <c r="R74" s="23">
        <f>P74/O74/Q74*1000</f>
        <v>1.7298313103122722</v>
      </c>
      <c r="V74" s="23">
        <f>(0.002*H74-$H$40*0.002)/100/0.000357</f>
        <v>2.1514953781512602</v>
      </c>
    </row>
    <row r="75" spans="5:22" x14ac:dyDescent="0.55000000000000004">
      <c r="E75" t="s">
        <v>162</v>
      </c>
      <c r="F75" s="2" t="s">
        <v>46</v>
      </c>
      <c r="G75" s="22"/>
      <c r="H75" s="22">
        <v>10.8543375</v>
      </c>
      <c r="I75" s="22">
        <v>0.66847477999999994</v>
      </c>
      <c r="J75" s="22">
        <v>1.7228025</v>
      </c>
      <c r="K75" s="22">
        <v>1.4681607200000002</v>
      </c>
      <c r="L75" s="22">
        <v>1.0955216400000001</v>
      </c>
      <c r="M75" s="22">
        <v>0.65772427653543319</v>
      </c>
      <c r="N75" s="22"/>
      <c r="O75" s="22">
        <v>37.700000000000003</v>
      </c>
      <c r="P75" s="22">
        <f>2*H75/100*1000-$C$34</f>
        <v>203.148</v>
      </c>
      <c r="Q75" s="2">
        <v>1086</v>
      </c>
      <c r="R75" s="23">
        <f t="shared" si="47"/>
        <v>4.9618242302563127</v>
      </c>
      <c r="V75" s="23">
        <f t="shared" si="52"/>
        <v>0.56904201680672273</v>
      </c>
    </row>
    <row r="76" spans="5:22" x14ac:dyDescent="0.55000000000000004">
      <c r="E76" t="s">
        <v>189</v>
      </c>
      <c r="F76" s="2" t="s">
        <v>46</v>
      </c>
      <c r="H76" s="2">
        <v>9.2736225000000001</v>
      </c>
      <c r="I76" s="2">
        <v>0</v>
      </c>
      <c r="J76" s="2">
        <v>0</v>
      </c>
      <c r="K76" s="2">
        <v>1.5646695999999998</v>
      </c>
      <c r="L76" s="2">
        <v>0.93536787999999993</v>
      </c>
      <c r="M76" s="2">
        <v>0.5291162182677166</v>
      </c>
      <c r="O76" s="22">
        <v>23.9</v>
      </c>
      <c r="P76" s="22">
        <f t="shared" si="49"/>
        <v>171.53370000000001</v>
      </c>
      <c r="Q76" s="2">
        <v>1055</v>
      </c>
      <c r="R76" s="23">
        <f t="shared" si="47"/>
        <v>6.8029784449423945</v>
      </c>
      <c r="V76" s="23">
        <f t="shared" si="52"/>
        <v>0.4804865546218488</v>
      </c>
    </row>
    <row r="77" spans="5:22" x14ac:dyDescent="0.55000000000000004">
      <c r="E77" t="s">
        <v>192</v>
      </c>
      <c r="F77" s="2" t="s">
        <v>46</v>
      </c>
      <c r="G77" s="2">
        <v>59.320987654320945</v>
      </c>
      <c r="H77" s="2">
        <v>30.652290000000004</v>
      </c>
      <c r="I77" s="2">
        <v>0</v>
      </c>
      <c r="J77" s="2">
        <v>1.9014750000000005</v>
      </c>
      <c r="K77" s="2">
        <v>4.6883969600000004</v>
      </c>
      <c r="L77" s="2">
        <v>2.3459529199999998</v>
      </c>
      <c r="M77" s="2">
        <v>1.8935442387401575</v>
      </c>
      <c r="N77" s="2">
        <v>17.839328535580783</v>
      </c>
      <c r="O77" s="2">
        <v>17.839328535580783</v>
      </c>
      <c r="P77" s="22">
        <f t="shared" si="49"/>
        <v>599.10705000000007</v>
      </c>
      <c r="Q77" s="2">
        <v>1088</v>
      </c>
      <c r="R77" s="23">
        <f t="shared" si="47"/>
        <v>30.867185445577412</v>
      </c>
      <c r="V77" s="23">
        <f t="shared" si="52"/>
        <v>1.6781710084033616</v>
      </c>
    </row>
    <row r="78" spans="5:22" x14ac:dyDescent="0.55000000000000004">
      <c r="E78" t="s">
        <v>197</v>
      </c>
      <c r="F78" s="2" t="s">
        <v>46</v>
      </c>
      <c r="G78" s="2">
        <v>59.598765432098624</v>
      </c>
      <c r="H78" s="2">
        <v>26.485447500000003</v>
      </c>
      <c r="I78" s="2"/>
      <c r="J78" s="2">
        <v>3.3430050000000002</v>
      </c>
      <c r="K78" s="2">
        <v>8.1472102400000015</v>
      </c>
      <c r="L78" s="2">
        <v>2.60366396</v>
      </c>
      <c r="M78" s="2">
        <v>1.9183788982677166</v>
      </c>
      <c r="N78" s="2"/>
      <c r="O78" s="2">
        <v>20.7</v>
      </c>
      <c r="P78" s="22">
        <f>2*H78/100*1000-$C$34</f>
        <v>515.77020000000005</v>
      </c>
      <c r="Q78" s="2">
        <v>1403</v>
      </c>
      <c r="R78" s="23">
        <f t="shared" si="47"/>
        <v>17.759397564225733</v>
      </c>
      <c r="V78" s="23">
        <f>(0.002*H78-1.09*0.002)/100/0.000357</f>
        <v>1.4227141456582635</v>
      </c>
    </row>
    <row r="79" spans="5:22" x14ac:dyDescent="0.55000000000000004">
      <c r="E79" t="s">
        <v>198</v>
      </c>
      <c r="G79" s="2">
        <v>72.314814814815193</v>
      </c>
      <c r="H79" s="2">
        <v>24.090209999999999</v>
      </c>
      <c r="I79" s="2"/>
      <c r="J79" s="2">
        <v>1.9016099999999998</v>
      </c>
      <c r="K79" s="2">
        <v>13.031726240000003</v>
      </c>
      <c r="L79" s="2">
        <v>3.3082073199999993</v>
      </c>
      <c r="M79" s="2">
        <v>1.8937413392125984</v>
      </c>
      <c r="N79" s="2"/>
      <c r="O79" s="2">
        <v>20.7</v>
      </c>
      <c r="P79" s="22">
        <f t="shared" si="49"/>
        <v>467.86544999999995</v>
      </c>
      <c r="Q79" s="2">
        <v>1682</v>
      </c>
      <c r="R79" s="23">
        <f t="shared" si="47"/>
        <v>13.4376906374399</v>
      </c>
      <c r="V79" s="23">
        <f>(0.002*H79-1.09*0.002)/100/0.000357</f>
        <v>1.2885271708683472</v>
      </c>
    </row>
    <row r="80" spans="5:22" x14ac:dyDescent="0.55000000000000004">
      <c r="E80" t="s">
        <v>199</v>
      </c>
      <c r="G80" s="2">
        <v>76.851851851852075</v>
      </c>
      <c r="H80" s="2">
        <v>21.176369999999999</v>
      </c>
      <c r="I80" s="2"/>
      <c r="J80" s="2">
        <v>1.9016774999999999</v>
      </c>
      <c r="K80" s="2">
        <v>15.787361200000003</v>
      </c>
      <c r="L80" s="2">
        <v>3.2567649999999997</v>
      </c>
      <c r="M80" s="2">
        <v>3.8925372302362211</v>
      </c>
      <c r="N80" s="2"/>
      <c r="O80" s="2">
        <v>20.7</v>
      </c>
      <c r="P80" s="22">
        <f t="shared" si="49"/>
        <v>409.58864999999997</v>
      </c>
      <c r="Q80" s="2">
        <v>2106</v>
      </c>
      <c r="R80" s="23">
        <f>P80/O80/Q80*1000</f>
        <v>9.3954849498327757</v>
      </c>
      <c r="V80" s="23">
        <f>(0.002*H80-1.09*0.002)/100/0.000357</f>
        <v>1.1252868347338936</v>
      </c>
    </row>
    <row r="81" spans="5:22" x14ac:dyDescent="0.55000000000000004">
      <c r="E81" t="s">
        <v>200</v>
      </c>
      <c r="G81" s="2">
        <v>27.067901234567913</v>
      </c>
      <c r="H81" s="2">
        <v>12.65868</v>
      </c>
      <c r="I81" s="2">
        <v>0.73995094000000006</v>
      </c>
      <c r="J81" s="2">
        <v>1.8255375</v>
      </c>
      <c r="K81" s="2">
        <v>2.1649888000000006</v>
      </c>
      <c r="L81" s="2">
        <v>1.2551759600000001</v>
      </c>
      <c r="M81" s="2">
        <v>0.60953321102362212</v>
      </c>
      <c r="N81" s="2">
        <v>7.8140348235442936</v>
      </c>
      <c r="O81" s="2">
        <v>34.299999999999997</v>
      </c>
      <c r="P81" s="22">
        <f t="shared" si="49"/>
        <v>239.23484999999999</v>
      </c>
      <c r="Q81" s="2">
        <v>1080</v>
      </c>
      <c r="R81" s="23">
        <f t="shared" si="47"/>
        <v>6.4581268221574346</v>
      </c>
      <c r="V81" s="23">
        <f t="shared" si="52"/>
        <v>0.67012563025210092</v>
      </c>
    </row>
    <row r="82" spans="5:22" x14ac:dyDescent="0.55000000000000004">
      <c r="E82" s="34" t="s">
        <v>9</v>
      </c>
      <c r="G82" s="2">
        <v>0</v>
      </c>
      <c r="H82" s="2">
        <v>41.090220000000002</v>
      </c>
      <c r="I82" s="2">
        <v>2.39981958</v>
      </c>
      <c r="J82" s="2">
        <v>2.8071225000000002</v>
      </c>
      <c r="K82" s="2">
        <v>5.678960560000001</v>
      </c>
      <c r="L82" s="2">
        <v>3.3668082799999999</v>
      </c>
      <c r="M82" s="2">
        <v>0.92686497165354342</v>
      </c>
      <c r="N82" s="2"/>
      <c r="O82" s="2"/>
      <c r="P82" s="22">
        <f t="shared" si="49"/>
        <v>807.86564999999996</v>
      </c>
      <c r="R82" s="23" t="e">
        <f t="shared" si="47"/>
        <v>#DIV/0!</v>
      </c>
      <c r="V82" s="23">
        <f t="shared" si="52"/>
        <v>2.2629289915966386</v>
      </c>
    </row>
    <row r="83" spans="5:22" x14ac:dyDescent="0.55000000000000004">
      <c r="E83" s="34" t="s">
        <v>201</v>
      </c>
      <c r="G83" s="2">
        <v>0</v>
      </c>
      <c r="H83" s="2">
        <v>10.930005</v>
      </c>
      <c r="I83" s="2">
        <v>11.646784999999999</v>
      </c>
      <c r="J83" s="2">
        <v>2.3459625000000002</v>
      </c>
      <c r="K83" s="2">
        <v>3.0285476</v>
      </c>
      <c r="L83" s="2">
        <v>1.2887216799999999</v>
      </c>
      <c r="M83" s="2">
        <v>0.625991100472441</v>
      </c>
      <c r="N83" s="2"/>
      <c r="O83" s="2"/>
      <c r="P83" s="22">
        <f t="shared" si="49"/>
        <v>204.66135</v>
      </c>
      <c r="R83" s="23" t="e">
        <f t="shared" si="47"/>
        <v>#DIV/0!</v>
      </c>
      <c r="V83" s="23">
        <f t="shared" si="52"/>
        <v>0.57328109243697478</v>
      </c>
    </row>
    <row r="84" spans="5:22" x14ac:dyDescent="0.55000000000000004">
      <c r="E84" t="s">
        <v>206</v>
      </c>
      <c r="G84" s="2">
        <v>0</v>
      </c>
      <c r="H84" s="2">
        <v>7.5529125000000006</v>
      </c>
      <c r="I84" s="2">
        <v>11.24439374</v>
      </c>
      <c r="J84" s="2">
        <v>2.2807575000000004</v>
      </c>
      <c r="K84" s="2">
        <v>2.7591054400000004</v>
      </c>
      <c r="L84" s="2">
        <v>1.2224626399999998</v>
      </c>
      <c r="M84" s="2">
        <v>0.6404779851968504</v>
      </c>
      <c r="N84" s="2"/>
      <c r="O84" s="2"/>
      <c r="P84" s="22">
        <f t="shared" si="49"/>
        <v>137.11950000000002</v>
      </c>
      <c r="R84" s="23" t="e">
        <f t="shared" si="47"/>
        <v>#DIV/0!</v>
      </c>
      <c r="V84" s="23"/>
    </row>
    <row r="85" spans="5:22" x14ac:dyDescent="0.55000000000000004">
      <c r="E85" t="s">
        <v>207</v>
      </c>
      <c r="G85" s="2">
        <v>49.87654320987658</v>
      </c>
      <c r="H85" s="2">
        <v>20.519797499999999</v>
      </c>
      <c r="I85" s="2">
        <v>0</v>
      </c>
      <c r="J85" s="2">
        <v>2.9479275000000005</v>
      </c>
      <c r="K85" s="2">
        <v>6.2362310400000007</v>
      </c>
      <c r="L85" s="2">
        <v>2.2607983999999997</v>
      </c>
      <c r="M85" s="2">
        <v>1.7390174683464568</v>
      </c>
      <c r="N85" s="2">
        <v>16.172771301530126</v>
      </c>
      <c r="O85" s="2">
        <v>10.3</v>
      </c>
      <c r="P85" s="22">
        <f t="shared" si="49"/>
        <v>396.4572</v>
      </c>
      <c r="Q85" s="2">
        <v>1385</v>
      </c>
      <c r="R85" s="23">
        <f t="shared" si="47"/>
        <v>27.791328730153168</v>
      </c>
      <c r="V85" s="23">
        <f>(0.002*H85-1.09*0.002)/100/(0.000357/2)</f>
        <v>2.1770081232492995</v>
      </c>
    </row>
    <row r="86" spans="5:22" x14ac:dyDescent="0.55000000000000004">
      <c r="E86" t="s">
        <v>208</v>
      </c>
      <c r="G86" s="2">
        <v>22.37654320987653</v>
      </c>
      <c r="H86" s="2">
        <v>17.688307500000001</v>
      </c>
      <c r="I86" s="2">
        <v>0.51767660000000004</v>
      </c>
      <c r="J86" s="2">
        <v>1.66428</v>
      </c>
      <c r="K86" s="2">
        <v>2.3081645600000003</v>
      </c>
      <c r="L86" s="2">
        <v>1.33333832</v>
      </c>
      <c r="M86" s="2">
        <v>0.92124760818897644</v>
      </c>
      <c r="N86" s="2"/>
      <c r="O86" s="2">
        <v>52.9</v>
      </c>
      <c r="P86" s="22">
        <f t="shared" si="49"/>
        <v>339.82739999999995</v>
      </c>
      <c r="Q86" s="2">
        <v>1041</v>
      </c>
      <c r="R86" s="23">
        <f t="shared" si="47"/>
        <v>6.1709494832836675</v>
      </c>
      <c r="V86" s="23">
        <f>(0.002*H86-$H$40*0.002)/100/0.000357</f>
        <v>0.9518974789915966</v>
      </c>
    </row>
    <row r="87" spans="5:22" x14ac:dyDescent="0.55000000000000004">
      <c r="E87" t="s">
        <v>209</v>
      </c>
      <c r="G87" s="2">
        <v>31.574074074074559</v>
      </c>
      <c r="H87" s="2">
        <v>17.671432500000002</v>
      </c>
      <c r="I87" s="2">
        <v>0.46872443999999996</v>
      </c>
      <c r="J87" s="2">
        <v>1.6791975000000001</v>
      </c>
      <c r="K87" s="2">
        <v>2.1605584000000002</v>
      </c>
      <c r="L87" s="2">
        <v>1.2829781199999999</v>
      </c>
      <c r="M87" s="2">
        <v>0.69172410803149609</v>
      </c>
      <c r="N87" s="2">
        <v>7.619459006043062</v>
      </c>
      <c r="O87" s="2">
        <v>52.9</v>
      </c>
      <c r="P87" s="22">
        <f t="shared" si="49"/>
        <v>339.48989999999998</v>
      </c>
      <c r="Q87" s="2">
        <v>1067</v>
      </c>
      <c r="R87" s="23">
        <f t="shared" si="47"/>
        <v>6.0146002342131979</v>
      </c>
      <c r="V87" s="23">
        <f t="shared" si="52"/>
        <v>0.9509521008403361</v>
      </c>
    </row>
    <row r="88" spans="5:22" x14ac:dyDescent="0.55000000000000004">
      <c r="E88" t="s">
        <v>210</v>
      </c>
      <c r="G88" s="2">
        <v>40.77160493827148</v>
      </c>
      <c r="H88" s="2">
        <v>22.940145000000005</v>
      </c>
      <c r="I88" s="2">
        <v>2.4905162199999999</v>
      </c>
      <c r="J88" s="2">
        <v>2.7420525000000002</v>
      </c>
      <c r="K88" s="2">
        <v>3.20052096</v>
      </c>
      <c r="L88" s="2">
        <v>1.60586608</v>
      </c>
      <c r="M88" s="2">
        <v>1.1761970692913386</v>
      </c>
      <c r="N88" s="2"/>
      <c r="O88" s="2">
        <v>20.7</v>
      </c>
      <c r="P88" s="22">
        <f t="shared" si="49"/>
        <v>444.86415000000005</v>
      </c>
      <c r="Q88" s="2">
        <v>1068</v>
      </c>
      <c r="R88" s="23">
        <f t="shared" si="47"/>
        <v>20.12267953102101</v>
      </c>
      <c r="V88" s="23">
        <f t="shared" si="52"/>
        <v>1.246118067226891</v>
      </c>
    </row>
    <row r="89" spans="5:22" x14ac:dyDescent="0.55000000000000004">
      <c r="E89" t="s">
        <v>211</v>
      </c>
      <c r="G89" s="2">
        <v>37.006172839506057</v>
      </c>
      <c r="H89" s="2">
        <v>18.583155000000001</v>
      </c>
      <c r="I89" s="2">
        <v>0.44436097999999996</v>
      </c>
      <c r="J89" s="2">
        <v>1.7758575000000003</v>
      </c>
      <c r="K89" s="2">
        <v>2.5330812000000003</v>
      </c>
      <c r="L89" s="2">
        <v>1.4944077199999997</v>
      </c>
      <c r="M89" s="2">
        <v>0.8429001703937008</v>
      </c>
      <c r="N89" s="2">
        <v>11.332410269112355</v>
      </c>
      <c r="O89" s="2">
        <v>29.6</v>
      </c>
      <c r="P89" s="22">
        <f t="shared" si="49"/>
        <v>357.72435000000002</v>
      </c>
      <c r="Q89" s="2">
        <v>1077</v>
      </c>
      <c r="R89" s="23">
        <f t="shared" si="47"/>
        <v>11.22124614168486</v>
      </c>
      <c r="V89" s="23">
        <f t="shared" si="52"/>
        <v>1.0020289915966385</v>
      </c>
    </row>
    <row r="90" spans="5:22" x14ac:dyDescent="0.55000000000000004">
      <c r="E90" t="s">
        <v>212</v>
      </c>
      <c r="G90" s="2">
        <v>27.098765432098716</v>
      </c>
      <c r="H90" s="2">
        <v>10.917585000000001</v>
      </c>
      <c r="I90" s="2">
        <v>0</v>
      </c>
      <c r="J90" s="2">
        <v>2.9625075000000005</v>
      </c>
      <c r="K90" s="2">
        <v>2.5728071200000002</v>
      </c>
      <c r="L90" s="2">
        <v>1.0137799599999999</v>
      </c>
      <c r="M90" s="2">
        <v>0.79815836314960642</v>
      </c>
      <c r="N90" s="2"/>
      <c r="O90" s="2">
        <v>20.7</v>
      </c>
      <c r="P90" s="22">
        <f t="shared" si="49"/>
        <v>204.41295000000002</v>
      </c>
      <c r="Q90" s="2">
        <v>1047</v>
      </c>
      <c r="R90" s="23">
        <f t="shared" si="47"/>
        <v>9.4317304098667023</v>
      </c>
      <c r="V90" s="23">
        <f t="shared" si="52"/>
        <v>0.57258529411764703</v>
      </c>
    </row>
    <row r="91" spans="5:22" x14ac:dyDescent="0.55000000000000004">
      <c r="E91" t="s">
        <v>213</v>
      </c>
      <c r="G91" s="2">
        <v>25.555555555555259</v>
      </c>
      <c r="H91" s="2">
        <v>9.1196550000000016</v>
      </c>
      <c r="I91" s="2">
        <v>0.32201812000000002</v>
      </c>
      <c r="J91" s="2">
        <v>1.5379874999999998</v>
      </c>
      <c r="K91" s="2">
        <v>2.6015308800000003</v>
      </c>
      <c r="L91" s="2">
        <v>1.2268743599999998</v>
      </c>
      <c r="M91" s="2">
        <v>0</v>
      </c>
      <c r="O91" s="2">
        <v>29.6</v>
      </c>
      <c r="P91" s="22">
        <f t="shared" si="49"/>
        <v>168.45435000000003</v>
      </c>
      <c r="Q91" s="2">
        <v>1061</v>
      </c>
      <c r="R91" s="23">
        <f t="shared" si="47"/>
        <v>5.3638316096492353</v>
      </c>
      <c r="V91" s="23">
        <f t="shared" si="52"/>
        <v>0.47186092436974802</v>
      </c>
    </row>
    <row r="92" spans="5:22" x14ac:dyDescent="0.55000000000000004">
      <c r="E92" t="s">
        <v>215</v>
      </c>
      <c r="P92" s="22">
        <f t="shared" si="49"/>
        <v>-13.938750000000001</v>
      </c>
      <c r="Q92" s="2">
        <v>1382</v>
      </c>
      <c r="R92" s="23" t="e">
        <f t="shared" si="47"/>
        <v>#DIV/0!</v>
      </c>
      <c r="V92" s="23">
        <f t="shared" si="52"/>
        <v>-3.9044117647058826E-2</v>
      </c>
    </row>
    <row r="93" spans="5:22" x14ac:dyDescent="0.55000000000000004">
      <c r="E93" t="s">
        <v>235</v>
      </c>
      <c r="H93" s="2">
        <v>4.7</v>
      </c>
      <c r="O93" s="2">
        <v>70</v>
      </c>
      <c r="P93" s="22">
        <f t="shared" si="49"/>
        <v>80.061250000000001</v>
      </c>
      <c r="Q93" s="2">
        <v>1047</v>
      </c>
      <c r="R93" s="23">
        <f t="shared" si="47"/>
        <v>1.0923898212580163</v>
      </c>
      <c r="V93" s="23">
        <f>(0.002*H93-$H$39*0.002)/100/0.000357</f>
        <v>0.10644257703081234</v>
      </c>
    </row>
    <row r="94" spans="5:22" x14ac:dyDescent="0.55000000000000004">
      <c r="H94" s="2">
        <v>42.438271604938748</v>
      </c>
      <c r="I94" s="2">
        <v>4.9593600000000002</v>
      </c>
      <c r="J94" s="2">
        <v>8.6009770999999979</v>
      </c>
      <c r="K94" s="2">
        <v>1.6503750000000001</v>
      </c>
      <c r="L94" s="2">
        <v>2.6750016800000003</v>
      </c>
      <c r="M94" s="2">
        <v>1.01519504</v>
      </c>
      <c r="N94" s="2">
        <v>0.61347522047244107</v>
      </c>
      <c r="O94" s="2">
        <v>22.923887564466309</v>
      </c>
    </row>
  </sheetData>
  <phoneticPr fontId="1"/>
  <dataValidations count="1">
    <dataValidation type="list" allowBlank="1" showInputMessage="1" showErrorMessage="1" sqref="F33:F97 I23:BO23 H2:FF2" xr:uid="{67FEB4A0-021F-4FEA-9D13-6F1E25C81D35}">
      <formula1>"milled,Avicel"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9ACE-3DAA-4552-9E48-74C393827DD2}">
  <dimension ref="A1:AB263"/>
  <sheetViews>
    <sheetView topLeftCell="A7" zoomScale="60" zoomScaleNormal="46" workbookViewId="0">
      <selection activeCell="H19" sqref="H19"/>
    </sheetView>
  </sheetViews>
  <sheetFormatPr defaultRowHeight="18" x14ac:dyDescent="0.55000000000000004"/>
  <cols>
    <col min="3" max="3" width="10.58203125" bestFit="1" customWidth="1"/>
    <col min="6" max="6" width="9.6640625" customWidth="1"/>
    <col min="7" max="7" width="9.25" bestFit="1" customWidth="1"/>
  </cols>
  <sheetData>
    <row r="1" spans="1:28" x14ac:dyDescent="0.55000000000000004">
      <c r="B1" t="s">
        <v>68</v>
      </c>
      <c r="C1" t="s">
        <v>5</v>
      </c>
      <c r="D1" t="s">
        <v>164</v>
      </c>
      <c r="E1" t="s">
        <v>134</v>
      </c>
      <c r="F1" t="s">
        <v>147</v>
      </c>
      <c r="G1" t="s">
        <v>274</v>
      </c>
      <c r="H1" s="1">
        <v>4.4539999999999996E-3</v>
      </c>
      <c r="I1">
        <v>2.44</v>
      </c>
    </row>
    <row r="2" spans="1:28" x14ac:dyDescent="0.55000000000000004">
      <c r="A2" t="s">
        <v>53</v>
      </c>
      <c r="B2">
        <v>1.93</v>
      </c>
      <c r="C2">
        <v>18.649999999999999</v>
      </c>
      <c r="D2">
        <v>16.427803853754938</v>
      </c>
      <c r="E2">
        <v>2.44</v>
      </c>
      <c r="F2">
        <v>1.0058785714285716</v>
      </c>
      <c r="G2" s="1">
        <f>E2 -LOG10(10^(-E2) / ($H$1 - 10^(-E2)))</f>
        <v>1.7955156240555172</v>
      </c>
      <c r="I2">
        <v>2.76</v>
      </c>
      <c r="V2" t="s">
        <v>92</v>
      </c>
      <c r="W2" t="s">
        <v>93</v>
      </c>
      <c r="X2" t="s">
        <v>94</v>
      </c>
    </row>
    <row r="3" spans="1:28" x14ac:dyDescent="0.55000000000000004">
      <c r="A3" t="s">
        <v>54</v>
      </c>
      <c r="B3">
        <v>3.03</v>
      </c>
      <c r="C3">
        <v>10.52</v>
      </c>
      <c r="D3">
        <v>8.6515001387182444</v>
      </c>
      <c r="E3">
        <v>2.76</v>
      </c>
      <c r="F3">
        <v>0.55030084033613447</v>
      </c>
      <c r="G3" s="1">
        <f t="shared" ref="G3:G30" si="0">E3 -LOG10(10^(-E3) / ($H$1 - 10^(-E3)))</f>
        <v>2.9539616123697523</v>
      </c>
      <c r="I3">
        <v>2.73</v>
      </c>
      <c r="V3">
        <v>7.1376908139999999</v>
      </c>
      <c r="X3">
        <v>166.14</v>
      </c>
    </row>
    <row r="4" spans="1:28" x14ac:dyDescent="0.55000000000000004">
      <c r="A4" t="s">
        <v>10</v>
      </c>
      <c r="B4">
        <v>2.98</v>
      </c>
      <c r="C4">
        <v>13.32</v>
      </c>
      <c r="D4">
        <v>8.0126517930399004</v>
      </c>
      <c r="E4">
        <v>2.6</v>
      </c>
      <c r="F4">
        <v>0.70725252100840341</v>
      </c>
      <c r="G4" s="1">
        <f t="shared" si="0"/>
        <v>2.4882746224445818</v>
      </c>
      <c r="I4" s="30"/>
      <c r="V4">
        <v>50</v>
      </c>
      <c r="X4" t="s">
        <v>92</v>
      </c>
      <c r="Y4">
        <v>12.03804021</v>
      </c>
      <c r="Z4" t="s">
        <v>95</v>
      </c>
      <c r="AA4">
        <f>Y4*Y5</f>
        <v>356.88454083609577</v>
      </c>
    </row>
    <row r="5" spans="1:28" ht="72" x14ac:dyDescent="0.55000000000000004">
      <c r="A5" s="33" t="s">
        <v>183</v>
      </c>
      <c r="B5">
        <v>2.95</v>
      </c>
      <c r="C5">
        <v>11.8</v>
      </c>
      <c r="D5">
        <v>5.3459331721786691</v>
      </c>
      <c r="E5" s="30"/>
      <c r="F5">
        <v>0.62194915966386555</v>
      </c>
      <c r="G5" s="1" t="e">
        <f t="shared" si="0"/>
        <v>#NUM!</v>
      </c>
      <c r="I5">
        <v>3.08</v>
      </c>
      <c r="Y5">
        <v>29.6463988</v>
      </c>
      <c r="Z5" t="s">
        <v>96</v>
      </c>
    </row>
    <row r="6" spans="1:28" x14ac:dyDescent="0.55000000000000004">
      <c r="A6" t="s">
        <v>19</v>
      </c>
      <c r="B6">
        <v>4.2</v>
      </c>
      <c r="C6">
        <v>3.45</v>
      </c>
      <c r="D6">
        <v>1.2081910363899744</v>
      </c>
      <c r="E6">
        <v>3.08</v>
      </c>
      <c r="F6">
        <v>0.1541949579831933</v>
      </c>
      <c r="G6" s="1">
        <f t="shared" si="0"/>
        <v>3.7189767699871892</v>
      </c>
      <c r="I6">
        <v>2.5299999999999998</v>
      </c>
      <c r="W6" t="s">
        <v>97</v>
      </c>
      <c r="X6" t="s">
        <v>94</v>
      </c>
    </row>
    <row r="7" spans="1:28" x14ac:dyDescent="0.55000000000000004">
      <c r="A7" t="s">
        <v>40</v>
      </c>
      <c r="B7">
        <v>1.92</v>
      </c>
      <c r="C7">
        <v>11.53</v>
      </c>
      <c r="D7">
        <v>9.1956023528812612</v>
      </c>
      <c r="E7">
        <v>2.5299999999999998</v>
      </c>
      <c r="F7">
        <v>0.60692521008403366</v>
      </c>
      <c r="G7" s="1">
        <f t="shared" si="0"/>
        <v>2.2368985199669393</v>
      </c>
      <c r="I7">
        <v>3.37</v>
      </c>
      <c r="X7">
        <v>438.31799999999998</v>
      </c>
    </row>
    <row r="8" spans="1:28" ht="90" x14ac:dyDescent="0.55000000000000004">
      <c r="A8" s="33" t="s">
        <v>181</v>
      </c>
      <c r="B8">
        <v>4.34</v>
      </c>
      <c r="C8">
        <v>6.8</v>
      </c>
      <c r="D8">
        <v>3.7035557658362612</v>
      </c>
      <c r="E8">
        <v>3.37</v>
      </c>
      <c r="F8">
        <v>0.34205294117647067</v>
      </c>
      <c r="G8" s="1">
        <f t="shared" si="0"/>
        <v>4.345026974313436</v>
      </c>
      <c r="I8" s="30">
        <v>3.28</v>
      </c>
      <c r="X8" t="s">
        <v>92</v>
      </c>
      <c r="Y8">
        <v>9.1257945140000007</v>
      </c>
    </row>
    <row r="9" spans="1:28" x14ac:dyDescent="0.55000000000000004">
      <c r="A9" s="30" t="s">
        <v>67</v>
      </c>
      <c r="B9" s="30">
        <v>4.18</v>
      </c>
      <c r="C9" s="30"/>
      <c r="D9" s="30"/>
      <c r="E9" s="30">
        <v>3.28</v>
      </c>
      <c r="F9" s="30"/>
      <c r="G9" s="1">
        <f>E9 -LOG10(10^(-E9) / ($H$1 - 10^(-E9)))</f>
        <v>4.1543033107925327</v>
      </c>
      <c r="I9">
        <v>2.44</v>
      </c>
      <c r="Y9">
        <v>39.107229529999998</v>
      </c>
      <c r="Z9" t="s">
        <v>96</v>
      </c>
    </row>
    <row r="10" spans="1:28" x14ac:dyDescent="0.55000000000000004">
      <c r="A10" t="s">
        <v>171</v>
      </c>
      <c r="B10">
        <v>2.11</v>
      </c>
      <c r="C10">
        <v>15.65</v>
      </c>
      <c r="D10">
        <v>7.3450547696237338</v>
      </c>
      <c r="E10">
        <v>2.31</v>
      </c>
      <c r="F10">
        <v>0.83770658263305331</v>
      </c>
      <c r="G10" s="1">
        <f>E10-LOG10(10^(-E10)/(10^(-E10)-$H$1))</f>
        <v>1.2671757443000122</v>
      </c>
      <c r="I10">
        <v>2.39</v>
      </c>
      <c r="W10" t="s">
        <v>98</v>
      </c>
      <c r="X10" t="s">
        <v>94</v>
      </c>
    </row>
    <row r="11" spans="1:28" x14ac:dyDescent="0.55000000000000004">
      <c r="A11" t="s">
        <v>172</v>
      </c>
      <c r="B11">
        <v>1.88</v>
      </c>
      <c r="C11">
        <v>12.49</v>
      </c>
      <c r="D11">
        <v>5.7449647183189496</v>
      </c>
      <c r="E11">
        <v>2.39</v>
      </c>
      <c r="F11">
        <v>0.6606757703081233</v>
      </c>
      <c r="G11" s="1">
        <f t="shared" si="0"/>
        <v>1.3600089392197512</v>
      </c>
      <c r="I11">
        <v>2.64</v>
      </c>
      <c r="X11">
        <v>122.12</v>
      </c>
    </row>
    <row r="12" spans="1:28" x14ac:dyDescent="0.55000000000000004">
      <c r="A12" t="s">
        <v>180</v>
      </c>
      <c r="B12">
        <v>2.81</v>
      </c>
      <c r="C12">
        <v>10.76</v>
      </c>
      <c r="D12">
        <v>4.916980523762768</v>
      </c>
      <c r="E12">
        <v>2.64</v>
      </c>
      <c r="F12">
        <v>0.56389915966386561</v>
      </c>
      <c r="G12" s="1">
        <f t="shared" si="0"/>
        <v>2.6150830917526768</v>
      </c>
      <c r="I12">
        <v>3.29</v>
      </c>
      <c r="X12" t="s">
        <v>92</v>
      </c>
      <c r="Y12">
        <v>8.188666885</v>
      </c>
      <c r="AA12">
        <v>356.8845407</v>
      </c>
      <c r="AB12" t="s">
        <v>37</v>
      </c>
    </row>
    <row r="13" spans="1:28" x14ac:dyDescent="0.55000000000000004">
      <c r="A13" t="s">
        <v>111</v>
      </c>
      <c r="B13">
        <v>4.16</v>
      </c>
      <c r="C13">
        <v>3.3</v>
      </c>
      <c r="D13">
        <v>2.2803676708920637</v>
      </c>
      <c r="E13">
        <v>3.29</v>
      </c>
      <c r="F13">
        <v>0.1458298319327731</v>
      </c>
      <c r="G13" s="1">
        <f t="shared" si="0"/>
        <v>4.175621709950347</v>
      </c>
      <c r="I13">
        <v>2</v>
      </c>
      <c r="Y13">
        <v>43.582740110000003</v>
      </c>
      <c r="Z13" t="s">
        <v>96</v>
      </c>
    </row>
    <row r="14" spans="1:28" x14ac:dyDescent="0.55000000000000004">
      <c r="A14" t="s">
        <v>129</v>
      </c>
      <c r="B14" s="30"/>
      <c r="C14">
        <v>35.909999999999997</v>
      </c>
      <c r="D14" s="30"/>
      <c r="E14">
        <v>2</v>
      </c>
      <c r="G14" s="1" t="e">
        <f t="shared" si="0"/>
        <v>#NUM!</v>
      </c>
      <c r="I14">
        <v>3</v>
      </c>
      <c r="W14" t="s">
        <v>99</v>
      </c>
      <c r="X14">
        <v>604.48</v>
      </c>
    </row>
    <row r="15" spans="1:28" x14ac:dyDescent="0.55000000000000004">
      <c r="A15" t="s">
        <v>130</v>
      </c>
      <c r="B15" s="30"/>
      <c r="C15">
        <v>12.27</v>
      </c>
      <c r="D15" s="30"/>
      <c r="E15">
        <v>3</v>
      </c>
      <c r="G15" s="1">
        <f t="shared" si="0"/>
        <v>3.5383223332314397</v>
      </c>
      <c r="I15">
        <v>3.14</v>
      </c>
      <c r="X15" t="s">
        <v>92</v>
      </c>
      <c r="Y15">
        <v>4.9629433560000003</v>
      </c>
      <c r="AA15">
        <v>356.8845407</v>
      </c>
    </row>
    <row r="16" spans="1:28" x14ac:dyDescent="0.55000000000000004">
      <c r="A16" t="s">
        <v>174</v>
      </c>
      <c r="B16" s="30"/>
      <c r="C16">
        <v>4.18</v>
      </c>
      <c r="D16">
        <v>1.831319115716616</v>
      </c>
      <c r="E16">
        <v>3.14</v>
      </c>
      <c r="F16">
        <v>0.19537184873949578</v>
      </c>
      <c r="G16" s="1">
        <f t="shared" si="0"/>
        <v>3.851658068773717</v>
      </c>
      <c r="I16" s="30"/>
      <c r="Y16">
        <v>71.909855719999996</v>
      </c>
      <c r="Z16" t="s">
        <v>96</v>
      </c>
      <c r="AA16">
        <v>0</v>
      </c>
    </row>
    <row r="17" spans="1:27" x14ac:dyDescent="0.55000000000000004">
      <c r="A17" t="s">
        <v>175</v>
      </c>
      <c r="B17" s="30"/>
      <c r="C17">
        <v>11.5</v>
      </c>
      <c r="D17">
        <v>5.409977354025723</v>
      </c>
      <c r="E17" s="30"/>
      <c r="F17">
        <v>0.62044033613445382</v>
      </c>
      <c r="G17" s="1" t="e">
        <f t="shared" si="0"/>
        <v>#NUM!</v>
      </c>
      <c r="I17">
        <v>2.5</v>
      </c>
      <c r="W17" t="s">
        <v>100</v>
      </c>
      <c r="X17">
        <v>622.49400000000003</v>
      </c>
      <c r="AA17">
        <v>0</v>
      </c>
    </row>
    <row r="18" spans="1:27" x14ac:dyDescent="0.55000000000000004">
      <c r="A18" t="s">
        <v>153</v>
      </c>
      <c r="B18" s="30"/>
      <c r="C18">
        <v>27.46</v>
      </c>
      <c r="D18" s="30"/>
      <c r="E18">
        <v>2.5</v>
      </c>
      <c r="G18" s="1">
        <f t="shared" si="0"/>
        <v>2.1111691705953968</v>
      </c>
      <c r="I18" s="30"/>
      <c r="X18" t="s">
        <v>92</v>
      </c>
      <c r="Y18">
        <v>6.4257647459999996</v>
      </c>
      <c r="AA18">
        <v>356.8845407</v>
      </c>
    </row>
    <row r="19" spans="1:27" x14ac:dyDescent="0.55000000000000004">
      <c r="A19" t="s">
        <v>9</v>
      </c>
      <c r="B19" s="30"/>
      <c r="C19">
        <v>9.7463250000000006</v>
      </c>
      <c r="D19" s="25">
        <v>4.2541424332344215</v>
      </c>
      <c r="E19" s="30"/>
      <c r="F19">
        <v>0.50696848739495803</v>
      </c>
      <c r="G19" s="1" t="e">
        <f t="shared" si="0"/>
        <v>#NUM!</v>
      </c>
      <c r="I19" s="30"/>
      <c r="Y19">
        <v>55.539621320000002</v>
      </c>
      <c r="Z19" t="s">
        <v>96</v>
      </c>
      <c r="AA19">
        <v>0</v>
      </c>
    </row>
    <row r="20" spans="1:27" x14ac:dyDescent="0.55000000000000004">
      <c r="A20" t="s">
        <v>176</v>
      </c>
      <c r="B20" s="30"/>
      <c r="C20">
        <v>8.7356475000000007</v>
      </c>
      <c r="D20" s="25">
        <v>2.8368146352308456</v>
      </c>
      <c r="E20" s="30"/>
      <c r="F20">
        <v>0.45034789915966389</v>
      </c>
      <c r="G20" s="1" t="e">
        <f t="shared" si="0"/>
        <v>#NUM!</v>
      </c>
      <c r="I20">
        <v>2.89</v>
      </c>
      <c r="W20" t="s">
        <v>101</v>
      </c>
      <c r="X20">
        <v>254.15</v>
      </c>
      <c r="AA20">
        <v>0</v>
      </c>
    </row>
    <row r="21" spans="1:27" x14ac:dyDescent="0.55000000000000004">
      <c r="A21" t="s">
        <v>189</v>
      </c>
      <c r="B21">
        <v>3.4</v>
      </c>
      <c r="C21">
        <v>9.27</v>
      </c>
      <c r="D21">
        <v>6.8029784449423945</v>
      </c>
      <c r="E21">
        <v>2.89</v>
      </c>
      <c r="F21">
        <v>0.4804865546218488</v>
      </c>
      <c r="G21" s="1">
        <f t="shared" si="0"/>
        <v>3.2804766770472331</v>
      </c>
      <c r="I21">
        <v>2.56</v>
      </c>
      <c r="X21" t="s">
        <v>92</v>
      </c>
      <c r="Y21">
        <v>15.73873697</v>
      </c>
      <c r="AA21">
        <v>356.8845407</v>
      </c>
    </row>
    <row r="22" spans="1:27" x14ac:dyDescent="0.55000000000000004">
      <c r="A22" t="s">
        <v>214</v>
      </c>
      <c r="B22">
        <v>2.38</v>
      </c>
      <c r="C22">
        <v>12.66</v>
      </c>
      <c r="E22">
        <v>2.56</v>
      </c>
      <c r="G22" s="1">
        <f t="shared" si="0"/>
        <v>2.3503904912138656</v>
      </c>
      <c r="Y22">
        <v>22.675551509999998</v>
      </c>
      <c r="Z22" t="s">
        <v>96</v>
      </c>
      <c r="AA22">
        <v>0</v>
      </c>
    </row>
    <row r="23" spans="1:27" ht="72" x14ac:dyDescent="0.55000000000000004">
      <c r="A23" s="33" t="s">
        <v>255</v>
      </c>
      <c r="B23">
        <v>2.2000000000000002</v>
      </c>
      <c r="C23">
        <v>17.690000000000001</v>
      </c>
      <c r="G23" s="1" t="e">
        <f t="shared" si="0"/>
        <v>#NUM!</v>
      </c>
      <c r="I23">
        <v>2.2999999999999998</v>
      </c>
      <c r="W23" t="s">
        <v>102</v>
      </c>
      <c r="AA23">
        <v>0</v>
      </c>
    </row>
    <row r="24" spans="1:27" x14ac:dyDescent="0.55000000000000004">
      <c r="A24" t="s">
        <v>219</v>
      </c>
      <c r="C24">
        <v>22.94</v>
      </c>
      <c r="E24">
        <v>2.2999999999999998</v>
      </c>
      <c r="G24" s="1" t="e">
        <f t="shared" si="0"/>
        <v>#NUM!</v>
      </c>
      <c r="I24">
        <v>2.5</v>
      </c>
      <c r="X24" t="s">
        <v>92</v>
      </c>
      <c r="Y24">
        <v>7.58</v>
      </c>
      <c r="AA24">
        <v>356.8845407</v>
      </c>
    </row>
    <row r="25" spans="1:27" x14ac:dyDescent="0.55000000000000004">
      <c r="A25" t="s">
        <v>216</v>
      </c>
      <c r="C25">
        <v>18.440000000000001</v>
      </c>
      <c r="E25">
        <v>2.5</v>
      </c>
      <c r="G25" s="1">
        <f t="shared" si="0"/>
        <v>2.1111691705953968</v>
      </c>
      <c r="I25">
        <v>2.44</v>
      </c>
      <c r="Y25">
        <v>47.082393230000001</v>
      </c>
      <c r="Z25" t="s">
        <v>96</v>
      </c>
      <c r="AA25">
        <v>0</v>
      </c>
    </row>
    <row r="26" spans="1:27" x14ac:dyDescent="0.55000000000000004">
      <c r="A26" t="s">
        <v>217</v>
      </c>
      <c r="C26">
        <v>10.99</v>
      </c>
      <c r="E26">
        <v>2.44</v>
      </c>
      <c r="G26" s="1">
        <f t="shared" si="0"/>
        <v>1.7955156240555172</v>
      </c>
      <c r="I26">
        <v>2.73</v>
      </c>
      <c r="W26" t="s">
        <v>103</v>
      </c>
      <c r="X26">
        <v>216.19</v>
      </c>
    </row>
    <row r="27" spans="1:27" x14ac:dyDescent="0.55000000000000004">
      <c r="A27" t="s">
        <v>218</v>
      </c>
      <c r="C27">
        <v>9.1199999999999992</v>
      </c>
      <c r="E27">
        <v>2.73</v>
      </c>
      <c r="G27" s="1">
        <f t="shared" si="0"/>
        <v>2.8736203970411629</v>
      </c>
      <c r="I27">
        <v>2.75</v>
      </c>
      <c r="X27" t="s">
        <v>92</v>
      </c>
      <c r="Y27">
        <v>9.2511216990000005</v>
      </c>
    </row>
    <row r="28" spans="1:27" x14ac:dyDescent="0.55000000000000004">
      <c r="A28" t="s">
        <v>248</v>
      </c>
      <c r="B28">
        <v>3.13</v>
      </c>
      <c r="C28">
        <v>13.29</v>
      </c>
      <c r="E28">
        <v>2.65</v>
      </c>
      <c r="F28">
        <v>0.7054936974789916</v>
      </c>
      <c r="G28" s="1">
        <f t="shared" si="0"/>
        <v>2.6454284034069762</v>
      </c>
      <c r="I28">
        <v>2.2999999999999998</v>
      </c>
      <c r="Y28">
        <v>38.577434429999997</v>
      </c>
      <c r="Z28" t="s">
        <v>96</v>
      </c>
    </row>
    <row r="29" spans="1:27" x14ac:dyDescent="0.55000000000000004">
      <c r="A29" t="s">
        <v>237</v>
      </c>
      <c r="C29">
        <v>30.65</v>
      </c>
      <c r="E29">
        <v>2.2999999999999998</v>
      </c>
      <c r="G29" s="1" t="e">
        <f t="shared" si="0"/>
        <v>#NUM!</v>
      </c>
      <c r="I29">
        <v>2.75</v>
      </c>
      <c r="W29" t="s">
        <v>104</v>
      </c>
      <c r="X29">
        <v>116.07</v>
      </c>
    </row>
    <row r="30" spans="1:27" x14ac:dyDescent="0.55000000000000004">
      <c r="A30" t="s">
        <v>264</v>
      </c>
      <c r="C30">
        <v>8.9499999999999993</v>
      </c>
      <c r="E30">
        <v>2.75</v>
      </c>
      <c r="G30" s="1">
        <f t="shared" si="0"/>
        <v>2.9274407606004136</v>
      </c>
      <c r="X30" t="s">
        <v>92</v>
      </c>
      <c r="Y30">
        <v>17.2309813</v>
      </c>
    </row>
    <row r="31" spans="1:27" x14ac:dyDescent="0.55000000000000004">
      <c r="Y31">
        <v>20.711794319999999</v>
      </c>
      <c r="Z31" t="s">
        <v>96</v>
      </c>
    </row>
    <row r="32" spans="1:27" x14ac:dyDescent="0.55000000000000004">
      <c r="W32" t="s">
        <v>105</v>
      </c>
      <c r="X32">
        <v>172.18</v>
      </c>
    </row>
    <row r="33" spans="23:26" x14ac:dyDescent="0.55000000000000004">
      <c r="X33" t="s">
        <v>92</v>
      </c>
      <c r="Y33">
        <v>11.61575096</v>
      </c>
    </row>
    <row r="34" spans="23:26" x14ac:dyDescent="0.55000000000000004">
      <c r="Y34">
        <v>30.724190109999999</v>
      </c>
      <c r="Z34" t="s">
        <v>96</v>
      </c>
    </row>
    <row r="35" spans="23:26" x14ac:dyDescent="0.55000000000000004">
      <c r="W35" t="s">
        <v>106</v>
      </c>
      <c r="X35">
        <v>618.42600000000004</v>
      </c>
    </row>
    <row r="36" spans="23:26" x14ac:dyDescent="0.55000000000000004">
      <c r="X36" t="s">
        <v>92</v>
      </c>
      <c r="Y36">
        <v>9.7020500429999998</v>
      </c>
    </row>
    <row r="37" spans="23:26" x14ac:dyDescent="0.55000000000000004">
      <c r="Y37">
        <v>36.784446500000001</v>
      </c>
      <c r="Z37" t="s">
        <v>96</v>
      </c>
    </row>
    <row r="38" spans="23:26" x14ac:dyDescent="0.55000000000000004">
      <c r="W38" t="s">
        <v>107</v>
      </c>
      <c r="X38">
        <v>428.32400000000001</v>
      </c>
    </row>
    <row r="39" spans="23:26" x14ac:dyDescent="0.55000000000000004">
      <c r="X39" t="s">
        <v>92</v>
      </c>
      <c r="Y39">
        <v>9.338724891</v>
      </c>
    </row>
    <row r="40" spans="23:26" x14ac:dyDescent="0.55000000000000004">
      <c r="Y40">
        <v>38.215553499999999</v>
      </c>
      <c r="Z40" t="s">
        <v>96</v>
      </c>
    </row>
    <row r="41" spans="23:26" x14ac:dyDescent="0.55000000000000004">
      <c r="W41" t="s">
        <v>108</v>
      </c>
      <c r="X41">
        <v>211.13</v>
      </c>
    </row>
    <row r="42" spans="23:26" x14ac:dyDescent="0.55000000000000004">
      <c r="X42" t="s">
        <v>109</v>
      </c>
      <c r="Y42">
        <f>1/X41*1000*2</f>
        <v>9.4728366409321261</v>
      </c>
    </row>
    <row r="43" spans="23:26" x14ac:dyDescent="0.55000000000000004">
      <c r="Y43">
        <f>V3*0.05/Y42*1000</f>
        <v>37.674516538995505</v>
      </c>
      <c r="Z43" t="s">
        <v>110</v>
      </c>
    </row>
    <row r="44" spans="23:26" x14ac:dyDescent="0.55000000000000004">
      <c r="W44" t="s">
        <v>111</v>
      </c>
      <c r="X44">
        <v>308.26400000000001</v>
      </c>
    </row>
    <row r="45" spans="23:26" x14ac:dyDescent="0.55000000000000004">
      <c r="X45" t="s">
        <v>109</v>
      </c>
      <c r="Y45">
        <f>1/X44*1000*2</f>
        <v>6.4879453974515346</v>
      </c>
    </row>
    <row r="46" spans="23:26" x14ac:dyDescent="0.55000000000000004">
      <c r="Y46">
        <f>V3*0.05/Y45*1000</f>
        <v>55.007328027172413</v>
      </c>
      <c r="Z46" t="s">
        <v>110</v>
      </c>
    </row>
    <row r="47" spans="23:26" x14ac:dyDescent="0.55000000000000004">
      <c r="W47" t="s">
        <v>238</v>
      </c>
      <c r="X47">
        <v>352.31200000000001</v>
      </c>
    </row>
    <row r="48" spans="23:26" x14ac:dyDescent="0.55000000000000004">
      <c r="Y48">
        <f>1/X47*1000*2</f>
        <v>5.6767864847067369</v>
      </c>
    </row>
    <row r="49" spans="1:26" x14ac:dyDescent="0.55000000000000004">
      <c r="A49" t="s">
        <v>87</v>
      </c>
      <c r="B49" t="s">
        <v>10</v>
      </c>
      <c r="C49" t="s">
        <v>5</v>
      </c>
      <c r="D49" t="s">
        <v>164</v>
      </c>
      <c r="E49" t="s">
        <v>147</v>
      </c>
      <c r="F49" t="s">
        <v>53</v>
      </c>
      <c r="G49" t="s">
        <v>5</v>
      </c>
      <c r="H49" t="s">
        <v>39</v>
      </c>
      <c r="I49" t="s">
        <v>147</v>
      </c>
      <c r="J49" t="s">
        <v>246</v>
      </c>
      <c r="Y49">
        <f>V3*0.05/Y48*1000</f>
        <v>62.867353151549203</v>
      </c>
      <c r="Z49" t="s">
        <v>110</v>
      </c>
    </row>
    <row r="50" spans="1:26" x14ac:dyDescent="0.55000000000000004">
      <c r="A50">
        <f>356.884540713388/1000</f>
        <v>0.35688454071338799</v>
      </c>
      <c r="B50">
        <v>29.6</v>
      </c>
      <c r="C50">
        <v>13.32</v>
      </c>
      <c r="D50">
        <v>8.0126517930399004</v>
      </c>
      <c r="F50">
        <v>20.7</v>
      </c>
      <c r="G50">
        <v>18.649999999999999</v>
      </c>
      <c r="H50">
        <v>16.427803853754938</v>
      </c>
      <c r="J50">
        <v>52.9</v>
      </c>
      <c r="K50">
        <v>17.690000000000001</v>
      </c>
    </row>
    <row r="51" spans="1:26" x14ac:dyDescent="0.55000000000000004">
      <c r="A51">
        <f>A50*2</f>
        <v>0.71376908142677598</v>
      </c>
      <c r="B51">
        <v>59.3</v>
      </c>
      <c r="C51">
        <v>16.62</v>
      </c>
      <c r="D51">
        <v>5.0065221935315565</v>
      </c>
      <c r="F51">
        <v>41.4</v>
      </c>
      <c r="G51">
        <v>22.52</v>
      </c>
      <c r="H51">
        <v>9.6809387240876035</v>
      </c>
      <c r="J51">
        <v>105.7</v>
      </c>
      <c r="K51">
        <v>24.85</v>
      </c>
    </row>
    <row r="52" spans="1:26" x14ac:dyDescent="0.55000000000000004">
      <c r="A52">
        <f>A50*4</f>
        <v>1.427538162853552</v>
      </c>
      <c r="B52">
        <v>118.6</v>
      </c>
      <c r="C52">
        <v>21.17</v>
      </c>
      <c r="D52">
        <v>3.1495665673736166</v>
      </c>
      <c r="F52">
        <v>82.8</v>
      </c>
      <c r="G52">
        <v>28.51</v>
      </c>
      <c r="H52">
        <v>6.3798618852966689</v>
      </c>
      <c r="J52">
        <v>211.4</v>
      </c>
      <c r="K52" s="48">
        <v>30.73</v>
      </c>
    </row>
    <row r="53" spans="1:26" x14ac:dyDescent="0.55000000000000004">
      <c r="A53">
        <f>A50*10</f>
        <v>3.56884540713388</v>
      </c>
      <c r="B53">
        <v>296.39999999999998</v>
      </c>
      <c r="C53">
        <v>30.6</v>
      </c>
      <c r="D53">
        <v>1.869916289261687</v>
      </c>
      <c r="F53" s="48">
        <v>207.1</v>
      </c>
      <c r="G53" s="48">
        <v>37.5</v>
      </c>
      <c r="H53" s="48"/>
      <c r="I53" s="48"/>
      <c r="J53">
        <v>528.6</v>
      </c>
      <c r="K53">
        <v>37.79</v>
      </c>
    </row>
    <row r="54" spans="1:26" x14ac:dyDescent="0.55000000000000004">
      <c r="A54">
        <f>A50*20</f>
        <v>7.13769081426776</v>
      </c>
      <c r="B54">
        <v>592.79999999999995</v>
      </c>
      <c r="C54">
        <v>36.049999999999997</v>
      </c>
      <c r="D54">
        <v>1.1086121280646568</v>
      </c>
      <c r="F54">
        <v>414.2</v>
      </c>
      <c r="G54">
        <v>39.26</v>
      </c>
      <c r="H54">
        <v>1.7298313103122722</v>
      </c>
      <c r="J54">
        <v>1057</v>
      </c>
      <c r="K54">
        <v>43.95</v>
      </c>
    </row>
    <row r="61" spans="1:26" x14ac:dyDescent="0.55000000000000004">
      <c r="E61" s="28"/>
      <c r="F61" s="28"/>
    </row>
    <row r="62" spans="1:26" x14ac:dyDescent="0.55000000000000004">
      <c r="E62" s="28"/>
      <c r="F62" s="28"/>
    </row>
    <row r="63" spans="1:26" x14ac:dyDescent="0.55000000000000004">
      <c r="E63" s="28"/>
      <c r="F63" s="28"/>
    </row>
    <row r="64" spans="1:26" x14ac:dyDescent="0.55000000000000004">
      <c r="E64" s="28"/>
      <c r="F64" s="28"/>
    </row>
    <row r="68" spans="1:7" x14ac:dyDescent="0.55000000000000004">
      <c r="E68" s="28"/>
      <c r="F68" s="28"/>
    </row>
    <row r="69" spans="1:7" x14ac:dyDescent="0.55000000000000004">
      <c r="E69" s="28"/>
      <c r="F69" s="28"/>
    </row>
    <row r="70" spans="1:7" x14ac:dyDescent="0.55000000000000004">
      <c r="E70" s="28"/>
      <c r="F70" s="28"/>
    </row>
    <row r="71" spans="1:7" x14ac:dyDescent="0.55000000000000004">
      <c r="A71" t="s">
        <v>63</v>
      </c>
      <c r="B71" t="s">
        <v>134</v>
      </c>
      <c r="C71" t="s">
        <v>5</v>
      </c>
      <c r="D71" t="s">
        <v>160</v>
      </c>
      <c r="E71" t="s">
        <v>5</v>
      </c>
      <c r="F71" t="s">
        <v>53</v>
      </c>
      <c r="G71" t="s">
        <v>5</v>
      </c>
    </row>
    <row r="72" spans="1:7" x14ac:dyDescent="0.55000000000000004">
      <c r="B72">
        <v>2.73</v>
      </c>
      <c r="C72">
        <v>13.32</v>
      </c>
      <c r="D72">
        <v>3</v>
      </c>
      <c r="E72">
        <v>12.27</v>
      </c>
      <c r="F72">
        <v>2.44</v>
      </c>
      <c r="G72">
        <v>18.649999999999999</v>
      </c>
    </row>
    <row r="73" spans="1:7" x14ac:dyDescent="0.55000000000000004">
      <c r="B73">
        <v>2.56</v>
      </c>
      <c r="C73">
        <v>16.62</v>
      </c>
      <c r="D73">
        <v>2.5</v>
      </c>
      <c r="E73">
        <v>27.46</v>
      </c>
      <c r="F73">
        <v>2.1800000000000002</v>
      </c>
      <c r="G73">
        <v>22.52</v>
      </c>
    </row>
    <row r="74" spans="1:7" x14ac:dyDescent="0.55000000000000004">
      <c r="B74">
        <v>2.38</v>
      </c>
      <c r="C74">
        <v>21.17</v>
      </c>
      <c r="D74">
        <v>2</v>
      </c>
      <c r="E74">
        <v>35.909999999999997</v>
      </c>
      <c r="F74">
        <v>1.98</v>
      </c>
      <c r="G74">
        <v>28.51</v>
      </c>
    </row>
    <row r="75" spans="1:7" x14ac:dyDescent="0.55000000000000004">
      <c r="B75">
        <v>2.2000000000000002</v>
      </c>
      <c r="C75">
        <v>30.6</v>
      </c>
      <c r="F75">
        <v>1.73</v>
      </c>
      <c r="G75" s="48">
        <f>G53</f>
        <v>37.5</v>
      </c>
    </row>
    <row r="76" spans="1:7" x14ac:dyDescent="0.55000000000000004">
      <c r="B76">
        <v>2</v>
      </c>
      <c r="C76">
        <v>36.049999999999997</v>
      </c>
      <c r="F76">
        <v>1.6</v>
      </c>
      <c r="G76">
        <v>39.11</v>
      </c>
    </row>
    <row r="88" spans="1:6" x14ac:dyDescent="0.55000000000000004">
      <c r="B88" t="s">
        <v>68</v>
      </c>
      <c r="C88" t="s">
        <v>5</v>
      </c>
      <c r="D88" t="s">
        <v>164</v>
      </c>
      <c r="E88" t="s">
        <v>134</v>
      </c>
      <c r="F88" t="s">
        <v>147</v>
      </c>
    </row>
    <row r="89" spans="1:6" x14ac:dyDescent="0.55000000000000004">
      <c r="A89" t="s">
        <v>53</v>
      </c>
      <c r="B89">
        <v>1.93</v>
      </c>
      <c r="C89">
        <v>18.649999999999999</v>
      </c>
      <c r="D89">
        <v>16.427803853754938</v>
      </c>
      <c r="E89">
        <v>2.44</v>
      </c>
      <c r="F89">
        <v>1.0058785714285716</v>
      </c>
    </row>
    <row r="90" spans="1:6" x14ac:dyDescent="0.55000000000000004">
      <c r="A90" t="s">
        <v>171</v>
      </c>
      <c r="B90">
        <v>2.11</v>
      </c>
      <c r="C90">
        <v>15.65</v>
      </c>
      <c r="D90">
        <v>7.3450547696237338</v>
      </c>
      <c r="E90">
        <v>2.44</v>
      </c>
      <c r="F90">
        <v>0.83770658263305331</v>
      </c>
    </row>
    <row r="91" spans="1:6" x14ac:dyDescent="0.55000000000000004">
      <c r="A91" t="s">
        <v>10</v>
      </c>
      <c r="B91">
        <v>2.98</v>
      </c>
      <c r="C91">
        <v>13.32</v>
      </c>
      <c r="D91">
        <v>8.0126517930399004</v>
      </c>
      <c r="E91">
        <v>2.73</v>
      </c>
      <c r="F91">
        <v>0.70725252100840341</v>
      </c>
    </row>
    <row r="92" spans="1:6" x14ac:dyDescent="0.55000000000000004">
      <c r="A92" t="s">
        <v>172</v>
      </c>
      <c r="B92">
        <v>1.88</v>
      </c>
      <c r="C92">
        <v>12.49</v>
      </c>
      <c r="D92">
        <v>5.7449647183189496</v>
      </c>
      <c r="E92">
        <v>2.39</v>
      </c>
      <c r="F92">
        <v>0.6606757703081233</v>
      </c>
    </row>
    <row r="93" spans="1:6" x14ac:dyDescent="0.55000000000000004">
      <c r="A93" t="s">
        <v>175</v>
      </c>
      <c r="C93">
        <v>11.82</v>
      </c>
      <c r="D93">
        <v>5.409977354025723</v>
      </c>
      <c r="F93">
        <v>0.62044033613445382</v>
      </c>
    </row>
    <row r="94" spans="1:6" x14ac:dyDescent="0.55000000000000004">
      <c r="A94" t="s">
        <v>169</v>
      </c>
      <c r="B94">
        <v>2.95</v>
      </c>
      <c r="C94">
        <v>11.8</v>
      </c>
      <c r="D94">
        <v>5.3459331721786691</v>
      </c>
      <c r="F94">
        <v>0.62194915966386555</v>
      </c>
    </row>
    <row r="95" spans="1:6" x14ac:dyDescent="0.55000000000000004">
      <c r="A95" t="s">
        <v>40</v>
      </c>
      <c r="B95">
        <v>1.92</v>
      </c>
      <c r="C95">
        <v>11.53</v>
      </c>
      <c r="D95">
        <v>9.1956023528812612</v>
      </c>
      <c r="E95">
        <v>2.5299999999999998</v>
      </c>
      <c r="F95">
        <v>0.60692521008403366</v>
      </c>
    </row>
    <row r="96" spans="1:6" x14ac:dyDescent="0.55000000000000004">
      <c r="A96" t="s">
        <v>180</v>
      </c>
      <c r="B96">
        <v>2.81</v>
      </c>
      <c r="C96">
        <v>10.76</v>
      </c>
      <c r="D96">
        <v>4.916980523762768</v>
      </c>
      <c r="E96">
        <v>2.64</v>
      </c>
      <c r="F96">
        <v>0.56389915966386561</v>
      </c>
    </row>
    <row r="97" spans="1:6" x14ac:dyDescent="0.55000000000000004">
      <c r="A97" t="s">
        <v>54</v>
      </c>
      <c r="B97">
        <v>3.03</v>
      </c>
      <c r="C97">
        <v>10.52</v>
      </c>
      <c r="D97">
        <v>8.6515001387182444</v>
      </c>
      <c r="E97">
        <v>2.76</v>
      </c>
      <c r="F97">
        <v>0.55030084033613447</v>
      </c>
    </row>
    <row r="98" spans="1:6" x14ac:dyDescent="0.55000000000000004">
      <c r="A98" t="s">
        <v>9</v>
      </c>
      <c r="C98">
        <v>9.75</v>
      </c>
      <c r="D98">
        <v>4.2541424332344215</v>
      </c>
      <c r="F98">
        <v>0.50696848739495803</v>
      </c>
    </row>
    <row r="99" spans="1:6" x14ac:dyDescent="0.55000000000000004">
      <c r="A99" t="s">
        <v>176</v>
      </c>
      <c r="C99">
        <v>8.74</v>
      </c>
      <c r="D99" s="25">
        <v>2.8368146352308456</v>
      </c>
      <c r="F99">
        <v>0.45034789915966389</v>
      </c>
    </row>
    <row r="100" spans="1:6" x14ac:dyDescent="0.55000000000000004">
      <c r="A100" t="s">
        <v>170</v>
      </c>
      <c r="B100">
        <v>4.34</v>
      </c>
      <c r="C100">
        <v>6.8</v>
      </c>
      <c r="D100">
        <v>3.7035557658362612</v>
      </c>
      <c r="E100">
        <v>3.37</v>
      </c>
      <c r="F100">
        <v>0.34205294117647067</v>
      </c>
    </row>
    <row r="101" spans="1:6" x14ac:dyDescent="0.55000000000000004">
      <c r="A101" t="s">
        <v>174</v>
      </c>
      <c r="C101">
        <v>4.18</v>
      </c>
      <c r="D101">
        <v>1.831319115716616</v>
      </c>
      <c r="E101">
        <v>3.14</v>
      </c>
      <c r="F101">
        <v>0.19537184873949578</v>
      </c>
    </row>
    <row r="102" spans="1:6" x14ac:dyDescent="0.55000000000000004">
      <c r="A102" t="s">
        <v>19</v>
      </c>
      <c r="B102">
        <v>4.2</v>
      </c>
      <c r="C102">
        <v>3.45</v>
      </c>
      <c r="D102">
        <v>1.2081910363899744</v>
      </c>
      <c r="E102">
        <v>3.08</v>
      </c>
      <c r="F102">
        <v>0.1541949579831933</v>
      </c>
    </row>
    <row r="103" spans="1:6" x14ac:dyDescent="0.55000000000000004">
      <c r="A103" t="s">
        <v>111</v>
      </c>
      <c r="B103">
        <v>4.16</v>
      </c>
      <c r="C103">
        <v>3.3</v>
      </c>
      <c r="D103">
        <v>2.2803676708920637</v>
      </c>
      <c r="E103">
        <v>3.29</v>
      </c>
      <c r="F103">
        <v>0.1458298319327731</v>
      </c>
    </row>
    <row r="104" spans="1:6" x14ac:dyDescent="0.55000000000000004">
      <c r="A104" t="s">
        <v>189</v>
      </c>
      <c r="B104">
        <v>3.4</v>
      </c>
      <c r="C104">
        <v>9.27</v>
      </c>
      <c r="D104">
        <v>6.8029784449423945</v>
      </c>
      <c r="E104">
        <v>2.89</v>
      </c>
      <c r="F104">
        <v>0.4804865546218488</v>
      </c>
    </row>
    <row r="108" spans="1:6" x14ac:dyDescent="0.55000000000000004">
      <c r="A108" t="s">
        <v>67</v>
      </c>
      <c r="B108">
        <v>4.18</v>
      </c>
      <c r="E108">
        <v>3.28</v>
      </c>
    </row>
    <row r="109" spans="1:6" x14ac:dyDescent="0.55000000000000004">
      <c r="A109" t="s">
        <v>155</v>
      </c>
      <c r="B109" s="30"/>
      <c r="C109">
        <v>35.909999999999997</v>
      </c>
      <c r="D109" s="30"/>
      <c r="E109">
        <v>2</v>
      </c>
    </row>
    <row r="110" spans="1:6" x14ac:dyDescent="0.55000000000000004">
      <c r="A110" t="s">
        <v>156</v>
      </c>
      <c r="B110" s="30"/>
      <c r="C110">
        <v>12.27</v>
      </c>
      <c r="D110" s="30"/>
      <c r="E110">
        <v>3</v>
      </c>
    </row>
    <row r="111" spans="1:6" x14ac:dyDescent="0.55000000000000004">
      <c r="A111" t="s">
        <v>154</v>
      </c>
      <c r="B111" s="30"/>
      <c r="C111">
        <v>27.46</v>
      </c>
      <c r="D111" s="30"/>
      <c r="E111">
        <v>2.5</v>
      </c>
    </row>
    <row r="114" spans="1:13" x14ac:dyDescent="0.55000000000000004">
      <c r="H114" t="s">
        <v>26</v>
      </c>
      <c r="J114">
        <v>0.7</v>
      </c>
    </row>
    <row r="115" spans="1:13" x14ac:dyDescent="0.55000000000000004">
      <c r="A115" t="s">
        <v>53</v>
      </c>
      <c r="B115">
        <v>1.93</v>
      </c>
      <c r="C115">
        <v>18.649999999999999</v>
      </c>
      <c r="D115">
        <v>16.427803853754938</v>
      </c>
      <c r="E115">
        <v>2.44</v>
      </c>
      <c r="F115">
        <v>1.0058785714285716</v>
      </c>
      <c r="H115" t="s">
        <v>172</v>
      </c>
      <c r="I115">
        <v>1.88</v>
      </c>
      <c r="J115">
        <v>12.49</v>
      </c>
      <c r="K115">
        <v>5.7449647183189496</v>
      </c>
      <c r="L115">
        <v>2.39</v>
      </c>
      <c r="M115">
        <v>0.6606757703081233</v>
      </c>
    </row>
    <row r="116" spans="1:13" x14ac:dyDescent="0.55000000000000004">
      <c r="A116" t="s">
        <v>54</v>
      </c>
      <c r="B116">
        <v>3.03</v>
      </c>
      <c r="C116">
        <v>10.52</v>
      </c>
      <c r="D116">
        <v>8.6515001387182444</v>
      </c>
      <c r="E116">
        <v>2.76</v>
      </c>
      <c r="F116">
        <v>0.55030084033613447</v>
      </c>
      <c r="H116" t="s">
        <v>53</v>
      </c>
      <c r="I116">
        <v>1.93</v>
      </c>
      <c r="J116">
        <v>18.649999999999999</v>
      </c>
      <c r="K116">
        <v>16.427803853754938</v>
      </c>
      <c r="L116">
        <v>2.44</v>
      </c>
      <c r="M116">
        <v>1.0058785714285716</v>
      </c>
    </row>
    <row r="117" spans="1:13" x14ac:dyDescent="0.55000000000000004">
      <c r="A117" t="s">
        <v>189</v>
      </c>
      <c r="B117">
        <v>3.4</v>
      </c>
      <c r="C117">
        <v>9.27</v>
      </c>
      <c r="D117">
        <v>6.8029784449423945</v>
      </c>
      <c r="E117">
        <v>2.89</v>
      </c>
      <c r="F117">
        <v>0.4804865546218488</v>
      </c>
      <c r="H117" t="s">
        <v>171</v>
      </c>
      <c r="I117">
        <v>2.11</v>
      </c>
      <c r="J117">
        <v>15.65</v>
      </c>
      <c r="K117">
        <v>7.3450547696237338</v>
      </c>
      <c r="L117">
        <v>2.44</v>
      </c>
      <c r="M117">
        <v>0.83770658263305331</v>
      </c>
    </row>
    <row r="118" spans="1:13" x14ac:dyDescent="0.55000000000000004">
      <c r="A118" t="s">
        <v>111</v>
      </c>
      <c r="B118">
        <v>4.16</v>
      </c>
      <c r="C118">
        <v>3.3</v>
      </c>
      <c r="D118">
        <v>2.2803676708920637</v>
      </c>
      <c r="E118">
        <v>3.29</v>
      </c>
      <c r="F118">
        <v>0.1458298319327731</v>
      </c>
      <c r="H118" t="s">
        <v>40</v>
      </c>
      <c r="I118">
        <v>1.92</v>
      </c>
      <c r="J118">
        <v>11.53</v>
      </c>
      <c r="K118">
        <v>9.1956023528812612</v>
      </c>
      <c r="L118">
        <v>2.5299999999999998</v>
      </c>
      <c r="M118">
        <v>0.60692521008403366</v>
      </c>
    </row>
    <row r="119" spans="1:13" ht="90" x14ac:dyDescent="0.55000000000000004">
      <c r="A119" s="33" t="s">
        <v>181</v>
      </c>
      <c r="B119">
        <v>4.34</v>
      </c>
      <c r="C119">
        <v>6.8</v>
      </c>
      <c r="D119">
        <v>3.7035557658362612</v>
      </c>
      <c r="E119">
        <v>3.37</v>
      </c>
      <c r="F119">
        <v>0.34205294117647067</v>
      </c>
      <c r="H119" s="33" t="s">
        <v>252</v>
      </c>
      <c r="I119">
        <v>2.38</v>
      </c>
      <c r="J119">
        <v>12.66</v>
      </c>
      <c r="L119">
        <v>2.56</v>
      </c>
      <c r="M119">
        <v>0.67108999999999996</v>
      </c>
    </row>
    <row r="120" spans="1:13" ht="54" x14ac:dyDescent="0.55000000000000004">
      <c r="A120" t="s">
        <v>10</v>
      </c>
      <c r="B120">
        <v>2.98</v>
      </c>
      <c r="C120">
        <v>13.32</v>
      </c>
      <c r="D120">
        <v>8.0126517930399004</v>
      </c>
      <c r="E120">
        <v>2.73</v>
      </c>
      <c r="F120">
        <v>0.70725252100840341</v>
      </c>
      <c r="H120" s="33" t="s">
        <v>249</v>
      </c>
      <c r="I120">
        <v>2.81</v>
      </c>
      <c r="J120">
        <v>10.76</v>
      </c>
      <c r="K120">
        <v>4.916980523762768</v>
      </c>
      <c r="L120">
        <v>2.64</v>
      </c>
      <c r="M120">
        <v>0.56389915966386561</v>
      </c>
    </row>
    <row r="121" spans="1:13" x14ac:dyDescent="0.55000000000000004">
      <c r="A121" t="s">
        <v>40</v>
      </c>
      <c r="B121">
        <v>1.92</v>
      </c>
      <c r="C121">
        <v>11.53</v>
      </c>
      <c r="D121">
        <v>9.1956023528812612</v>
      </c>
      <c r="E121">
        <v>2.5299999999999998</v>
      </c>
      <c r="F121">
        <v>0.60692521008403366</v>
      </c>
      <c r="H121" t="s">
        <v>10</v>
      </c>
      <c r="I121">
        <v>2.98</v>
      </c>
      <c r="J121">
        <v>13.32</v>
      </c>
      <c r="K121">
        <v>8.0126517930399004</v>
      </c>
      <c r="L121">
        <v>2.73</v>
      </c>
      <c r="M121">
        <v>0.70725252100840341</v>
      </c>
    </row>
    <row r="122" spans="1:13" ht="72" x14ac:dyDescent="0.55000000000000004">
      <c r="A122" s="33" t="s">
        <v>183</v>
      </c>
      <c r="B122">
        <v>2.95</v>
      </c>
      <c r="C122">
        <v>11.8</v>
      </c>
      <c r="D122">
        <v>5.3459331721786691</v>
      </c>
      <c r="F122">
        <v>0.62194915966386555</v>
      </c>
      <c r="H122" s="33" t="s">
        <v>250</v>
      </c>
      <c r="I122">
        <v>3.13</v>
      </c>
      <c r="J122">
        <v>13.29</v>
      </c>
      <c r="L122">
        <v>2.75</v>
      </c>
      <c r="M122">
        <v>0.7054936974789916</v>
      </c>
    </row>
    <row r="123" spans="1:13" x14ac:dyDescent="0.55000000000000004">
      <c r="A123" t="s">
        <v>171</v>
      </c>
      <c r="B123">
        <v>2.11</v>
      </c>
      <c r="C123">
        <v>15.65</v>
      </c>
      <c r="D123">
        <v>7.3450547696237338</v>
      </c>
      <c r="E123">
        <v>2.44</v>
      </c>
      <c r="F123">
        <v>0.83770658263305331</v>
      </c>
      <c r="H123" s="33" t="s">
        <v>267</v>
      </c>
      <c r="J123">
        <v>8.9499999999999993</v>
      </c>
    </row>
    <row r="124" spans="1:13" x14ac:dyDescent="0.55000000000000004">
      <c r="A124" t="s">
        <v>172</v>
      </c>
      <c r="B124">
        <v>1.88</v>
      </c>
      <c r="C124">
        <v>12.49</v>
      </c>
      <c r="D124">
        <v>5.7449647183189496</v>
      </c>
      <c r="E124">
        <v>2.39</v>
      </c>
      <c r="F124">
        <v>0.6606757703081233</v>
      </c>
      <c r="H124" t="s">
        <v>54</v>
      </c>
      <c r="I124">
        <v>3.03</v>
      </c>
      <c r="J124">
        <v>10.52</v>
      </c>
      <c r="K124">
        <v>8.6515001387182444</v>
      </c>
      <c r="L124">
        <v>2.76</v>
      </c>
      <c r="M124">
        <v>0.55030084033613447</v>
      </c>
    </row>
    <row r="125" spans="1:13" ht="54" x14ac:dyDescent="0.55000000000000004">
      <c r="A125" s="33" t="s">
        <v>182</v>
      </c>
      <c r="B125">
        <v>2.81</v>
      </c>
      <c r="C125">
        <v>10.76</v>
      </c>
      <c r="D125">
        <v>4.916980523762768</v>
      </c>
      <c r="E125">
        <v>2.64</v>
      </c>
      <c r="F125">
        <v>0.56389915966386561</v>
      </c>
      <c r="H125" t="s">
        <v>189</v>
      </c>
      <c r="I125">
        <v>3.4</v>
      </c>
      <c r="J125">
        <v>9.27</v>
      </c>
      <c r="K125">
        <v>6.8029784449423945</v>
      </c>
      <c r="L125">
        <v>2.89</v>
      </c>
      <c r="M125">
        <v>0.4804865546218488</v>
      </c>
    </row>
    <row r="126" spans="1:13" x14ac:dyDescent="0.55000000000000004">
      <c r="A126" t="s">
        <v>19</v>
      </c>
      <c r="B126">
        <v>4.2</v>
      </c>
      <c r="C126">
        <v>3.45</v>
      </c>
      <c r="D126">
        <v>1.2081910363899744</v>
      </c>
      <c r="E126">
        <v>3.08</v>
      </c>
      <c r="F126">
        <v>0.1541949579831933</v>
      </c>
      <c r="H126" t="s">
        <v>19</v>
      </c>
      <c r="I126">
        <v>4.2</v>
      </c>
      <c r="J126">
        <v>3.45</v>
      </c>
      <c r="K126">
        <v>1.2081910363899744</v>
      </c>
      <c r="L126">
        <v>3.08</v>
      </c>
      <c r="M126">
        <v>0.1541949579831933</v>
      </c>
    </row>
    <row r="127" spans="1:13" x14ac:dyDescent="0.55000000000000004">
      <c r="A127" t="s">
        <v>175</v>
      </c>
      <c r="C127">
        <v>11.82</v>
      </c>
      <c r="D127">
        <v>5.409977354025723</v>
      </c>
      <c r="F127">
        <v>0.62044033613445382</v>
      </c>
      <c r="H127" t="s">
        <v>174</v>
      </c>
      <c r="J127">
        <v>4.18</v>
      </c>
      <c r="K127">
        <v>1.831319115716616</v>
      </c>
      <c r="L127">
        <v>3.14</v>
      </c>
      <c r="M127">
        <v>0.19537184873949578</v>
      </c>
    </row>
    <row r="128" spans="1:13" x14ac:dyDescent="0.55000000000000004">
      <c r="A128" t="s">
        <v>176</v>
      </c>
      <c r="C128">
        <v>8.74</v>
      </c>
      <c r="D128" s="25">
        <v>2.8368146352308456</v>
      </c>
      <c r="F128">
        <v>0.45034789915966389</v>
      </c>
      <c r="H128" t="s">
        <v>111</v>
      </c>
      <c r="I128">
        <v>4.16</v>
      </c>
      <c r="J128">
        <v>3.3</v>
      </c>
      <c r="K128">
        <v>2.2803676708920637</v>
      </c>
      <c r="L128">
        <v>3.29</v>
      </c>
      <c r="M128">
        <v>0.1458298319327731</v>
      </c>
    </row>
    <row r="129" spans="1:21" ht="90" x14ac:dyDescent="0.55000000000000004">
      <c r="A129" t="s">
        <v>174</v>
      </c>
      <c r="C129">
        <v>4.18</v>
      </c>
      <c r="D129">
        <v>1.831319115716616</v>
      </c>
      <c r="E129">
        <v>3.14</v>
      </c>
      <c r="F129">
        <v>0.19537184873949578</v>
      </c>
      <c r="H129" s="33" t="s">
        <v>181</v>
      </c>
      <c r="I129">
        <v>4.34</v>
      </c>
      <c r="J129">
        <v>6.8</v>
      </c>
      <c r="K129">
        <v>3.7035557658362612</v>
      </c>
      <c r="L129">
        <v>3.37</v>
      </c>
      <c r="M129">
        <v>0.34205294117647067</v>
      </c>
    </row>
    <row r="130" spans="1:21" ht="72" x14ac:dyDescent="0.55000000000000004">
      <c r="A130" t="s">
        <v>9</v>
      </c>
      <c r="C130">
        <v>9.75</v>
      </c>
      <c r="D130">
        <v>4.2541424332344215</v>
      </c>
      <c r="F130">
        <v>0.50696848739495803</v>
      </c>
      <c r="H130" s="33" t="s">
        <v>251</v>
      </c>
      <c r="I130">
        <v>2.2000000000000002</v>
      </c>
      <c r="J130">
        <v>17.7</v>
      </c>
      <c r="M130">
        <v>0.95250000000000001</v>
      </c>
    </row>
    <row r="131" spans="1:21" x14ac:dyDescent="0.55000000000000004">
      <c r="H131" t="s">
        <v>244</v>
      </c>
      <c r="J131">
        <v>12.97</v>
      </c>
    </row>
    <row r="132" spans="1:21" x14ac:dyDescent="0.55000000000000004">
      <c r="J132">
        <v>12.8</v>
      </c>
      <c r="K132">
        <v>5.409977354025723</v>
      </c>
      <c r="M132">
        <v>0.62044033613445382</v>
      </c>
    </row>
    <row r="133" spans="1:21" x14ac:dyDescent="0.55000000000000004">
      <c r="I133">
        <v>2.95</v>
      </c>
      <c r="J133">
        <v>11.82</v>
      </c>
      <c r="K133">
        <v>5.3459331721786691</v>
      </c>
      <c r="M133">
        <v>0.62194915966386555</v>
      </c>
    </row>
    <row r="134" spans="1:21" x14ac:dyDescent="0.55000000000000004">
      <c r="J134">
        <v>11.8</v>
      </c>
      <c r="K134">
        <v>4.2541424332344215</v>
      </c>
      <c r="M134">
        <v>0.50696848739495803</v>
      </c>
    </row>
    <row r="135" spans="1:21" x14ac:dyDescent="0.55000000000000004">
      <c r="H135" t="s">
        <v>26</v>
      </c>
      <c r="J135">
        <v>9.75</v>
      </c>
      <c r="K135" s="25">
        <v>2.8368146352308456</v>
      </c>
      <c r="M135">
        <v>0.45034789915966389</v>
      </c>
      <c r="P135" s="33"/>
      <c r="R135">
        <v>11.82</v>
      </c>
      <c r="S135">
        <v>5.409977354025723</v>
      </c>
      <c r="U135">
        <v>0.62044033613445382</v>
      </c>
    </row>
    <row r="136" spans="1:21" x14ac:dyDescent="0.55000000000000004">
      <c r="H136" t="s">
        <v>172</v>
      </c>
      <c r="J136">
        <v>8.74</v>
      </c>
      <c r="Q136">
        <v>2.95</v>
      </c>
      <c r="R136">
        <v>11.8</v>
      </c>
      <c r="S136">
        <v>5.3459331721786691</v>
      </c>
      <c r="U136">
        <v>0.62194915966386555</v>
      </c>
    </row>
    <row r="137" spans="1:21" x14ac:dyDescent="0.55000000000000004">
      <c r="H137" t="s">
        <v>53</v>
      </c>
      <c r="J137">
        <v>5.7</v>
      </c>
      <c r="R137">
        <v>9.75</v>
      </c>
      <c r="S137">
        <v>4.2541424332344215</v>
      </c>
      <c r="U137">
        <v>0.50696848739495803</v>
      </c>
    </row>
    <row r="138" spans="1:21" x14ac:dyDescent="0.55000000000000004">
      <c r="B138" t="s">
        <v>177</v>
      </c>
      <c r="C138" t="s">
        <v>5</v>
      </c>
      <c r="D138" t="s">
        <v>164</v>
      </c>
      <c r="E138" t="s">
        <v>178</v>
      </c>
      <c r="F138" t="s">
        <v>179</v>
      </c>
      <c r="H138" t="s">
        <v>171</v>
      </c>
      <c r="R138">
        <v>8.74</v>
      </c>
      <c r="S138" s="25">
        <v>2.8368146352308456</v>
      </c>
      <c r="U138">
        <v>0.45034789915966389</v>
      </c>
    </row>
    <row r="139" spans="1:21" x14ac:dyDescent="0.55000000000000004">
      <c r="A139" t="s">
        <v>53</v>
      </c>
      <c r="B139">
        <v>1.93</v>
      </c>
      <c r="C139">
        <v>18.649999999999999</v>
      </c>
      <c r="D139">
        <v>16.427803853754938</v>
      </c>
      <c r="E139">
        <v>2.44</v>
      </c>
      <c r="F139">
        <v>1.0058785714285716</v>
      </c>
      <c r="H139" t="s">
        <v>40</v>
      </c>
    </row>
    <row r="140" spans="1:21" x14ac:dyDescent="0.55000000000000004">
      <c r="A140" t="s">
        <v>171</v>
      </c>
      <c r="B140">
        <v>2.11</v>
      </c>
      <c r="C140">
        <v>15.65</v>
      </c>
      <c r="D140">
        <v>7.3450547696237338</v>
      </c>
      <c r="E140">
        <v>2.44</v>
      </c>
      <c r="F140">
        <v>0.83770658263305331</v>
      </c>
      <c r="H140" t="s">
        <v>214</v>
      </c>
    </row>
    <row r="141" spans="1:21" x14ac:dyDescent="0.55000000000000004">
      <c r="A141" t="s">
        <v>10</v>
      </c>
      <c r="B141">
        <v>2.98</v>
      </c>
      <c r="C141">
        <v>13.32</v>
      </c>
      <c r="D141">
        <v>8.0126517930399004</v>
      </c>
      <c r="E141">
        <v>2.73</v>
      </c>
      <c r="F141">
        <v>0.70725252100840341</v>
      </c>
      <c r="H141" t="s">
        <v>180</v>
      </c>
    </row>
    <row r="142" spans="1:21" x14ac:dyDescent="0.55000000000000004">
      <c r="A142" t="s">
        <v>172</v>
      </c>
      <c r="B142">
        <v>1.88</v>
      </c>
      <c r="C142">
        <v>12.49</v>
      </c>
      <c r="D142">
        <v>5.7449647183189496</v>
      </c>
      <c r="E142">
        <v>2.39</v>
      </c>
      <c r="F142">
        <v>0.6606757703081233</v>
      </c>
      <c r="H142" t="s">
        <v>10</v>
      </c>
    </row>
    <row r="143" spans="1:21" x14ac:dyDescent="0.55000000000000004">
      <c r="H143" t="s">
        <v>248</v>
      </c>
    </row>
    <row r="144" spans="1:21" x14ac:dyDescent="0.55000000000000004">
      <c r="H144" t="s">
        <v>264</v>
      </c>
    </row>
    <row r="145" spans="1:11" x14ac:dyDescent="0.55000000000000004">
      <c r="A145" t="s">
        <v>40</v>
      </c>
      <c r="B145">
        <v>1.92</v>
      </c>
      <c r="C145">
        <v>11.53</v>
      </c>
      <c r="D145">
        <v>9.1956023528812612</v>
      </c>
      <c r="E145">
        <v>2.5299999999999998</v>
      </c>
      <c r="F145">
        <v>0.60692521008403366</v>
      </c>
      <c r="H145" t="s">
        <v>54</v>
      </c>
    </row>
    <row r="146" spans="1:11" x14ac:dyDescent="0.55000000000000004">
      <c r="A146" t="s">
        <v>91</v>
      </c>
      <c r="B146">
        <v>2.81</v>
      </c>
      <c r="C146">
        <v>10.76</v>
      </c>
      <c r="D146">
        <v>4.916980523762768</v>
      </c>
      <c r="E146">
        <v>2.64</v>
      </c>
      <c r="F146">
        <v>0.56389915966386561</v>
      </c>
      <c r="H146" t="s">
        <v>189</v>
      </c>
    </row>
    <row r="147" spans="1:11" x14ac:dyDescent="0.55000000000000004">
      <c r="A147" t="s">
        <v>54</v>
      </c>
      <c r="B147">
        <v>3.03</v>
      </c>
      <c r="C147">
        <v>10.52</v>
      </c>
      <c r="D147">
        <v>8.6515001387182444</v>
      </c>
      <c r="E147">
        <v>2.76</v>
      </c>
      <c r="F147">
        <v>0.55030084033613447</v>
      </c>
      <c r="H147" t="s">
        <v>19</v>
      </c>
    </row>
    <row r="148" spans="1:11" x14ac:dyDescent="0.55000000000000004">
      <c r="H148" t="s">
        <v>173</v>
      </c>
    </row>
    <row r="149" spans="1:11" x14ac:dyDescent="0.55000000000000004">
      <c r="H149" t="s">
        <v>111</v>
      </c>
    </row>
    <row r="150" spans="1:11" x14ac:dyDescent="0.55000000000000004">
      <c r="A150" t="s">
        <v>170</v>
      </c>
      <c r="B150">
        <v>4.34</v>
      </c>
      <c r="C150">
        <v>6.8</v>
      </c>
      <c r="D150">
        <v>3.7035557658362612</v>
      </c>
      <c r="E150">
        <v>3.37</v>
      </c>
      <c r="F150">
        <v>0.34205294117647067</v>
      </c>
      <c r="H150" t="s">
        <v>170</v>
      </c>
    </row>
    <row r="151" spans="1:11" x14ac:dyDescent="0.55000000000000004">
      <c r="A151" t="s">
        <v>173</v>
      </c>
      <c r="C151">
        <v>4.18</v>
      </c>
      <c r="D151">
        <v>1.831319115716616</v>
      </c>
      <c r="E151">
        <v>3.14</v>
      </c>
      <c r="F151">
        <v>0.19537184873949578</v>
      </c>
      <c r="H151" t="s">
        <v>254</v>
      </c>
    </row>
    <row r="152" spans="1:11" x14ac:dyDescent="0.55000000000000004">
      <c r="A152" t="s">
        <v>19</v>
      </c>
      <c r="B152">
        <v>4.2</v>
      </c>
      <c r="C152">
        <v>3.45</v>
      </c>
      <c r="D152">
        <v>1.2081910363899744</v>
      </c>
      <c r="E152">
        <v>3.08</v>
      </c>
      <c r="F152">
        <v>0.1541949579831933</v>
      </c>
      <c r="H152" t="s">
        <v>275</v>
      </c>
      <c r="K152" t="s">
        <v>269</v>
      </c>
    </row>
    <row r="153" spans="1:11" x14ac:dyDescent="0.55000000000000004">
      <c r="A153" t="s">
        <v>111</v>
      </c>
      <c r="B153">
        <v>4.16</v>
      </c>
      <c r="C153">
        <v>3.3</v>
      </c>
      <c r="D153">
        <v>2.2803676708920637</v>
      </c>
      <c r="E153">
        <v>3.29</v>
      </c>
      <c r="F153">
        <v>0.1458298319327731</v>
      </c>
      <c r="H153" t="s">
        <v>269</v>
      </c>
      <c r="K153" t="s">
        <v>175</v>
      </c>
    </row>
    <row r="154" spans="1:11" x14ac:dyDescent="0.55000000000000004">
      <c r="H154" t="s">
        <v>175</v>
      </c>
      <c r="K154" t="s">
        <v>169</v>
      </c>
    </row>
    <row r="155" spans="1:11" x14ac:dyDescent="0.55000000000000004">
      <c r="H155" t="s">
        <v>169</v>
      </c>
      <c r="K155" t="s">
        <v>102</v>
      </c>
    </row>
    <row r="156" spans="1:11" x14ac:dyDescent="0.55000000000000004">
      <c r="B156">
        <v>0</v>
      </c>
      <c r="C156">
        <v>18.7</v>
      </c>
      <c r="D156">
        <v>1.00057</v>
      </c>
      <c r="H156" t="s">
        <v>102</v>
      </c>
      <c r="K156" t="s">
        <v>253</v>
      </c>
    </row>
    <row r="157" spans="1:11" x14ac:dyDescent="0.55000000000000004">
      <c r="B157">
        <v>5</v>
      </c>
      <c r="C157">
        <v>26.5</v>
      </c>
      <c r="D157">
        <v>1.4227141456582635</v>
      </c>
      <c r="H157" t="s">
        <v>253</v>
      </c>
      <c r="K157" t="s">
        <v>270</v>
      </c>
    </row>
    <row r="158" spans="1:11" x14ac:dyDescent="0.55000000000000004">
      <c r="B158">
        <v>10</v>
      </c>
      <c r="C158">
        <v>24.1</v>
      </c>
      <c r="D158">
        <v>1.2885271708683472</v>
      </c>
      <c r="H158" t="s">
        <v>270</v>
      </c>
    </row>
    <row r="159" spans="1:11" x14ac:dyDescent="0.55000000000000004">
      <c r="B159">
        <v>17</v>
      </c>
      <c r="C159">
        <v>21.2</v>
      </c>
      <c r="D159">
        <v>1.1252868347338936</v>
      </c>
    </row>
    <row r="237" spans="4:12" ht="18.5" thickBot="1" x14ac:dyDescent="0.6"/>
    <row r="238" spans="4:12" ht="25.5" thickBot="1" x14ac:dyDescent="0.6">
      <c r="D238" s="67" t="s">
        <v>220</v>
      </c>
      <c r="E238" s="67" t="s">
        <v>221</v>
      </c>
      <c r="F238" s="70" t="s">
        <v>222</v>
      </c>
      <c r="G238" s="70"/>
      <c r="H238" s="70"/>
      <c r="I238" s="70"/>
      <c r="J238" s="70"/>
      <c r="K238" s="70"/>
      <c r="L238" s="70"/>
    </row>
    <row r="239" spans="4:12" ht="23.5" thickBot="1" x14ac:dyDescent="0.6">
      <c r="D239" s="68"/>
      <c r="E239" s="68"/>
      <c r="F239" s="71" t="s">
        <v>223</v>
      </c>
      <c r="G239" s="71"/>
      <c r="H239" s="71"/>
      <c r="I239" s="71"/>
      <c r="J239" s="71"/>
      <c r="K239" s="71"/>
      <c r="L239" s="71"/>
    </row>
    <row r="240" spans="4:12" ht="72.5" thickBot="1" x14ac:dyDescent="0.6">
      <c r="D240" s="69"/>
      <c r="E240" s="69"/>
      <c r="F240" s="38" t="s">
        <v>224</v>
      </c>
      <c r="G240" s="39" t="s">
        <v>225</v>
      </c>
      <c r="H240" s="40" t="s">
        <v>226</v>
      </c>
      <c r="I240" s="41" t="s">
        <v>227</v>
      </c>
      <c r="J240" s="42" t="s">
        <v>228</v>
      </c>
      <c r="K240" s="41" t="s">
        <v>229</v>
      </c>
      <c r="L240" s="41" t="s">
        <v>230</v>
      </c>
    </row>
    <row r="241" spans="4:12" ht="68.5" customHeight="1" x14ac:dyDescent="0.55000000000000004">
      <c r="D241" s="72" t="s">
        <v>231</v>
      </c>
      <c r="E241" s="74">
        <v>59</v>
      </c>
      <c r="F241" s="37">
        <v>36</v>
      </c>
      <c r="G241" s="37">
        <v>0.2</v>
      </c>
      <c r="H241" s="37">
        <v>1.7</v>
      </c>
      <c r="I241" s="37">
        <v>5.8</v>
      </c>
      <c r="J241" s="37">
        <v>2.2000000000000002</v>
      </c>
      <c r="K241" s="37">
        <v>1.7</v>
      </c>
      <c r="L241" s="37">
        <v>12</v>
      </c>
    </row>
    <row r="242" spans="4:12" ht="25.5" thickBot="1" x14ac:dyDescent="0.6">
      <c r="D242" s="73"/>
      <c r="E242" s="75"/>
      <c r="F242" s="44">
        <v>61</v>
      </c>
      <c r="G242" s="45">
        <v>0.3</v>
      </c>
      <c r="H242" s="45">
        <v>2.9</v>
      </c>
      <c r="I242" s="45">
        <v>9.8000000000000007</v>
      </c>
      <c r="J242" s="45">
        <v>3.7</v>
      </c>
      <c r="K242" s="45">
        <v>2.9</v>
      </c>
      <c r="L242" s="45">
        <v>20</v>
      </c>
    </row>
    <row r="243" spans="4:12" ht="23" thickBot="1" x14ac:dyDescent="0.6">
      <c r="D243" s="76" t="s">
        <v>234</v>
      </c>
      <c r="E243" s="78"/>
      <c r="F243" s="46"/>
      <c r="G243" s="46"/>
      <c r="H243" s="46"/>
      <c r="I243" s="46"/>
      <c r="J243" s="46"/>
      <c r="K243" s="46"/>
      <c r="L243" s="46"/>
    </row>
    <row r="244" spans="4:12" ht="23" thickBot="1" x14ac:dyDescent="0.6">
      <c r="D244" s="77"/>
      <c r="E244" s="77"/>
      <c r="F244" s="46"/>
      <c r="G244" s="46"/>
      <c r="H244" s="46"/>
      <c r="I244" s="46"/>
      <c r="J244" s="46"/>
      <c r="K244" s="46"/>
      <c r="L244" s="46"/>
    </row>
    <row r="245" spans="4:12" ht="23" thickBot="1" x14ac:dyDescent="0.6">
      <c r="D245" s="78"/>
      <c r="E245" s="78"/>
      <c r="F245" s="46"/>
      <c r="G245" s="46"/>
      <c r="H245" s="46"/>
      <c r="I245" s="46"/>
      <c r="J245" s="46"/>
      <c r="K245" s="46"/>
      <c r="L245" s="46"/>
    </row>
    <row r="246" spans="4:12" ht="23" thickBot="1" x14ac:dyDescent="0.6">
      <c r="D246" s="77"/>
      <c r="E246" s="77"/>
      <c r="F246" s="46"/>
      <c r="G246" s="46"/>
      <c r="H246" s="46"/>
      <c r="I246" s="46"/>
      <c r="J246" s="46"/>
      <c r="K246" s="46"/>
      <c r="L246" s="46"/>
    </row>
    <row r="247" spans="4:12" ht="23" thickBot="1" x14ac:dyDescent="0.6">
      <c r="D247" s="78"/>
      <c r="E247" s="78"/>
      <c r="F247" s="46"/>
      <c r="G247" s="46"/>
      <c r="H247" s="46"/>
      <c r="I247" s="46"/>
      <c r="J247" s="46"/>
      <c r="K247" s="46"/>
      <c r="L247" s="46"/>
    </row>
    <row r="248" spans="4:12" ht="23" thickBot="1" x14ac:dyDescent="0.6">
      <c r="D248" s="77"/>
      <c r="E248" s="77"/>
      <c r="F248" s="46"/>
      <c r="G248" s="46"/>
      <c r="H248" s="46"/>
      <c r="I248" s="46"/>
      <c r="J248" s="46"/>
      <c r="K248" s="46"/>
      <c r="L248" s="46"/>
    </row>
    <row r="249" spans="4:12" ht="23" thickBot="1" x14ac:dyDescent="0.6">
      <c r="D249" s="78"/>
      <c r="E249" s="78"/>
      <c r="F249" s="46"/>
      <c r="G249" s="46"/>
      <c r="H249" s="46"/>
      <c r="I249" s="46"/>
      <c r="J249" s="46"/>
      <c r="K249" s="46"/>
      <c r="L249" s="46"/>
    </row>
    <row r="250" spans="4:12" ht="23" thickBot="1" x14ac:dyDescent="0.6">
      <c r="D250" s="77"/>
      <c r="E250" s="77"/>
      <c r="F250" s="46"/>
      <c r="G250" s="46"/>
      <c r="H250" s="46"/>
      <c r="I250" s="46"/>
      <c r="J250" s="46"/>
      <c r="K250" s="46"/>
      <c r="L250" s="46"/>
    </row>
    <row r="251" spans="4:12" ht="23" thickBot="1" x14ac:dyDescent="0.6">
      <c r="D251" s="78"/>
      <c r="E251" s="78"/>
      <c r="F251" s="46"/>
      <c r="G251" s="46"/>
      <c r="H251" s="46"/>
      <c r="I251" s="46"/>
      <c r="J251" s="46"/>
      <c r="K251" s="46"/>
      <c r="L251" s="46"/>
    </row>
    <row r="252" spans="4:12" ht="23" thickBot="1" x14ac:dyDescent="0.6">
      <c r="D252" s="77"/>
      <c r="E252" s="77"/>
      <c r="F252" s="46"/>
      <c r="G252" s="46"/>
      <c r="H252" s="46"/>
      <c r="I252" s="46"/>
      <c r="J252" s="46"/>
      <c r="K252" s="46"/>
      <c r="L252" s="46"/>
    </row>
    <row r="253" spans="4:12" ht="25" x14ac:dyDescent="0.55000000000000004">
      <c r="D253" s="43" t="s">
        <v>232</v>
      </c>
      <c r="E253" s="74">
        <v>85</v>
      </c>
      <c r="F253" s="37">
        <v>36</v>
      </c>
      <c r="G253" s="37">
        <v>0.2</v>
      </c>
      <c r="H253" s="37">
        <v>1.4</v>
      </c>
      <c r="I253" s="37">
        <v>8.6</v>
      </c>
      <c r="J253" s="37">
        <v>3.2</v>
      </c>
      <c r="K253" s="37">
        <v>2.9</v>
      </c>
      <c r="L253" s="37">
        <v>33</v>
      </c>
    </row>
    <row r="254" spans="4:12" ht="47.5" thickBot="1" x14ac:dyDescent="0.6">
      <c r="D254" s="47" t="s">
        <v>233</v>
      </c>
      <c r="E254" s="75"/>
      <c r="F254" s="44">
        <v>42</v>
      </c>
      <c r="G254" s="45">
        <v>0.2</v>
      </c>
      <c r="H254" s="45">
        <v>1.6</v>
      </c>
      <c r="I254" s="45">
        <v>10</v>
      </c>
      <c r="J254" s="45">
        <v>3.8</v>
      </c>
      <c r="K254" s="45">
        <v>3.4</v>
      </c>
      <c r="L254" s="45">
        <v>39</v>
      </c>
    </row>
    <row r="257" spans="1:6" x14ac:dyDescent="0.55000000000000004">
      <c r="A257" t="s">
        <v>10</v>
      </c>
      <c r="B257">
        <v>2.98</v>
      </c>
      <c r="C257">
        <v>13.32</v>
      </c>
      <c r="D257">
        <v>8.0126517930399004</v>
      </c>
      <c r="E257">
        <v>2.73</v>
      </c>
      <c r="F257">
        <v>0.70725252100840341</v>
      </c>
    </row>
    <row r="258" spans="1:6" x14ac:dyDescent="0.55000000000000004">
      <c r="A258" t="s">
        <v>248</v>
      </c>
      <c r="B258">
        <v>3.13</v>
      </c>
      <c r="C258">
        <v>13.29</v>
      </c>
      <c r="E258">
        <v>2.75</v>
      </c>
      <c r="F258">
        <v>0.7054936974789916</v>
      </c>
    </row>
    <row r="259" spans="1:6" x14ac:dyDescent="0.55000000000000004">
      <c r="A259" t="s">
        <v>260</v>
      </c>
      <c r="C259">
        <v>8.9499999999999993</v>
      </c>
      <c r="E259">
        <v>2.76</v>
      </c>
    </row>
    <row r="260" spans="1:6" x14ac:dyDescent="0.55000000000000004">
      <c r="A260" t="s">
        <v>241</v>
      </c>
      <c r="C260">
        <v>5.41</v>
      </c>
    </row>
    <row r="261" spans="1:6" x14ac:dyDescent="0.55000000000000004">
      <c r="A261" t="s">
        <v>244</v>
      </c>
      <c r="C261">
        <v>12.83</v>
      </c>
    </row>
    <row r="262" spans="1:6" ht="72" x14ac:dyDescent="0.55000000000000004">
      <c r="A262" s="33" t="s">
        <v>255</v>
      </c>
      <c r="B262">
        <v>2.2000000000000002</v>
      </c>
      <c r="C262">
        <v>17.690000000000001</v>
      </c>
      <c r="F262">
        <v>0.9518974789915966</v>
      </c>
    </row>
    <row r="263" spans="1:6" x14ac:dyDescent="0.55000000000000004">
      <c r="A263" t="s">
        <v>53</v>
      </c>
      <c r="B263">
        <v>1.93</v>
      </c>
      <c r="C263">
        <v>18.649999999999999</v>
      </c>
      <c r="D263">
        <v>16.427803853754938</v>
      </c>
      <c r="E263">
        <v>2.44</v>
      </c>
      <c r="F263">
        <v>1.0058785714285716</v>
      </c>
    </row>
  </sheetData>
  <mergeCells count="17">
    <mergeCell ref="D249:D250"/>
    <mergeCell ref="E249:E250"/>
    <mergeCell ref="D251:D252"/>
    <mergeCell ref="E251:E252"/>
    <mergeCell ref="E253:E254"/>
    <mergeCell ref="D243:D244"/>
    <mergeCell ref="E243:E244"/>
    <mergeCell ref="D245:D246"/>
    <mergeCell ref="E245:E246"/>
    <mergeCell ref="D247:D248"/>
    <mergeCell ref="E247:E248"/>
    <mergeCell ref="D238:D240"/>
    <mergeCell ref="E238:E240"/>
    <mergeCell ref="F238:L238"/>
    <mergeCell ref="F239:L239"/>
    <mergeCell ref="D241:D242"/>
    <mergeCell ref="E241:E242"/>
  </mergeCells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93D1-35F8-49BE-9AA6-6388EF440C30}">
  <dimension ref="A1:T177"/>
  <sheetViews>
    <sheetView topLeftCell="A232" zoomScale="54" zoomScaleNormal="60" workbookViewId="0">
      <selection activeCell="T252" sqref="T252"/>
    </sheetView>
  </sheetViews>
  <sheetFormatPr defaultRowHeight="18" x14ac:dyDescent="0.55000000000000004"/>
  <cols>
    <col min="1" max="1" width="11.6640625" customWidth="1"/>
  </cols>
  <sheetData>
    <row r="1" spans="1:14" ht="18.5" thickBot="1" x14ac:dyDescent="0.6"/>
    <row r="2" spans="1:14" x14ac:dyDescent="0.55000000000000004">
      <c r="B2" s="7" t="s">
        <v>25</v>
      </c>
      <c r="C2" s="8" t="s">
        <v>18</v>
      </c>
      <c r="D2" s="8" t="s">
        <v>2</v>
      </c>
      <c r="E2" s="8" t="s">
        <v>12</v>
      </c>
      <c r="F2" s="8" t="s">
        <v>24</v>
      </c>
      <c r="G2" s="8" t="s">
        <v>7</v>
      </c>
      <c r="H2" s="8" t="s">
        <v>8</v>
      </c>
      <c r="I2" s="8" t="s">
        <v>22</v>
      </c>
      <c r="J2" s="9" t="s">
        <v>21</v>
      </c>
    </row>
    <row r="3" spans="1:14" x14ac:dyDescent="0.55000000000000004">
      <c r="B3" s="10" t="s">
        <v>9</v>
      </c>
      <c r="C3" s="2">
        <f>100-(9.1561-9.0956)/0.324*100</f>
        <v>81.327160493826824</v>
      </c>
      <c r="D3" s="6">
        <v>39.331642499999994</v>
      </c>
      <c r="E3" s="6">
        <v>3.6727258999999997</v>
      </c>
      <c r="F3" s="6">
        <v>2.8212299999999999</v>
      </c>
      <c r="G3" s="6">
        <v>5.8741935200000004</v>
      </c>
      <c r="H3" s="6">
        <v>3.3072916799999996</v>
      </c>
      <c r="I3" s="6">
        <v>1.1506725581102364</v>
      </c>
      <c r="J3" s="11">
        <v>25.1694043357166</v>
      </c>
    </row>
    <row r="4" spans="1:14" x14ac:dyDescent="0.55000000000000004">
      <c r="B4" s="10" t="s">
        <v>10</v>
      </c>
      <c r="C4" s="2">
        <f>100-(9.109-9.0928)/0.324*100</f>
        <v>95.000000000000142</v>
      </c>
      <c r="D4" s="6">
        <v>55.038622500000002</v>
      </c>
      <c r="E4" s="6">
        <v>0.99815105999999987</v>
      </c>
      <c r="F4" s="6">
        <v>2.493045</v>
      </c>
      <c r="G4" s="6">
        <v>7.3866582400000009</v>
      </c>
      <c r="H4" s="6">
        <v>3.74530056</v>
      </c>
      <c r="I4" s="6">
        <v>1.5011171981102363</v>
      </c>
      <c r="J4" s="11">
        <v>23.837105441889904</v>
      </c>
    </row>
    <row r="5" spans="1:14" x14ac:dyDescent="0.55000000000000004">
      <c r="B5" s="10" t="s">
        <v>19</v>
      </c>
      <c r="C5" s="2">
        <f>100-(9.2477-9.1004)/0.324*100</f>
        <v>54.53703703703718</v>
      </c>
      <c r="D5" s="6">
        <v>17.790030000000002</v>
      </c>
      <c r="E5" s="6">
        <v>9.7010492599999978</v>
      </c>
      <c r="F5" s="6">
        <v>2.2730625</v>
      </c>
      <c r="G5" s="6">
        <v>3.5463136800000004</v>
      </c>
      <c r="H5" s="6">
        <v>1.3522337999999998</v>
      </c>
      <c r="I5" s="6">
        <v>0.80436702803149618</v>
      </c>
      <c r="J5" s="11">
        <v>19.069980769005689</v>
      </c>
    </row>
    <row r="6" spans="1:14" ht="18.5" thickBot="1" x14ac:dyDescent="0.6">
      <c r="B6" s="12" t="s">
        <v>26</v>
      </c>
      <c r="C6" s="13">
        <v>44.81</v>
      </c>
      <c r="D6" s="6">
        <v>4.2933375000000007</v>
      </c>
      <c r="E6" s="6">
        <v>8.2026401600000014</v>
      </c>
      <c r="F6" s="6">
        <v>1.5973199999999996</v>
      </c>
      <c r="G6" s="6">
        <v>2.0420452</v>
      </c>
      <c r="H6" s="6">
        <v>1.1196612400000001</v>
      </c>
      <c r="I6" s="6">
        <v>0.58174204440944888</v>
      </c>
      <c r="J6" s="14">
        <v>26.98</v>
      </c>
    </row>
    <row r="7" spans="1:14" x14ac:dyDescent="0.55000000000000004">
      <c r="B7" s="2"/>
    </row>
    <row r="8" spans="1:14" ht="18.5" thickBot="1" x14ac:dyDescent="0.6">
      <c r="B8" s="2"/>
    </row>
    <row r="9" spans="1:14" x14ac:dyDescent="0.55000000000000004">
      <c r="B9" s="15" t="s">
        <v>27</v>
      </c>
      <c r="C9" s="8" t="s">
        <v>18</v>
      </c>
      <c r="D9" s="8" t="s">
        <v>2</v>
      </c>
      <c r="E9" s="8" t="s">
        <v>12</v>
      </c>
      <c r="F9" s="8" t="s">
        <v>24</v>
      </c>
      <c r="G9" s="8" t="s">
        <v>7</v>
      </c>
      <c r="H9" s="8" t="s">
        <v>8</v>
      </c>
      <c r="I9" s="8" t="s">
        <v>22</v>
      </c>
      <c r="J9" s="9" t="s">
        <v>21</v>
      </c>
    </row>
    <row r="10" spans="1:14" x14ac:dyDescent="0.55000000000000004">
      <c r="A10" t="s">
        <v>28</v>
      </c>
      <c r="B10" s="10" t="s">
        <v>9</v>
      </c>
      <c r="C10" s="2">
        <f>100-(9.3372-9.0998)/0.324*100</f>
        <v>26.728395061728648</v>
      </c>
      <c r="D10" s="6">
        <v>11.449282499999999</v>
      </c>
      <c r="E10" s="6">
        <v>0.68769525999999992</v>
      </c>
      <c r="F10" s="6">
        <v>1.7029575000000001</v>
      </c>
      <c r="G10" s="6">
        <v>1.9667284000000003</v>
      </c>
      <c r="H10" s="6">
        <v>0.98373031999999994</v>
      </c>
      <c r="I10" s="6">
        <v>0.75873826866141736</v>
      </c>
      <c r="J10" s="11">
        <v>9.1792628130672327</v>
      </c>
    </row>
    <row r="11" spans="1:14" x14ac:dyDescent="0.55000000000000004">
      <c r="A11" t="s">
        <v>31</v>
      </c>
      <c r="B11" s="10" t="s">
        <v>10</v>
      </c>
      <c r="C11" s="2">
        <f>100-(9.3242-9.0986)/0.324*100</f>
        <v>30.370370370370367</v>
      </c>
      <c r="D11" s="6">
        <v>13.284067499999999</v>
      </c>
      <c r="E11" s="6">
        <v>0.39270593999999992</v>
      </c>
      <c r="F11" s="6">
        <v>1.5048450000000002</v>
      </c>
      <c r="G11" s="6">
        <v>2.0049775200000006</v>
      </c>
      <c r="H11" s="6">
        <v>1.0239352400000001</v>
      </c>
      <c r="I11" s="6">
        <v>0.74878469480314969</v>
      </c>
      <c r="J11" s="11">
        <v>11.411054475567219</v>
      </c>
    </row>
    <row r="12" spans="1:14" x14ac:dyDescent="0.55000000000000004">
      <c r="A12" t="s">
        <v>29</v>
      </c>
      <c r="B12" s="10" t="s">
        <v>19</v>
      </c>
      <c r="C12" s="2">
        <f>100-(9.3564-9.0905)/0.324*100</f>
        <v>17.932098765432031</v>
      </c>
      <c r="D12" s="6">
        <v>3.4493175000000003</v>
      </c>
      <c r="E12" s="6">
        <v>1.5477366599999998</v>
      </c>
      <c r="F12" s="6">
        <v>1.2750075000000001</v>
      </c>
      <c r="G12" s="6">
        <v>0.82590040000000009</v>
      </c>
      <c r="H12" s="6">
        <v>0.45998423999999999</v>
      </c>
      <c r="I12" s="6">
        <v>0.37114018960629924</v>
      </c>
      <c r="J12" s="11">
        <v>10.003012275825732</v>
      </c>
    </row>
    <row r="13" spans="1:14" ht="18.5" thickBot="1" x14ac:dyDescent="0.6">
      <c r="A13" t="s">
        <v>30</v>
      </c>
      <c r="B13" s="12" t="s">
        <v>26</v>
      </c>
      <c r="C13" s="16">
        <f>100-(9.3719-9.0922)/0.324*100</f>
        <v>13.672839506172835</v>
      </c>
      <c r="D13" s="16">
        <v>0.6969375000000001</v>
      </c>
      <c r="E13" s="16">
        <v>1.0255177199999999</v>
      </c>
      <c r="F13" s="16">
        <v>0.58016250000000003</v>
      </c>
      <c r="G13" s="16">
        <v>0.41771288000000006</v>
      </c>
      <c r="H13" s="16">
        <v>0.22283348</v>
      </c>
      <c r="I13" s="16">
        <v>0.26046827433070863</v>
      </c>
      <c r="J13" s="17">
        <v>10.469207151842127</v>
      </c>
    </row>
    <row r="16" spans="1:14" x14ac:dyDescent="0.55000000000000004">
      <c r="C16">
        <v>0.6969375000000001</v>
      </c>
      <c r="E16">
        <v>0.6969375000000001</v>
      </c>
      <c r="M16" t="s">
        <v>51</v>
      </c>
      <c r="N16" t="s">
        <v>50</v>
      </c>
    </row>
    <row r="17" spans="3:14" x14ac:dyDescent="0.55000000000000004">
      <c r="C17" s="18">
        <v>11.449282499999999</v>
      </c>
      <c r="D17" s="18"/>
      <c r="E17" s="18">
        <v>3.4493175000000003</v>
      </c>
      <c r="F17" s="18"/>
      <c r="G17" s="18"/>
      <c r="H17" s="18"/>
      <c r="I17" s="18"/>
      <c r="J17" s="19"/>
      <c r="L17" t="s">
        <v>142</v>
      </c>
      <c r="M17">
        <v>0.6969375000000001</v>
      </c>
      <c r="N17">
        <v>4.2933375000000007</v>
      </c>
    </row>
    <row r="18" spans="3:14" x14ac:dyDescent="0.55000000000000004">
      <c r="C18" s="18">
        <v>13.284067499999999</v>
      </c>
      <c r="D18" s="18"/>
      <c r="E18" s="18"/>
      <c r="F18" s="18"/>
      <c r="G18" s="18"/>
      <c r="H18" s="18"/>
      <c r="I18" s="18"/>
      <c r="J18" s="19"/>
      <c r="L18" t="s">
        <v>143</v>
      </c>
      <c r="M18">
        <v>3.4493175000000003</v>
      </c>
      <c r="N18">
        <v>17.790030000000002</v>
      </c>
    </row>
    <row r="19" spans="3:14" x14ac:dyDescent="0.55000000000000004">
      <c r="C19" s="18">
        <v>3.4493175000000003</v>
      </c>
      <c r="D19" s="18"/>
      <c r="E19" s="18"/>
      <c r="F19" s="18"/>
      <c r="G19" s="18"/>
      <c r="H19" s="18"/>
      <c r="I19" s="18"/>
      <c r="J19" s="19"/>
      <c r="L19" t="s">
        <v>144</v>
      </c>
      <c r="M19">
        <v>13.321394999999999</v>
      </c>
      <c r="N19">
        <v>55.038622500000002</v>
      </c>
    </row>
    <row r="20" spans="3:14" ht="18.5" thickBot="1" x14ac:dyDescent="0.6">
      <c r="C20" s="20"/>
      <c r="D20" s="20"/>
      <c r="E20" s="20"/>
      <c r="F20" s="20"/>
      <c r="G20" s="20"/>
      <c r="H20" s="20"/>
      <c r="I20" s="20"/>
      <c r="J20" s="21"/>
      <c r="L20" t="s">
        <v>40</v>
      </c>
      <c r="M20">
        <v>11.530552500000001</v>
      </c>
      <c r="N20">
        <v>51.882592500000015</v>
      </c>
    </row>
    <row r="21" spans="3:14" x14ac:dyDescent="0.55000000000000004">
      <c r="L21" t="s">
        <v>49</v>
      </c>
      <c r="M21">
        <v>8.7356475000000007</v>
      </c>
      <c r="N21">
        <v>47.94</v>
      </c>
    </row>
    <row r="22" spans="3:14" x14ac:dyDescent="0.55000000000000004">
      <c r="C22" s="18">
        <v>39.331642499999994</v>
      </c>
      <c r="D22" s="18"/>
      <c r="E22" s="18"/>
      <c r="F22" s="18"/>
      <c r="G22" s="18"/>
      <c r="H22" s="18"/>
      <c r="I22" s="18"/>
      <c r="J22" s="19"/>
      <c r="L22" t="s">
        <v>33</v>
      </c>
      <c r="M22">
        <v>11.5</v>
      </c>
      <c r="N22">
        <v>57.471254999999999</v>
      </c>
    </row>
    <row r="23" spans="3:14" x14ac:dyDescent="0.55000000000000004">
      <c r="C23" s="18">
        <v>55.038622500000002</v>
      </c>
      <c r="D23" s="18"/>
      <c r="E23" s="18"/>
      <c r="F23" s="18"/>
      <c r="G23" s="18"/>
      <c r="H23" s="18"/>
      <c r="I23" s="18"/>
      <c r="J23" s="19"/>
      <c r="L23" t="s">
        <v>31</v>
      </c>
      <c r="M23">
        <v>9.75</v>
      </c>
      <c r="N23">
        <v>39.331642499999994</v>
      </c>
    </row>
    <row r="24" spans="3:14" x14ac:dyDescent="0.55000000000000004">
      <c r="C24" s="18">
        <v>17.790030000000002</v>
      </c>
      <c r="D24" s="18"/>
      <c r="E24" s="18"/>
      <c r="F24" s="18"/>
      <c r="G24" s="18"/>
      <c r="H24" s="18"/>
      <c r="I24" s="18"/>
      <c r="J24" s="19"/>
      <c r="L24" t="s">
        <v>82</v>
      </c>
      <c r="M24">
        <v>11.798730000000001</v>
      </c>
    </row>
    <row r="25" spans="3:14" x14ac:dyDescent="0.55000000000000004">
      <c r="L25" t="s">
        <v>83</v>
      </c>
      <c r="M25">
        <v>18.651870000000002</v>
      </c>
    </row>
    <row r="26" spans="3:14" x14ac:dyDescent="0.55000000000000004">
      <c r="L26" t="s">
        <v>84</v>
      </c>
      <c r="M26">
        <v>10.519807500000001</v>
      </c>
    </row>
    <row r="27" spans="3:14" x14ac:dyDescent="0.55000000000000004">
      <c r="L27" t="s">
        <v>85</v>
      </c>
      <c r="M27">
        <v>6.8025825000000015</v>
      </c>
    </row>
    <row r="28" spans="3:14" x14ac:dyDescent="0.55000000000000004">
      <c r="L28" t="s">
        <v>86</v>
      </c>
      <c r="M28">
        <v>4.1843250000000003</v>
      </c>
    </row>
    <row r="29" spans="3:14" x14ac:dyDescent="0.55000000000000004">
      <c r="L29" t="s">
        <v>137</v>
      </c>
      <c r="M29">
        <v>3.3</v>
      </c>
    </row>
    <row r="30" spans="3:14" x14ac:dyDescent="0.55000000000000004">
      <c r="L30" t="s">
        <v>138</v>
      </c>
      <c r="M30">
        <v>10.89</v>
      </c>
    </row>
    <row r="31" spans="3:14" x14ac:dyDescent="0.55000000000000004">
      <c r="L31" t="s">
        <v>139</v>
      </c>
      <c r="M31">
        <v>15.65</v>
      </c>
    </row>
    <row r="32" spans="3:14" x14ac:dyDescent="0.55000000000000004">
      <c r="L32" t="s">
        <v>140</v>
      </c>
    </row>
    <row r="33" spans="1:20" x14ac:dyDescent="0.55000000000000004">
      <c r="L33" t="s">
        <v>141</v>
      </c>
      <c r="Q33" t="s">
        <v>63</v>
      </c>
      <c r="R33" t="s">
        <v>61</v>
      </c>
      <c r="S33" t="s">
        <v>246</v>
      </c>
      <c r="T33" t="s">
        <v>237</v>
      </c>
    </row>
    <row r="34" spans="1:20" x14ac:dyDescent="0.55000000000000004">
      <c r="A34" t="s">
        <v>324</v>
      </c>
      <c r="B34" t="s">
        <v>321</v>
      </c>
      <c r="C34" t="s">
        <v>10</v>
      </c>
      <c r="D34" t="s">
        <v>5</v>
      </c>
      <c r="E34" t="s">
        <v>164</v>
      </c>
      <c r="F34" t="s">
        <v>18</v>
      </c>
      <c r="G34" t="s">
        <v>53</v>
      </c>
      <c r="H34" t="s">
        <v>5</v>
      </c>
      <c r="I34" t="s">
        <v>39</v>
      </c>
      <c r="J34" t="s">
        <v>18</v>
      </c>
      <c r="K34" t="s">
        <v>246</v>
      </c>
      <c r="L34" t="s">
        <v>5</v>
      </c>
      <c r="M34" t="s">
        <v>18</v>
      </c>
      <c r="N34" t="s">
        <v>237</v>
      </c>
      <c r="O34" t="s">
        <v>5</v>
      </c>
      <c r="P34" t="s">
        <v>18</v>
      </c>
    </row>
    <row r="35" spans="1:20" x14ac:dyDescent="0.55000000000000004">
      <c r="A35">
        <v>356</v>
      </c>
      <c r="B35">
        <v>0.17695900000000001</v>
      </c>
      <c r="C35">
        <v>29.6</v>
      </c>
      <c r="D35">
        <v>13.32</v>
      </c>
      <c r="E35">
        <v>8.0126517930399004</v>
      </c>
      <c r="F35">
        <v>30.37</v>
      </c>
      <c r="G35">
        <v>20.7</v>
      </c>
      <c r="H35">
        <v>18.649999999999999</v>
      </c>
      <c r="I35">
        <v>16.427803853754938</v>
      </c>
      <c r="J35">
        <v>36.6</v>
      </c>
      <c r="L35">
        <v>17.690000000000001</v>
      </c>
      <c r="M35">
        <v>35</v>
      </c>
      <c r="O35">
        <v>26.76</v>
      </c>
      <c r="P35">
        <v>54.85</v>
      </c>
      <c r="Q35">
        <f>D35/J35*100</f>
        <v>36.393442622950815</v>
      </c>
      <c r="R35">
        <f>H35/J35*100</f>
        <v>50.956284153005463</v>
      </c>
      <c r="S35">
        <f>L35/M35*100</f>
        <v>50.542857142857144</v>
      </c>
      <c r="T35">
        <f>O35/P35*100</f>
        <v>48.787602552415684</v>
      </c>
    </row>
    <row r="36" spans="1:20" x14ac:dyDescent="0.55000000000000004">
      <c r="A36">
        <v>713</v>
      </c>
      <c r="B36">
        <v>0.35688454071338799</v>
      </c>
      <c r="C36">
        <v>59.3</v>
      </c>
      <c r="D36">
        <v>16.62</v>
      </c>
      <c r="E36">
        <v>5.0065221935315565</v>
      </c>
      <c r="F36">
        <v>33.58</v>
      </c>
      <c r="G36">
        <v>41.4</v>
      </c>
      <c r="H36">
        <v>22.52</v>
      </c>
      <c r="I36">
        <v>9.6809387240876035</v>
      </c>
      <c r="J36">
        <v>45.1</v>
      </c>
      <c r="L36">
        <v>24.84</v>
      </c>
      <c r="M36">
        <v>45.99</v>
      </c>
      <c r="O36">
        <v>37.14</v>
      </c>
      <c r="P36">
        <v>78.09</v>
      </c>
      <c r="Q36">
        <f>D36/J36*100</f>
        <v>36.851441241685144</v>
      </c>
      <c r="R36">
        <f>H36/J36*100</f>
        <v>49.933481152993345</v>
      </c>
      <c r="S36">
        <f>L36/M36*100</f>
        <v>54.011741682974559</v>
      </c>
      <c r="T36">
        <f>O36/P36*100</f>
        <v>47.560507107184016</v>
      </c>
    </row>
    <row r="37" spans="1:20" x14ac:dyDescent="0.55000000000000004">
      <c r="B37">
        <v>0.71376908142677598</v>
      </c>
      <c r="C37">
        <v>118.6</v>
      </c>
      <c r="D37">
        <v>21.17</v>
      </c>
      <c r="E37">
        <v>3.1495665673736166</v>
      </c>
      <c r="F37">
        <v>39</v>
      </c>
      <c r="G37">
        <v>82.8</v>
      </c>
      <c r="H37">
        <v>28.51</v>
      </c>
      <c r="I37">
        <v>6.3798618852966689</v>
      </c>
      <c r="J37">
        <v>58.43</v>
      </c>
      <c r="L37">
        <v>30.71</v>
      </c>
      <c r="M37">
        <v>60</v>
      </c>
      <c r="O37">
        <v>33.53</v>
      </c>
      <c r="P37">
        <v>92.1</v>
      </c>
      <c r="Q37">
        <f>D37/J37*100</f>
        <v>36.231387985623826</v>
      </c>
      <c r="R37">
        <f>H37/J37*100</f>
        <v>48.793428033544416</v>
      </c>
      <c r="S37">
        <f>L37/M37*100</f>
        <v>51.183333333333337</v>
      </c>
      <c r="T37">
        <f>O37/P37*100</f>
        <v>36.40608034744843</v>
      </c>
    </row>
    <row r="38" spans="1:20" x14ac:dyDescent="0.55000000000000004">
      <c r="B38">
        <v>1.427538162853552</v>
      </c>
      <c r="C38">
        <v>296.39999999999998</v>
      </c>
      <c r="D38">
        <v>30.6</v>
      </c>
      <c r="E38">
        <v>1.869916289261687</v>
      </c>
      <c r="F38">
        <v>49.17</v>
      </c>
      <c r="G38" s="48">
        <v>207.1</v>
      </c>
      <c r="H38" s="48">
        <v>37.5</v>
      </c>
      <c r="I38" s="48"/>
      <c r="J38" s="48">
        <v>68.599999999999994</v>
      </c>
      <c r="L38">
        <v>37.79</v>
      </c>
      <c r="M38">
        <v>74.23</v>
      </c>
      <c r="O38">
        <v>6.95</v>
      </c>
      <c r="P38">
        <v>96.05</v>
      </c>
      <c r="Q38">
        <f>D38/J38*100</f>
        <v>44.606413994169102</v>
      </c>
      <c r="R38">
        <f>H38/J38*100</f>
        <v>54.664723032069972</v>
      </c>
      <c r="S38">
        <f>L38/M38*100</f>
        <v>50.909335848039873</v>
      </c>
      <c r="T38">
        <f>O38/P38*100</f>
        <v>7.2358146798542426</v>
      </c>
    </row>
    <row r="39" spans="1:20" x14ac:dyDescent="0.55000000000000004">
      <c r="B39">
        <v>3.56884540713388</v>
      </c>
      <c r="C39">
        <v>592.79999999999995</v>
      </c>
      <c r="D39">
        <v>36.049999999999997</v>
      </c>
      <c r="E39">
        <v>1.1086121280646568</v>
      </c>
      <c r="F39">
        <v>59.44</v>
      </c>
      <c r="G39">
        <v>414.2</v>
      </c>
      <c r="H39">
        <v>39.26</v>
      </c>
      <c r="I39">
        <v>1.7298313103122722</v>
      </c>
      <c r="J39">
        <v>74.44</v>
      </c>
      <c r="L39">
        <v>43.95</v>
      </c>
      <c r="M39">
        <v>85.03</v>
      </c>
      <c r="Q39">
        <f>D39/J39*100</f>
        <v>48.428264373992477</v>
      </c>
      <c r="R39">
        <f>H39/J39*100</f>
        <v>52.74046211714132</v>
      </c>
      <c r="S39">
        <f>L39/M39*100</f>
        <v>51.687639656591791</v>
      </c>
    </row>
    <row r="102" spans="3:10" x14ac:dyDescent="0.55000000000000004">
      <c r="D102" t="s">
        <v>330</v>
      </c>
      <c r="E102" t="s">
        <v>225</v>
      </c>
      <c r="F102" t="s">
        <v>226</v>
      </c>
      <c r="G102" t="s">
        <v>227</v>
      </c>
      <c r="H102" t="s">
        <v>356</v>
      </c>
      <c r="I102" t="s">
        <v>355</v>
      </c>
    </row>
    <row r="103" spans="3:10" x14ac:dyDescent="0.55000000000000004">
      <c r="C103" s="33" t="s">
        <v>334</v>
      </c>
      <c r="D103">
        <v>2.7486000000000002</v>
      </c>
      <c r="E103">
        <v>14.191537500000001</v>
      </c>
      <c r="F103">
        <v>1.6064325000000002</v>
      </c>
      <c r="G103">
        <v>1.4040676000000003</v>
      </c>
      <c r="H103">
        <v>0.8</v>
      </c>
      <c r="I103">
        <v>17.333313017283732</v>
      </c>
      <c r="J103" t="s">
        <v>331</v>
      </c>
    </row>
    <row r="104" spans="3:10" ht="38" x14ac:dyDescent="0.55000000000000004">
      <c r="C104" s="33" t="s">
        <v>334</v>
      </c>
      <c r="D104">
        <v>39.331642499999994</v>
      </c>
      <c r="E104">
        <v>6.6038625</v>
      </c>
      <c r="F104">
        <v>2.8212299999999999</v>
      </c>
      <c r="G104">
        <v>5.8741935200000004</v>
      </c>
      <c r="H104">
        <v>3.3</v>
      </c>
      <c r="I104">
        <v>26.696231973826833</v>
      </c>
      <c r="J104" s="33" t="s">
        <v>335</v>
      </c>
    </row>
    <row r="105" spans="3:10" ht="36" x14ac:dyDescent="0.55000000000000004">
      <c r="C105" s="33" t="s">
        <v>334</v>
      </c>
      <c r="D105">
        <v>4.9593600000000002</v>
      </c>
      <c r="E105">
        <v>15.465262499999998</v>
      </c>
      <c r="F105">
        <v>1.6503750000000001</v>
      </c>
      <c r="G105">
        <v>2.6750016800000003</v>
      </c>
      <c r="H105">
        <v>1</v>
      </c>
      <c r="I105">
        <v>17.688272424938749</v>
      </c>
      <c r="J105" s="33" t="s">
        <v>336</v>
      </c>
    </row>
    <row r="106" spans="3:10" ht="90" x14ac:dyDescent="0.55000000000000004">
      <c r="C106" s="33" t="s">
        <v>334</v>
      </c>
      <c r="D106">
        <v>10</v>
      </c>
      <c r="E106">
        <v>25.090020000000003</v>
      </c>
      <c r="F106">
        <v>2.5454924999999999</v>
      </c>
      <c r="G106">
        <v>3.4371781599999998</v>
      </c>
      <c r="H106">
        <v>1.5</v>
      </c>
      <c r="I106">
        <v>21.545257827654314</v>
      </c>
      <c r="J106" s="33" t="s">
        <v>337</v>
      </c>
    </row>
    <row r="107" spans="3:10" x14ac:dyDescent="0.55000000000000004">
      <c r="C107" t="s">
        <v>332</v>
      </c>
      <c r="D107">
        <v>8.7700049999999994</v>
      </c>
      <c r="E107">
        <v>20.567452499999998</v>
      </c>
      <c r="F107">
        <v>1.82925</v>
      </c>
      <c r="G107">
        <v>2.8040001600000002</v>
      </c>
      <c r="H107">
        <v>1.1000000000000001</v>
      </c>
      <c r="I107">
        <v>15.782378759753167</v>
      </c>
      <c r="J107" t="s">
        <v>332</v>
      </c>
    </row>
    <row r="108" spans="3:10" x14ac:dyDescent="0.55000000000000004">
      <c r="C108" t="s">
        <v>333</v>
      </c>
      <c r="D108">
        <v>9.6000499999999995</v>
      </c>
      <c r="E108">
        <v>19.227847499999999</v>
      </c>
      <c r="F108">
        <v>1.1941425000000001</v>
      </c>
      <c r="G108">
        <v>2.3992831200000002</v>
      </c>
      <c r="H108">
        <v>0.7</v>
      </c>
      <c r="I108">
        <v>16.798800336789622</v>
      </c>
      <c r="J108" t="s">
        <v>333</v>
      </c>
    </row>
    <row r="109" spans="3:10" x14ac:dyDescent="0.55000000000000004">
      <c r="C109" s="33" t="s">
        <v>334</v>
      </c>
      <c r="D109">
        <v>55</v>
      </c>
      <c r="E109">
        <v>1.8</v>
      </c>
      <c r="F109">
        <v>2.5</v>
      </c>
      <c r="G109">
        <v>7.4</v>
      </c>
      <c r="H109">
        <v>3.8</v>
      </c>
      <c r="I109">
        <v>25</v>
      </c>
    </row>
    <row r="110" spans="3:10" x14ac:dyDescent="0.55000000000000004">
      <c r="C110" s="33" t="s">
        <v>334</v>
      </c>
      <c r="D110">
        <v>18</v>
      </c>
      <c r="E110">
        <v>17</v>
      </c>
      <c r="F110">
        <v>2.2000000000000002</v>
      </c>
      <c r="G110">
        <v>3.6</v>
      </c>
      <c r="H110">
        <v>3.8</v>
      </c>
      <c r="I110">
        <v>12</v>
      </c>
    </row>
    <row r="113" spans="2:10" x14ac:dyDescent="0.55000000000000004">
      <c r="C113" t="s">
        <v>331</v>
      </c>
      <c r="D113">
        <v>2.8</v>
      </c>
      <c r="E113">
        <v>14</v>
      </c>
      <c r="F113">
        <v>1.6</v>
      </c>
      <c r="G113">
        <v>1.4</v>
      </c>
      <c r="H113">
        <v>17.2</v>
      </c>
    </row>
    <row r="114" spans="2:10" x14ac:dyDescent="0.55000000000000004">
      <c r="C114" t="s">
        <v>334</v>
      </c>
      <c r="D114">
        <v>10</v>
      </c>
      <c r="E114">
        <v>25</v>
      </c>
      <c r="F114">
        <v>2.6</v>
      </c>
      <c r="G114">
        <v>3.4</v>
      </c>
      <c r="H114">
        <v>22.1</v>
      </c>
    </row>
    <row r="115" spans="2:10" x14ac:dyDescent="0.55000000000000004">
      <c r="C115" t="s">
        <v>332</v>
      </c>
      <c r="D115">
        <v>8.8000000000000007</v>
      </c>
      <c r="E115">
        <v>21</v>
      </c>
      <c r="F115">
        <v>1.8</v>
      </c>
      <c r="G115">
        <v>2.8</v>
      </c>
      <c r="H115">
        <v>15.7</v>
      </c>
    </row>
    <row r="116" spans="2:10" x14ac:dyDescent="0.55000000000000004">
      <c r="C116" t="s">
        <v>333</v>
      </c>
      <c r="D116">
        <v>6</v>
      </c>
      <c r="E116">
        <v>15</v>
      </c>
      <c r="F116">
        <v>1</v>
      </c>
      <c r="G116">
        <v>2</v>
      </c>
      <c r="H116">
        <v>13</v>
      </c>
    </row>
    <row r="118" spans="2:10" x14ac:dyDescent="0.55000000000000004">
      <c r="C118">
        <v>49</v>
      </c>
      <c r="D118">
        <v>9.6</v>
      </c>
      <c r="E118">
        <v>19</v>
      </c>
      <c r="F118">
        <v>1.2</v>
      </c>
      <c r="G118">
        <v>2.4</v>
      </c>
      <c r="H118">
        <v>0.7</v>
      </c>
      <c r="I118">
        <v>0.4</v>
      </c>
      <c r="J118">
        <v>15</v>
      </c>
    </row>
    <row r="119" spans="2:10" x14ac:dyDescent="0.55000000000000004">
      <c r="B119" t="s">
        <v>341</v>
      </c>
      <c r="C119">
        <v>37.283950617283736</v>
      </c>
      <c r="D119">
        <v>81.327160493826824</v>
      </c>
      <c r="E119">
        <v>42.438271604938748</v>
      </c>
      <c r="F119">
        <v>62.654320987654323</v>
      </c>
      <c r="G119">
        <v>49.75308641975316</v>
      </c>
      <c r="H119">
        <v>49.290123456789622</v>
      </c>
    </row>
    <row r="121" spans="2:10" x14ac:dyDescent="0.55000000000000004">
      <c r="B121" t="s">
        <v>342</v>
      </c>
      <c r="C121">
        <v>2.7486000000000002</v>
      </c>
      <c r="D121">
        <v>39.331642499999994</v>
      </c>
      <c r="E121">
        <v>4.9593600000000002</v>
      </c>
      <c r="F121">
        <v>10.036372500000001</v>
      </c>
      <c r="G121">
        <v>8.7700049999999994</v>
      </c>
      <c r="H121">
        <v>9.6700499999999998</v>
      </c>
    </row>
    <row r="125" spans="2:10" x14ac:dyDescent="0.55000000000000004">
      <c r="B125" t="s">
        <v>343</v>
      </c>
      <c r="C125">
        <v>1.4040676000000003</v>
      </c>
      <c r="D125">
        <v>5.8741935200000004</v>
      </c>
      <c r="E125">
        <v>2.6750016800000003</v>
      </c>
      <c r="F125">
        <v>3.4371781599999998</v>
      </c>
      <c r="G125">
        <v>2.8040001600000002</v>
      </c>
      <c r="H125">
        <v>2.3992831200000002</v>
      </c>
    </row>
    <row r="127" spans="2:10" x14ac:dyDescent="0.55000000000000004">
      <c r="B127" t="s">
        <v>346</v>
      </c>
      <c r="C127">
        <v>0.82848771999999982</v>
      </c>
      <c r="D127">
        <v>3.3072916799999996</v>
      </c>
      <c r="E127">
        <v>1.01519504</v>
      </c>
      <c r="F127">
        <v>1.4636921599999999</v>
      </c>
      <c r="G127">
        <v>1.1004328000000001</v>
      </c>
      <c r="H127">
        <v>0.66883340000000002</v>
      </c>
    </row>
    <row r="129" spans="2:8" x14ac:dyDescent="0.55000000000000004">
      <c r="B129" t="s">
        <v>345</v>
      </c>
      <c r="C129">
        <v>1.6064325000000002</v>
      </c>
      <c r="D129">
        <v>2.8212299999999999</v>
      </c>
      <c r="E129">
        <v>1.6503750000000001</v>
      </c>
      <c r="F129">
        <v>2.5454924999999999</v>
      </c>
      <c r="G129">
        <v>1.82925</v>
      </c>
      <c r="H129">
        <v>1.1941425000000001</v>
      </c>
    </row>
    <row r="131" spans="2:8" x14ac:dyDescent="0.55000000000000004">
      <c r="B131" t="s">
        <v>347</v>
      </c>
      <c r="C131">
        <v>14.191537500000001</v>
      </c>
      <c r="D131">
        <v>6.6038625</v>
      </c>
      <c r="E131">
        <v>15.465262499999998</v>
      </c>
      <c r="F131">
        <v>25.090020000000003</v>
      </c>
      <c r="G131">
        <v>20.567452499999998</v>
      </c>
      <c r="H131">
        <v>19.227847499999999</v>
      </c>
    </row>
    <row r="133" spans="2:8" x14ac:dyDescent="0.55000000000000004">
      <c r="B133" t="s">
        <v>344</v>
      </c>
      <c r="C133">
        <v>0.40159221259842526</v>
      </c>
      <c r="D133">
        <v>1.1506725581102364</v>
      </c>
      <c r="E133">
        <v>0.61347522047244107</v>
      </c>
      <c r="F133">
        <v>0.60273324472440948</v>
      </c>
      <c r="G133">
        <v>0.54774221291338587</v>
      </c>
      <c r="H133">
        <v>0.43046743181102365</v>
      </c>
    </row>
    <row r="137" spans="2:8" x14ac:dyDescent="0.55000000000000004">
      <c r="C137">
        <v>16.103233084685307</v>
      </c>
      <c r="D137">
        <v>22.238267735716597</v>
      </c>
      <c r="E137">
        <v>16.059602164466309</v>
      </c>
      <c r="F137">
        <v>19.478832422929905</v>
      </c>
      <c r="G137">
        <v>14.134203746839781</v>
      </c>
      <c r="H137">
        <v>15.699499504978597</v>
      </c>
    </row>
    <row r="138" spans="2:8" x14ac:dyDescent="0.55000000000000004">
      <c r="C138">
        <v>17.333313017283732</v>
      </c>
      <c r="D138">
        <v>26.696231973826833</v>
      </c>
      <c r="E138">
        <v>17.688272424938749</v>
      </c>
      <c r="F138">
        <v>21.545257827654314</v>
      </c>
      <c r="G138">
        <v>15.782378759753167</v>
      </c>
      <c r="H138">
        <v>16.798800336789622</v>
      </c>
    </row>
    <row r="142" spans="2:8" x14ac:dyDescent="0.55000000000000004">
      <c r="B142" t="s">
        <v>53</v>
      </c>
      <c r="C142">
        <v>1.7955156240555172</v>
      </c>
      <c r="D142">
        <v>18.649999999999999</v>
      </c>
    </row>
    <row r="143" spans="2:8" x14ac:dyDescent="0.55000000000000004">
      <c r="B143" t="s">
        <v>54</v>
      </c>
      <c r="C143">
        <v>2.9539616123697523</v>
      </c>
      <c r="D143">
        <v>10.52</v>
      </c>
    </row>
    <row r="144" spans="2:8" x14ac:dyDescent="0.55000000000000004">
      <c r="B144" t="s">
        <v>10</v>
      </c>
      <c r="C144">
        <v>2.4882746224445818</v>
      </c>
      <c r="D144">
        <v>13.32</v>
      </c>
    </row>
    <row r="145" spans="2:4" ht="72" x14ac:dyDescent="0.55000000000000004">
      <c r="B145" s="33" t="s">
        <v>183</v>
      </c>
      <c r="C145">
        <v>2.87</v>
      </c>
      <c r="D145">
        <v>11.8</v>
      </c>
    </row>
    <row r="146" spans="2:4" x14ac:dyDescent="0.55000000000000004">
      <c r="B146" t="s">
        <v>19</v>
      </c>
      <c r="C146">
        <v>3.7189767699871892</v>
      </c>
      <c r="D146">
        <v>3.45</v>
      </c>
    </row>
    <row r="147" spans="2:4" x14ac:dyDescent="0.55000000000000004">
      <c r="B147" t="s">
        <v>40</v>
      </c>
      <c r="C147">
        <v>2.2368985199669393</v>
      </c>
      <c r="D147">
        <v>11.53</v>
      </c>
    </row>
    <row r="148" spans="2:4" ht="90" x14ac:dyDescent="0.55000000000000004">
      <c r="B148" s="33" t="s">
        <v>181</v>
      </c>
      <c r="C148">
        <v>4.345026974313436</v>
      </c>
      <c r="D148">
        <v>6.8</v>
      </c>
    </row>
    <row r="149" spans="2:4" x14ac:dyDescent="0.55000000000000004">
      <c r="B149" s="30"/>
    </row>
    <row r="150" spans="2:4" x14ac:dyDescent="0.55000000000000004">
      <c r="B150" t="s">
        <v>171</v>
      </c>
      <c r="C150">
        <v>1.3600089392197512</v>
      </c>
      <c r="D150">
        <v>15.65</v>
      </c>
    </row>
    <row r="151" spans="2:4" x14ac:dyDescent="0.55000000000000004">
      <c r="B151" t="s">
        <v>172</v>
      </c>
      <c r="C151">
        <v>1.27</v>
      </c>
      <c r="D151">
        <v>12.49</v>
      </c>
    </row>
    <row r="152" spans="2:4" x14ac:dyDescent="0.55000000000000004">
      <c r="B152" t="s">
        <v>180</v>
      </c>
      <c r="C152">
        <v>2.6150830917526768</v>
      </c>
      <c r="D152">
        <v>10.76</v>
      </c>
    </row>
    <row r="153" spans="2:4" x14ac:dyDescent="0.55000000000000004">
      <c r="B153" t="s">
        <v>111</v>
      </c>
      <c r="C153">
        <v>4.175621709950347</v>
      </c>
      <c r="D153">
        <v>3.3</v>
      </c>
    </row>
    <row r="156" spans="2:4" x14ac:dyDescent="0.55000000000000004">
      <c r="B156" t="s">
        <v>174</v>
      </c>
      <c r="C156">
        <v>3.851658068773717</v>
      </c>
      <c r="D156">
        <v>4.18</v>
      </c>
    </row>
    <row r="157" spans="2:4" x14ac:dyDescent="0.55000000000000004">
      <c r="B157" t="s">
        <v>175</v>
      </c>
      <c r="C157">
        <v>2.84</v>
      </c>
      <c r="D157">
        <v>11.5</v>
      </c>
    </row>
    <row r="159" spans="2:4" x14ac:dyDescent="0.55000000000000004">
      <c r="B159" t="s">
        <v>9</v>
      </c>
      <c r="C159">
        <v>3.8632182566859958</v>
      </c>
      <c r="D159">
        <v>9.7463250000000006</v>
      </c>
    </row>
    <row r="160" spans="2:4" x14ac:dyDescent="0.55000000000000004">
      <c r="B160" t="s">
        <v>176</v>
      </c>
      <c r="C160">
        <v>2.74</v>
      </c>
      <c r="D160">
        <v>8.7356475000000007</v>
      </c>
    </row>
    <row r="161" spans="2:6" x14ac:dyDescent="0.55000000000000004">
      <c r="B161" t="s">
        <v>189</v>
      </c>
      <c r="C161">
        <v>3.2804766770472331</v>
      </c>
      <c r="D161">
        <v>9.27</v>
      </c>
    </row>
    <row r="162" spans="2:6" x14ac:dyDescent="0.55000000000000004">
      <c r="B162" t="s">
        <v>214</v>
      </c>
      <c r="C162">
        <v>2.3503904912138656</v>
      </c>
      <c r="D162">
        <v>12.66</v>
      </c>
    </row>
    <row r="163" spans="2:6" ht="72" x14ac:dyDescent="0.55000000000000004">
      <c r="B163" s="33" t="s">
        <v>255</v>
      </c>
      <c r="C163">
        <v>1.32</v>
      </c>
      <c r="D163">
        <v>17.690000000000001</v>
      </c>
    </row>
    <row r="165" spans="2:6" x14ac:dyDescent="0.55000000000000004">
      <c r="E165" t="s">
        <v>26</v>
      </c>
      <c r="F165">
        <v>0.7</v>
      </c>
    </row>
    <row r="166" spans="2:6" x14ac:dyDescent="0.55000000000000004">
      <c r="E166" t="s">
        <v>10</v>
      </c>
      <c r="F166">
        <v>13.32</v>
      </c>
    </row>
    <row r="167" spans="2:6" x14ac:dyDescent="0.55000000000000004">
      <c r="E167" t="s">
        <v>169</v>
      </c>
      <c r="F167">
        <v>11.8</v>
      </c>
    </row>
    <row r="168" spans="2:6" x14ac:dyDescent="0.55000000000000004">
      <c r="B168" t="s">
        <v>248</v>
      </c>
      <c r="C168">
        <v>2.6454284034069762</v>
      </c>
      <c r="D168">
        <v>13.29</v>
      </c>
      <c r="E168" t="s">
        <v>248</v>
      </c>
      <c r="F168">
        <v>13.29</v>
      </c>
    </row>
    <row r="169" spans="2:6" x14ac:dyDescent="0.55000000000000004">
      <c r="E169" t="s">
        <v>264</v>
      </c>
      <c r="F169">
        <v>8.9499999999999993</v>
      </c>
    </row>
    <row r="170" spans="2:6" x14ac:dyDescent="0.55000000000000004">
      <c r="B170" t="s">
        <v>264</v>
      </c>
      <c r="C170">
        <v>2.9274407606004136</v>
      </c>
      <c r="D170">
        <v>8.9499999999999993</v>
      </c>
      <c r="E170" t="s">
        <v>351</v>
      </c>
      <c r="F170">
        <v>12.97</v>
      </c>
    </row>
    <row r="171" spans="2:6" x14ac:dyDescent="0.55000000000000004">
      <c r="B171" t="s">
        <v>351</v>
      </c>
      <c r="C171">
        <v>2.63</v>
      </c>
      <c r="D171">
        <v>12.97</v>
      </c>
      <c r="E171" t="s">
        <v>350</v>
      </c>
      <c r="F171">
        <v>13.9</v>
      </c>
    </row>
    <row r="172" spans="2:6" x14ac:dyDescent="0.55000000000000004">
      <c r="B172" t="s">
        <v>350</v>
      </c>
      <c r="C172">
        <v>2.73</v>
      </c>
      <c r="D172">
        <v>13.9</v>
      </c>
      <c r="E172" t="s">
        <v>269</v>
      </c>
      <c r="F172">
        <v>12.8</v>
      </c>
    </row>
    <row r="173" spans="2:6" x14ac:dyDescent="0.55000000000000004">
      <c r="B173" t="s">
        <v>269</v>
      </c>
      <c r="C173">
        <v>2.78</v>
      </c>
      <c r="D173">
        <v>12.8</v>
      </c>
      <c r="E173" t="s">
        <v>270</v>
      </c>
      <c r="F173">
        <v>5.7</v>
      </c>
    </row>
    <row r="174" spans="2:6" x14ac:dyDescent="0.55000000000000004">
      <c r="B174" t="s">
        <v>270</v>
      </c>
      <c r="C174">
        <v>3.08</v>
      </c>
      <c r="D174">
        <v>5.7</v>
      </c>
      <c r="E174" t="s">
        <v>352</v>
      </c>
      <c r="F174">
        <v>13.55</v>
      </c>
    </row>
    <row r="175" spans="2:6" x14ac:dyDescent="0.55000000000000004">
      <c r="B175" t="s">
        <v>352</v>
      </c>
      <c r="C175">
        <v>2.7</v>
      </c>
      <c r="D175">
        <v>13.55</v>
      </c>
      <c r="E175" t="s">
        <v>353</v>
      </c>
      <c r="F175">
        <v>13.46</v>
      </c>
    </row>
    <row r="176" spans="2:6" x14ac:dyDescent="0.55000000000000004">
      <c r="B176" t="s">
        <v>353</v>
      </c>
      <c r="C176">
        <v>2.89</v>
      </c>
      <c r="D176">
        <v>13.46</v>
      </c>
      <c r="E176" t="s">
        <v>53</v>
      </c>
      <c r="F176">
        <v>18.649999999999999</v>
      </c>
    </row>
    <row r="177" spans="5:6" ht="72" x14ac:dyDescent="0.55000000000000004">
      <c r="E177" s="33" t="s">
        <v>255</v>
      </c>
      <c r="F177">
        <v>17.7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B1E5-E15E-4881-A7AB-AA9379DDAADA}">
  <dimension ref="A1:AB388"/>
  <sheetViews>
    <sheetView tabSelected="1" topLeftCell="A10" zoomScale="129" zoomScaleNormal="50" workbookViewId="0">
      <selection activeCell="A38" sqref="A38"/>
    </sheetView>
  </sheetViews>
  <sheetFormatPr defaultRowHeight="18" x14ac:dyDescent="0.55000000000000004"/>
  <cols>
    <col min="1" max="1" width="33" bestFit="1" customWidth="1"/>
    <col min="3" max="3" width="10.58203125" bestFit="1" customWidth="1"/>
    <col min="6" max="6" width="9.6640625" customWidth="1"/>
    <col min="7" max="7" width="10.75" customWidth="1"/>
    <col min="8" max="8" width="11.9140625" customWidth="1"/>
  </cols>
  <sheetData>
    <row r="1" spans="1:28" x14ac:dyDescent="0.55000000000000004">
      <c r="B1" t="s">
        <v>68</v>
      </c>
      <c r="C1" t="s">
        <v>5</v>
      </c>
      <c r="D1" t="s">
        <v>164</v>
      </c>
      <c r="E1" t="s">
        <v>134</v>
      </c>
      <c r="F1" t="s">
        <v>147</v>
      </c>
      <c r="G1" t="s">
        <v>274</v>
      </c>
      <c r="H1" s="1">
        <v>4.4539999999999996E-3</v>
      </c>
      <c r="I1" s="62" t="s">
        <v>178</v>
      </c>
      <c r="J1" s="62" t="s">
        <v>303</v>
      </c>
      <c r="K1" s="62" t="s">
        <v>304</v>
      </c>
      <c r="L1" s="62" t="s">
        <v>305</v>
      </c>
      <c r="M1" s="62" t="s">
        <v>306</v>
      </c>
      <c r="N1" s="62" t="s">
        <v>307</v>
      </c>
      <c r="O1" s="62" t="s">
        <v>308</v>
      </c>
      <c r="P1" s="62" t="s">
        <v>309</v>
      </c>
      <c r="Q1" s="62" t="s">
        <v>310</v>
      </c>
      <c r="R1" s="62" t="s">
        <v>311</v>
      </c>
      <c r="S1" s="62" t="s">
        <v>312</v>
      </c>
      <c r="T1" s="62" t="s">
        <v>313</v>
      </c>
      <c r="U1" s="62" t="s">
        <v>314</v>
      </c>
    </row>
    <row r="2" spans="1:28" x14ac:dyDescent="0.55000000000000004">
      <c r="A2" t="s">
        <v>53</v>
      </c>
      <c r="B2">
        <v>1.93</v>
      </c>
      <c r="C2">
        <v>18.649999999999999</v>
      </c>
      <c r="D2">
        <v>16.427803853754938</v>
      </c>
      <c r="E2">
        <v>2.44</v>
      </c>
      <c r="F2">
        <v>1.0058785714285716</v>
      </c>
      <c r="G2" s="57">
        <f>E2 -LOG10(10^(-E2) / ($H$1 - 10^(-E2)))</f>
        <v>1.7955156240555172</v>
      </c>
      <c r="H2" s="1">
        <f>H1*2.6384</f>
        <v>1.1751433599999998E-2</v>
      </c>
      <c r="I2" s="62">
        <v>2.44</v>
      </c>
      <c r="J2" s="62">
        <v>4.4539999999999996E-3</v>
      </c>
      <c r="K2" s="62">
        <f>10^(-I2)</f>
        <v>3.630780547701011E-3</v>
      </c>
      <c r="L2" s="62">
        <f>K2</f>
        <v>3.630780547701011E-3</v>
      </c>
      <c r="M2" s="62">
        <f>SQRT(L2)</f>
        <v>6.0255958607435753E-2</v>
      </c>
      <c r="N2" s="62">
        <f>10^(-0.51*((M2/(1+M2)) - 0.3*L2))</f>
        <v>0.9366372675634006</v>
      </c>
      <c r="O2" s="62">
        <f>K2/N2</f>
        <v>3.8763998331459142E-3</v>
      </c>
      <c r="P2" s="62">
        <f>J2-O2</f>
        <v>5.776001668540854E-4</v>
      </c>
      <c r="Q2" s="62">
        <f>(O2^2)/P2</f>
        <v>2.6015358943290771E-2</v>
      </c>
      <c r="R2" s="64">
        <f>-LOG10(Q2)</f>
        <v>1.5847701776089949</v>
      </c>
      <c r="S2" s="62">
        <f>(K2^2)/(J2-K2)</f>
        <v>1.6013430378435979E-2</v>
      </c>
      <c r="T2" s="63">
        <f>-LOG10(S2)</f>
        <v>1.7955156240555175</v>
      </c>
      <c r="U2" s="62">
        <f>R2-T2</f>
        <v>-0.2107454464465226</v>
      </c>
      <c r="V2" t="s">
        <v>92</v>
      </c>
      <c r="W2" t="s">
        <v>93</v>
      </c>
      <c r="X2" t="s">
        <v>94</v>
      </c>
    </row>
    <row r="3" spans="1:28" x14ac:dyDescent="0.55000000000000004">
      <c r="A3" t="s">
        <v>54</v>
      </c>
      <c r="B3">
        <v>3.03</v>
      </c>
      <c r="C3">
        <v>10.52</v>
      </c>
      <c r="D3">
        <v>8.6515001387182444</v>
      </c>
      <c r="E3">
        <v>2.76</v>
      </c>
      <c r="F3">
        <v>0.55030084033613447</v>
      </c>
      <c r="G3" s="57">
        <f t="shared" ref="G3:G30" si="0">E3 -LOG10(10^(-E3) / ($H$1 - 10^(-E3)))</f>
        <v>2.9539616123697523</v>
      </c>
      <c r="H3" s="1">
        <f>H1/2</f>
        <v>2.2269999999999998E-3</v>
      </c>
      <c r="I3">
        <v>2.76</v>
      </c>
      <c r="J3" s="62">
        <v>4.4539999999999996E-3</v>
      </c>
      <c r="K3" s="62">
        <f t="shared" ref="K3:K30" si="1">10^(-I3)</f>
        <v>1.737800828749375E-3</v>
      </c>
      <c r="L3" s="62">
        <f t="shared" ref="L3:L30" si="2">K3</f>
        <v>1.737800828749375E-3</v>
      </c>
      <c r="M3" s="62">
        <f t="shared" ref="M3:M30" si="3">SQRT(L3)</f>
        <v>4.1686938347033534E-2</v>
      </c>
      <c r="N3" s="62">
        <f t="shared" ref="N3:N30" si="4">10^(-0.51*((M3/(1+M3)) - 0.3*L3))</f>
        <v>0.95467677137188944</v>
      </c>
      <c r="O3" s="62">
        <f t="shared" ref="O3:O30" si="5">K3/N3</f>
        <v>1.820302830089938E-3</v>
      </c>
      <c r="P3" s="62">
        <f t="shared" ref="P3:P30" si="6">J3-O3</f>
        <v>2.6336971699100617E-3</v>
      </c>
      <c r="Q3" s="62">
        <f t="shared" ref="Q3:Q30" si="7">(O3^2)/P3</f>
        <v>1.2581182191673884E-3</v>
      </c>
      <c r="R3" s="64">
        <f t="shared" ref="R3:R30" si="8">-LOG10(Q3)</f>
        <v>2.9002785484616544</v>
      </c>
      <c r="S3" s="62">
        <f t="shared" ref="S3:S30" si="9">(K3^2)/(J3-K3)</f>
        <v>1.1118299984649257E-3</v>
      </c>
      <c r="T3" s="63">
        <f t="shared" ref="T3:T30" si="10">-LOG10(S3)</f>
        <v>2.9539616123697527</v>
      </c>
      <c r="U3" s="62">
        <f t="shared" ref="U3:U30" si="11">R3-T3</f>
        <v>-5.3683063908098294E-2</v>
      </c>
      <c r="V3">
        <v>7.1376908139999999</v>
      </c>
      <c r="X3">
        <v>166.14</v>
      </c>
    </row>
    <row r="4" spans="1:28" x14ac:dyDescent="0.55000000000000004">
      <c r="A4" t="s">
        <v>10</v>
      </c>
      <c r="B4">
        <v>2.98</v>
      </c>
      <c r="C4">
        <v>13.32</v>
      </c>
      <c r="D4">
        <v>8.0126517930399004</v>
      </c>
      <c r="E4">
        <v>2.6</v>
      </c>
      <c r="F4">
        <v>0.70725252100840341</v>
      </c>
      <c r="G4" s="57">
        <f>E4 -LOG10(10^(-E4) / ($H$1 - 10^(-E4)))</f>
        <v>2.4882746224445818</v>
      </c>
      <c r="H4" s="1">
        <f>H1*2</f>
        <v>8.9079999999999993E-3</v>
      </c>
      <c r="I4">
        <v>2.6</v>
      </c>
      <c r="J4" s="62">
        <v>4.4539999999999996E-3</v>
      </c>
      <c r="K4" s="62">
        <f t="shared" si="1"/>
        <v>2.5118864315095777E-3</v>
      </c>
      <c r="L4" s="62">
        <f t="shared" si="2"/>
        <v>2.5118864315095777E-3</v>
      </c>
      <c r="M4" s="62">
        <f t="shared" si="3"/>
        <v>5.0118723362727206E-2</v>
      </c>
      <c r="N4" s="62">
        <f t="shared" si="4"/>
        <v>0.94633235951195571</v>
      </c>
      <c r="O4" s="62">
        <f t="shared" si="5"/>
        <v>2.6543385167606573E-3</v>
      </c>
      <c r="P4" s="62">
        <f t="shared" si="6"/>
        <v>1.7996614832393423E-3</v>
      </c>
      <c r="Q4" s="62">
        <f t="shared" si="7"/>
        <v>3.9149101245848925E-3</v>
      </c>
      <c r="R4" s="64">
        <f t="shared" si="8"/>
        <v>2.4072782036813569</v>
      </c>
      <c r="S4" s="62">
        <f t="shared" si="9"/>
        <v>3.2488179616119283E-3</v>
      </c>
      <c r="T4" s="63">
        <f t="shared" si="10"/>
        <v>2.4882746224445822</v>
      </c>
      <c r="U4" s="62">
        <f t="shared" si="11"/>
        <v>-8.0996418763225275E-2</v>
      </c>
      <c r="V4">
        <v>50</v>
      </c>
      <c r="X4" t="s">
        <v>92</v>
      </c>
      <c r="Y4">
        <v>12.03804021</v>
      </c>
      <c r="Z4" t="s">
        <v>95</v>
      </c>
      <c r="AA4">
        <f>Y4*Y5</f>
        <v>356.88454083609577</v>
      </c>
    </row>
    <row r="5" spans="1:28" ht="72" x14ac:dyDescent="0.55000000000000004">
      <c r="A5" s="33" t="s">
        <v>183</v>
      </c>
      <c r="B5">
        <v>2.95</v>
      </c>
      <c r="C5">
        <v>11.8</v>
      </c>
      <c r="D5">
        <v>5.3459331721786691</v>
      </c>
      <c r="E5" s="30"/>
      <c r="F5">
        <v>0.62194915966386555</v>
      </c>
      <c r="G5" s="58">
        <v>2.87</v>
      </c>
      <c r="J5" s="62"/>
      <c r="K5" s="62"/>
      <c r="L5" s="62"/>
      <c r="M5" s="62"/>
      <c r="N5" s="62"/>
      <c r="O5" s="62"/>
      <c r="P5" s="62"/>
      <c r="Q5" s="62"/>
      <c r="R5" s="64"/>
      <c r="S5" s="62"/>
      <c r="T5" s="63"/>
      <c r="U5" s="62"/>
      <c r="Y5">
        <v>29.6463988</v>
      </c>
      <c r="Z5" t="s">
        <v>96</v>
      </c>
    </row>
    <row r="6" spans="1:28" x14ac:dyDescent="0.55000000000000004">
      <c r="A6" t="s">
        <v>19</v>
      </c>
      <c r="B6">
        <v>4.2</v>
      </c>
      <c r="C6">
        <v>3.45</v>
      </c>
      <c r="D6">
        <v>1.2081910363899744</v>
      </c>
      <c r="E6">
        <v>3.08</v>
      </c>
      <c r="F6">
        <v>0.1541949579831933</v>
      </c>
      <c r="G6" s="57">
        <f>E6 -LOG10(10^(-E6) / ($H$4 - 10^(-E6)))</f>
        <v>4.0672090135165435</v>
      </c>
      <c r="I6">
        <v>3.08</v>
      </c>
      <c r="J6" s="62">
        <v>4.4539999999999996E-3</v>
      </c>
      <c r="K6" s="62">
        <f t="shared" si="1"/>
        <v>8.3176377110267033E-4</v>
      </c>
      <c r="L6" s="62">
        <f t="shared" si="2"/>
        <v>8.3176377110267033E-4</v>
      </c>
      <c r="M6" s="62">
        <f t="shared" si="3"/>
        <v>2.8840315031266047E-2</v>
      </c>
      <c r="N6" s="62">
        <f t="shared" si="4"/>
        <v>0.96790115389839548</v>
      </c>
      <c r="O6" s="62">
        <f t="shared" si="5"/>
        <v>8.5934784533791761E-4</v>
      </c>
      <c r="P6" s="62">
        <f t="shared" si="6"/>
        <v>3.594652154662082E-3</v>
      </c>
      <c r="Q6" s="62">
        <f t="shared" si="7"/>
        <v>2.0543815855148935E-4</v>
      </c>
      <c r="R6" s="64">
        <f t="shared" si="8"/>
        <v>3.6873188863999435</v>
      </c>
      <c r="S6" s="62">
        <f t="shared" si="9"/>
        <v>1.9099554175944526E-4</v>
      </c>
      <c r="T6" s="63">
        <f t="shared" si="10"/>
        <v>3.7189767699871892</v>
      </c>
      <c r="U6" s="62">
        <f t="shared" si="11"/>
        <v>-3.1657883587245639E-2</v>
      </c>
      <c r="W6" t="s">
        <v>97</v>
      </c>
      <c r="X6" t="s">
        <v>94</v>
      </c>
    </row>
    <row r="7" spans="1:28" x14ac:dyDescent="0.55000000000000004">
      <c r="A7" t="s">
        <v>40</v>
      </c>
      <c r="B7">
        <v>1.92</v>
      </c>
      <c r="C7">
        <v>11.53</v>
      </c>
      <c r="D7">
        <v>9.1956023528812612</v>
      </c>
      <c r="E7">
        <v>2.5299999999999998</v>
      </c>
      <c r="F7">
        <v>0.60692521008403366</v>
      </c>
      <c r="G7" s="57">
        <f>E7 -LOG10(10^(-E7) / (-$H$3 + 10^(-E7)))</f>
        <v>1.9198640535723652</v>
      </c>
      <c r="I7">
        <v>2.5299999999999998</v>
      </c>
      <c r="J7" s="62">
        <v>4.4539999999999996E-3</v>
      </c>
      <c r="K7" s="62">
        <f t="shared" si="1"/>
        <v>2.9512092266663864E-3</v>
      </c>
      <c r="L7" s="62">
        <f t="shared" si="2"/>
        <v>2.9512092266663864E-3</v>
      </c>
      <c r="M7" s="62">
        <f t="shared" si="3"/>
        <v>5.4325033149243328E-2</v>
      </c>
      <c r="N7" s="62">
        <f t="shared" si="4"/>
        <v>0.9422655914194118</v>
      </c>
      <c r="O7" s="62">
        <f t="shared" si="5"/>
        <v>3.1320354404756924E-3</v>
      </c>
      <c r="P7" s="62">
        <f t="shared" si="6"/>
        <v>1.3219645595243072E-3</v>
      </c>
      <c r="Q7" s="62">
        <f t="shared" si="7"/>
        <v>7.4205060413462566E-3</v>
      </c>
      <c r="R7" s="64">
        <f t="shared" si="8"/>
        <v>2.1295664770025788</v>
      </c>
      <c r="S7" s="62">
        <f t="shared" si="9"/>
        <v>5.7956410527064822E-3</v>
      </c>
      <c r="T7" s="63">
        <f t="shared" si="10"/>
        <v>2.2368985199669393</v>
      </c>
      <c r="U7" s="62">
        <f t="shared" si="11"/>
        <v>-0.1073320429643605</v>
      </c>
      <c r="X7">
        <v>438.31799999999998</v>
      </c>
    </row>
    <row r="8" spans="1:28" ht="90" x14ac:dyDescent="0.55000000000000004">
      <c r="A8" s="33" t="s">
        <v>181</v>
      </c>
      <c r="B8">
        <v>4.34</v>
      </c>
      <c r="C8">
        <v>6.8</v>
      </c>
      <c r="D8">
        <v>3.7035557658362612</v>
      </c>
      <c r="E8">
        <v>3.37</v>
      </c>
      <c r="F8">
        <v>0.34205294117647067</v>
      </c>
      <c r="G8" s="57">
        <f>E8 -LOG10(10^(-E8) / ($H$1 - 10^(-E8)))</f>
        <v>4.345026974313436</v>
      </c>
      <c r="I8">
        <v>3.37</v>
      </c>
      <c r="J8" s="62">
        <v>4.4539999999999996E-3</v>
      </c>
      <c r="K8" s="62">
        <f t="shared" si="1"/>
        <v>4.2657951880159235E-4</v>
      </c>
      <c r="L8" s="62">
        <f t="shared" si="2"/>
        <v>4.2657951880159235E-4</v>
      </c>
      <c r="M8" s="62">
        <f t="shared" si="3"/>
        <v>2.0653801558105287E-2</v>
      </c>
      <c r="N8" s="62">
        <f t="shared" si="4"/>
        <v>0.97666355283386397</v>
      </c>
      <c r="O8" s="62">
        <f t="shared" si="5"/>
        <v>4.3677223089142548E-4</v>
      </c>
      <c r="P8" s="62">
        <f t="shared" si="6"/>
        <v>4.0172277691085745E-3</v>
      </c>
      <c r="Q8" s="62">
        <f t="shared" si="7"/>
        <v>4.7487967484652899E-5</v>
      </c>
      <c r="R8" s="64">
        <f t="shared" si="8"/>
        <v>4.3234164181014867</v>
      </c>
      <c r="S8" s="62">
        <f t="shared" si="9"/>
        <v>4.5182788017915307E-5</v>
      </c>
      <c r="T8" s="63">
        <f t="shared" si="10"/>
        <v>4.3450269743134369</v>
      </c>
      <c r="U8" s="62">
        <f t="shared" si="11"/>
        <v>-2.1610556211950183E-2</v>
      </c>
      <c r="X8" t="s">
        <v>92</v>
      </c>
      <c r="Y8">
        <v>9.1257945140000007</v>
      </c>
    </row>
    <row r="9" spans="1:28" x14ac:dyDescent="0.55000000000000004">
      <c r="A9" s="30" t="s">
        <v>67</v>
      </c>
      <c r="B9" s="30">
        <v>4.18</v>
      </c>
      <c r="C9" s="30"/>
      <c r="D9" s="30"/>
      <c r="E9" s="30">
        <v>3.28</v>
      </c>
      <c r="F9" s="30"/>
      <c r="G9" s="59">
        <f t="shared" si="0"/>
        <v>4.1543033107925327</v>
      </c>
      <c r="J9" s="62"/>
      <c r="K9" s="62"/>
      <c r="L9" s="62"/>
      <c r="M9" s="62"/>
      <c r="N9" s="62"/>
      <c r="O9" s="62"/>
      <c r="P9" s="62"/>
      <c r="Q9" s="62"/>
      <c r="R9" s="64"/>
      <c r="S9" s="62"/>
      <c r="T9" s="63"/>
      <c r="U9" s="62"/>
      <c r="Y9">
        <v>39.107229529999998</v>
      </c>
      <c r="Z9" t="s">
        <v>96</v>
      </c>
    </row>
    <row r="10" spans="1:28" x14ac:dyDescent="0.55000000000000004">
      <c r="A10" t="s">
        <v>171</v>
      </c>
      <c r="B10">
        <v>2.11</v>
      </c>
      <c r="C10">
        <v>15.65</v>
      </c>
      <c r="D10">
        <v>7.3450547696237338</v>
      </c>
      <c r="E10">
        <v>2.39</v>
      </c>
      <c r="F10">
        <v>0.83770658263305331</v>
      </c>
      <c r="G10" s="57">
        <f>E10 -LOG10(10^(-E10) / ($H$1 - 10^(-E10)))</f>
        <v>1.3600089392197512</v>
      </c>
      <c r="I10">
        <v>2.39</v>
      </c>
      <c r="J10" s="62">
        <v>4.4539999999999996E-3</v>
      </c>
      <c r="K10" s="62">
        <f t="shared" si="1"/>
        <v>4.0738027780411225E-3</v>
      </c>
      <c r="L10" s="62">
        <f t="shared" si="2"/>
        <v>4.0738027780411225E-3</v>
      </c>
      <c r="M10" s="62">
        <f t="shared" si="3"/>
        <v>6.3826348619054826E-2</v>
      </c>
      <c r="N10" s="62">
        <f t="shared" si="4"/>
        <v>0.93330768393118424</v>
      </c>
      <c r="O10" s="62">
        <f t="shared" si="5"/>
        <v>4.3649086450053241E-3</v>
      </c>
      <c r="P10" s="62">
        <f t="shared" si="6"/>
        <v>8.9091354994675492E-5</v>
      </c>
      <c r="Q10" s="62">
        <f t="shared" si="7"/>
        <v>0.21385270748638713</v>
      </c>
      <c r="R10" s="64">
        <f t="shared" si="8"/>
        <v>0.66988524697857854</v>
      </c>
      <c r="S10" s="62">
        <f t="shared" si="9"/>
        <v>4.3650684739013186E-2</v>
      </c>
      <c r="T10" s="63">
        <f t="shared" si="10"/>
        <v>1.3600089392197516</v>
      </c>
      <c r="U10" s="62">
        <f t="shared" si="11"/>
        <v>-0.69012369224117309</v>
      </c>
      <c r="W10" t="s">
        <v>98</v>
      </c>
      <c r="X10" t="s">
        <v>94</v>
      </c>
    </row>
    <row r="11" spans="1:28" x14ac:dyDescent="0.55000000000000004">
      <c r="A11" t="s">
        <v>172</v>
      </c>
      <c r="B11">
        <v>1.88</v>
      </c>
      <c r="C11">
        <v>12.49</v>
      </c>
      <c r="D11">
        <v>5.7449647183189496</v>
      </c>
      <c r="E11">
        <v>2.31</v>
      </c>
      <c r="F11">
        <v>0.6606757703081233</v>
      </c>
      <c r="G11" s="57">
        <v>1.27</v>
      </c>
      <c r="I11">
        <v>2.31</v>
      </c>
      <c r="J11" s="62">
        <v>4.4539999999999996E-3</v>
      </c>
      <c r="K11" s="62">
        <f t="shared" si="1"/>
        <v>4.8977881936844566E-3</v>
      </c>
      <c r="L11" s="62">
        <f t="shared" si="2"/>
        <v>4.8977881936844566E-3</v>
      </c>
      <c r="M11" s="62">
        <f t="shared" si="3"/>
        <v>6.9984199600227309E-2</v>
      </c>
      <c r="N11" s="62">
        <f t="shared" si="4"/>
        <v>0.92766658645704991</v>
      </c>
      <c r="O11" s="62">
        <f t="shared" si="5"/>
        <v>5.2796858970528627E-3</v>
      </c>
      <c r="P11" s="62">
        <f t="shared" si="6"/>
        <v>-8.2568589705286303E-4</v>
      </c>
      <c r="Q11" s="62">
        <f t="shared" si="7"/>
        <v>-3.3759911936287121E-2</v>
      </c>
      <c r="R11" s="64" t="e">
        <f t="shared" si="8"/>
        <v>#NUM!</v>
      </c>
      <c r="S11" s="62">
        <f t="shared" si="9"/>
        <v>-5.4053554221523685E-2</v>
      </c>
      <c r="T11" s="63" t="e">
        <f t="shared" si="10"/>
        <v>#NUM!</v>
      </c>
      <c r="U11" s="62" t="e">
        <f t="shared" si="11"/>
        <v>#NUM!</v>
      </c>
      <c r="X11">
        <v>122.12</v>
      </c>
    </row>
    <row r="12" spans="1:28" x14ac:dyDescent="0.55000000000000004">
      <c r="A12" t="s">
        <v>180</v>
      </c>
      <c r="B12">
        <v>2.81</v>
      </c>
      <c r="C12">
        <v>10.76</v>
      </c>
      <c r="D12">
        <v>4.916980523762768</v>
      </c>
      <c r="E12">
        <v>2.64</v>
      </c>
      <c r="F12">
        <v>0.56389915966386561</v>
      </c>
      <c r="G12" s="57">
        <f t="shared" si="0"/>
        <v>2.6150830917526768</v>
      </c>
      <c r="I12">
        <v>2.64</v>
      </c>
      <c r="J12" s="62">
        <v>4.4539999999999996E-3</v>
      </c>
      <c r="K12" s="62">
        <f t="shared" si="1"/>
        <v>2.2908676527677715E-3</v>
      </c>
      <c r="L12" s="62">
        <f t="shared" si="2"/>
        <v>2.2908676527677715E-3</v>
      </c>
      <c r="M12" s="62">
        <f t="shared" si="3"/>
        <v>4.7863009232263817E-2</v>
      </c>
      <c r="N12" s="62">
        <f t="shared" si="4"/>
        <v>0.94853933293481429</v>
      </c>
      <c r="O12" s="62">
        <f t="shared" si="5"/>
        <v>2.4151530392311155E-3</v>
      </c>
      <c r="P12" s="62">
        <f t="shared" si="6"/>
        <v>2.0388469607688841E-3</v>
      </c>
      <c r="Q12" s="62">
        <f t="shared" si="7"/>
        <v>2.8609132098407148E-3</v>
      </c>
      <c r="R12" s="64">
        <f t="shared" si="8"/>
        <v>2.5434953169794228</v>
      </c>
      <c r="S12" s="62">
        <f t="shared" si="9"/>
        <v>2.4261458663001998E-3</v>
      </c>
      <c r="T12" s="63">
        <f t="shared" si="10"/>
        <v>2.6150830917526768</v>
      </c>
      <c r="U12" s="62">
        <f t="shared" si="11"/>
        <v>-7.1587774773254065E-2</v>
      </c>
      <c r="X12" t="s">
        <v>92</v>
      </c>
      <c r="Y12">
        <v>8.188666885</v>
      </c>
      <c r="AA12">
        <v>356.8845407</v>
      </c>
      <c r="AB12" t="s">
        <v>37</v>
      </c>
    </row>
    <row r="13" spans="1:28" x14ac:dyDescent="0.55000000000000004">
      <c r="A13" t="s">
        <v>111</v>
      </c>
      <c r="B13">
        <v>4.16</v>
      </c>
      <c r="C13">
        <v>3.3</v>
      </c>
      <c r="D13">
        <v>2.2803676708920637</v>
      </c>
      <c r="E13">
        <v>3.29</v>
      </c>
      <c r="F13">
        <v>0.1458298319327731</v>
      </c>
      <c r="G13" s="57">
        <f t="shared" si="0"/>
        <v>4.175621709950347</v>
      </c>
      <c r="I13">
        <v>3.29</v>
      </c>
      <c r="J13" s="62">
        <v>4.4539999999999996E-3</v>
      </c>
      <c r="K13" s="62">
        <f t="shared" si="1"/>
        <v>5.1286138399136462E-4</v>
      </c>
      <c r="L13" s="62">
        <f t="shared" si="2"/>
        <v>5.1286138399136462E-4</v>
      </c>
      <c r="M13" s="62">
        <f t="shared" si="3"/>
        <v>2.264644307593059E-2</v>
      </c>
      <c r="N13" s="62">
        <f t="shared" si="4"/>
        <v>0.97450607071799888</v>
      </c>
      <c r="O13" s="62">
        <f t="shared" si="5"/>
        <v>5.262782853815343E-4</v>
      </c>
      <c r="P13" s="62">
        <f t="shared" si="6"/>
        <v>3.9277217146184654E-3</v>
      </c>
      <c r="Q13" s="62">
        <f t="shared" si="7"/>
        <v>7.051640971234951E-5</v>
      </c>
      <c r="R13" s="64">
        <f t="shared" si="8"/>
        <v>4.151709807572491</v>
      </c>
      <c r="S13" s="62">
        <f t="shared" si="9"/>
        <v>6.6738784096844782E-5</v>
      </c>
      <c r="T13" s="63">
        <f t="shared" si="10"/>
        <v>4.175621709950347</v>
      </c>
      <c r="U13" s="62">
        <f t="shared" si="11"/>
        <v>-2.3911902377856009E-2</v>
      </c>
      <c r="Y13">
        <v>43.582740110000003</v>
      </c>
      <c r="Z13" t="s">
        <v>96</v>
      </c>
    </row>
    <row r="14" spans="1:28" x14ac:dyDescent="0.55000000000000004">
      <c r="A14" t="s">
        <v>129</v>
      </c>
      <c r="B14" s="30"/>
      <c r="C14">
        <v>35.909999999999997</v>
      </c>
      <c r="D14" s="30"/>
      <c r="E14">
        <v>2</v>
      </c>
      <c r="G14" s="59" t="e">
        <f t="shared" si="0"/>
        <v>#NUM!</v>
      </c>
      <c r="J14" s="62"/>
      <c r="K14" s="62"/>
      <c r="L14" s="62"/>
      <c r="M14" s="62"/>
      <c r="N14" s="62"/>
      <c r="O14" s="62"/>
      <c r="P14" s="62"/>
      <c r="Q14" s="62"/>
      <c r="R14" s="64"/>
      <c r="S14" s="62"/>
      <c r="T14" s="63"/>
      <c r="U14" s="62"/>
      <c r="W14" t="s">
        <v>99</v>
      </c>
      <c r="X14">
        <v>604.48</v>
      </c>
    </row>
    <row r="15" spans="1:28" x14ac:dyDescent="0.55000000000000004">
      <c r="A15" t="s">
        <v>130</v>
      </c>
      <c r="B15" s="30"/>
      <c r="C15">
        <v>12.27</v>
      </c>
      <c r="D15" s="30"/>
      <c r="E15">
        <v>3</v>
      </c>
      <c r="G15" s="59">
        <f t="shared" si="0"/>
        <v>3.5383223332314397</v>
      </c>
      <c r="J15" s="62"/>
      <c r="K15" s="62"/>
      <c r="L15" s="62"/>
      <c r="M15" s="62"/>
      <c r="N15" s="62"/>
      <c r="O15" s="62"/>
      <c r="P15" s="62"/>
      <c r="Q15" s="62"/>
      <c r="R15" s="64"/>
      <c r="S15" s="62"/>
      <c r="T15" s="63"/>
      <c r="U15" s="62"/>
      <c r="X15" t="s">
        <v>92</v>
      </c>
      <c r="Y15">
        <v>4.9629433560000003</v>
      </c>
      <c r="AA15">
        <v>356.8845407</v>
      </c>
    </row>
    <row r="16" spans="1:28" x14ac:dyDescent="0.55000000000000004">
      <c r="A16" t="s">
        <v>174</v>
      </c>
      <c r="B16" s="30"/>
      <c r="C16">
        <v>4.18</v>
      </c>
      <c r="D16">
        <v>1.831319115716616</v>
      </c>
      <c r="E16">
        <v>3.14</v>
      </c>
      <c r="F16">
        <v>0.19537184873949578</v>
      </c>
      <c r="G16" s="57">
        <f t="shared" si="0"/>
        <v>3.851658068773717</v>
      </c>
      <c r="I16">
        <v>3.14</v>
      </c>
      <c r="J16" s="62">
        <v>4.4539999999999996E-3</v>
      </c>
      <c r="K16" s="62">
        <f t="shared" si="1"/>
        <v>7.2443596007498929E-4</v>
      </c>
      <c r="L16" s="62">
        <f t="shared" si="2"/>
        <v>7.2443596007498929E-4</v>
      </c>
      <c r="M16" s="62">
        <f t="shared" si="3"/>
        <v>2.6915348039269142E-2</v>
      </c>
      <c r="N16" s="62">
        <f t="shared" si="4"/>
        <v>0.9699375882131801</v>
      </c>
      <c r="O16" s="62">
        <f t="shared" si="5"/>
        <v>7.4688925233792197E-4</v>
      </c>
      <c r="P16" s="62">
        <f t="shared" si="6"/>
        <v>3.7071107476620777E-3</v>
      </c>
      <c r="Q16" s="62">
        <f t="shared" si="7"/>
        <v>1.5047933369935308E-4</v>
      </c>
      <c r="R16" s="64">
        <f t="shared" si="8"/>
        <v>3.8225231404463464</v>
      </c>
      <c r="S16" s="62">
        <f t="shared" si="9"/>
        <v>1.407154977449653E-4</v>
      </c>
      <c r="T16" s="63">
        <f t="shared" si="10"/>
        <v>3.8516580687737174</v>
      </c>
      <c r="U16" s="62">
        <f t="shared" si="11"/>
        <v>-2.9134928327370968E-2</v>
      </c>
      <c r="Y16">
        <v>71.909855719999996</v>
      </c>
      <c r="Z16" t="s">
        <v>96</v>
      </c>
      <c r="AA16">
        <v>0</v>
      </c>
    </row>
    <row r="17" spans="1:27" x14ac:dyDescent="0.55000000000000004">
      <c r="A17" t="s">
        <v>175</v>
      </c>
      <c r="B17" s="30"/>
      <c r="C17">
        <v>11.5</v>
      </c>
      <c r="D17">
        <v>5.409977354025723</v>
      </c>
      <c r="E17" s="30"/>
      <c r="F17">
        <v>0.62044033613445382</v>
      </c>
      <c r="G17" s="58">
        <v>2.84</v>
      </c>
      <c r="J17" s="62"/>
      <c r="K17" s="62"/>
      <c r="L17" s="62"/>
      <c r="M17" s="62"/>
      <c r="N17" s="62"/>
      <c r="O17" s="62"/>
      <c r="P17" s="62"/>
      <c r="Q17" s="62"/>
      <c r="R17" s="64"/>
      <c r="S17" s="62"/>
      <c r="T17" s="63"/>
      <c r="U17" s="62"/>
      <c r="W17" t="s">
        <v>100</v>
      </c>
      <c r="X17">
        <v>622.49400000000003</v>
      </c>
      <c r="AA17">
        <v>0</v>
      </c>
    </row>
    <row r="18" spans="1:27" x14ac:dyDescent="0.55000000000000004">
      <c r="A18" t="s">
        <v>153</v>
      </c>
      <c r="B18" s="30"/>
      <c r="C18">
        <v>27.46</v>
      </c>
      <c r="D18" s="30"/>
      <c r="E18">
        <v>2.5</v>
      </c>
      <c r="G18" s="59">
        <f t="shared" si="0"/>
        <v>2.1111691705953968</v>
      </c>
      <c r="J18" s="62"/>
      <c r="K18" s="62"/>
      <c r="L18" s="62"/>
      <c r="M18" s="62"/>
      <c r="N18" s="62"/>
      <c r="O18" s="62"/>
      <c r="P18" s="62"/>
      <c r="Q18" s="62"/>
      <c r="R18" s="64"/>
      <c r="S18" s="62"/>
      <c r="T18" s="63"/>
      <c r="U18" s="62"/>
      <c r="X18" t="s">
        <v>92</v>
      </c>
      <c r="Y18">
        <v>6.4257647459999996</v>
      </c>
      <c r="AA18">
        <v>356.8845407</v>
      </c>
    </row>
    <row r="19" spans="1:27" x14ac:dyDescent="0.55000000000000004">
      <c r="A19" t="s">
        <v>9</v>
      </c>
      <c r="B19" s="30"/>
      <c r="C19">
        <v>9.7463250000000006</v>
      </c>
      <c r="D19" s="25">
        <v>4.2541424332344215</v>
      </c>
      <c r="E19" s="30">
        <v>2.92</v>
      </c>
      <c r="F19">
        <v>0.50696848739495803</v>
      </c>
      <c r="G19" s="58">
        <f>E19 -LOG10(10^(-E19) / ($H$2 - 10^(-E19)))</f>
        <v>3.8632182566859958</v>
      </c>
      <c r="I19">
        <v>2.92</v>
      </c>
      <c r="J19" s="62">
        <v>4.4539999999999996E-3</v>
      </c>
      <c r="K19" s="62">
        <f t="shared" si="1"/>
        <v>1.2022644346174124E-3</v>
      </c>
      <c r="L19" s="62">
        <f t="shared" si="2"/>
        <v>1.2022644346174124E-3</v>
      </c>
      <c r="M19" s="62">
        <f t="shared" si="3"/>
        <v>3.4673685045253158E-2</v>
      </c>
      <c r="N19" s="62">
        <f t="shared" si="4"/>
        <v>0.96181816307740531</v>
      </c>
      <c r="O19" s="62">
        <f t="shared" si="5"/>
        <v>1.2499914025024047E-3</v>
      </c>
      <c r="P19" s="62">
        <f t="shared" si="6"/>
        <v>3.2040085974975952E-3</v>
      </c>
      <c r="Q19" s="62">
        <f t="shared" si="7"/>
        <v>4.8766364345909075E-4</v>
      </c>
      <c r="R19" s="64">
        <f t="shared" si="8"/>
        <v>3.3118796209383796</v>
      </c>
      <c r="S19" s="62">
        <f t="shared" si="9"/>
        <v>4.4451331963577456E-4</v>
      </c>
      <c r="T19" s="63">
        <f t="shared" si="10"/>
        <v>3.3521152210657585</v>
      </c>
      <c r="U19" s="62">
        <f t="shared" si="11"/>
        <v>-4.0235600127378923E-2</v>
      </c>
      <c r="Y19">
        <v>55.539621320000002</v>
      </c>
      <c r="Z19" t="s">
        <v>96</v>
      </c>
      <c r="AA19">
        <v>0</v>
      </c>
    </row>
    <row r="20" spans="1:27" x14ac:dyDescent="0.55000000000000004">
      <c r="A20" t="s">
        <v>176</v>
      </c>
      <c r="B20" s="30"/>
      <c r="C20">
        <v>8.7356475000000007</v>
      </c>
      <c r="D20" s="25">
        <v>2.8368146352308456</v>
      </c>
      <c r="E20" s="30"/>
      <c r="F20">
        <v>0.45034789915966389</v>
      </c>
      <c r="G20" s="58">
        <v>2.74</v>
      </c>
      <c r="J20" s="62"/>
      <c r="K20" s="62"/>
      <c r="L20" s="62"/>
      <c r="M20" s="62"/>
      <c r="N20" s="62"/>
      <c r="O20" s="62"/>
      <c r="P20" s="62"/>
      <c r="Q20" s="62"/>
      <c r="R20" s="64"/>
      <c r="S20" s="62"/>
      <c r="T20" s="63"/>
      <c r="U20" s="62"/>
      <c r="W20" t="s">
        <v>101</v>
      </c>
      <c r="X20">
        <v>254.15</v>
      </c>
      <c r="AA20">
        <v>0</v>
      </c>
    </row>
    <row r="21" spans="1:27" x14ac:dyDescent="0.55000000000000004">
      <c r="A21" t="s">
        <v>191</v>
      </c>
      <c r="B21">
        <v>3.4</v>
      </c>
      <c r="C21">
        <v>9.27</v>
      </c>
      <c r="D21">
        <v>6.8029784449423945</v>
      </c>
      <c r="E21">
        <v>2.89</v>
      </c>
      <c r="F21">
        <v>0.4804865546218488</v>
      </c>
      <c r="G21" s="57">
        <f t="shared" si="0"/>
        <v>3.2804766770472331</v>
      </c>
      <c r="I21">
        <v>2.89</v>
      </c>
      <c r="J21" s="62">
        <v>4.4539999999999996E-3</v>
      </c>
      <c r="K21" s="62">
        <f t="shared" si="1"/>
        <v>1.288249551693133E-3</v>
      </c>
      <c r="L21" s="62">
        <f t="shared" si="2"/>
        <v>1.288249551693133E-3</v>
      </c>
      <c r="M21" s="62">
        <f t="shared" si="3"/>
        <v>3.589219346450051E-2</v>
      </c>
      <c r="N21" s="62">
        <f t="shared" si="4"/>
        <v>0.96056404487618174</v>
      </c>
      <c r="O21" s="62">
        <f t="shared" si="5"/>
        <v>1.3411386347062266E-3</v>
      </c>
      <c r="P21" s="62">
        <f t="shared" si="6"/>
        <v>3.1128613652937733E-3</v>
      </c>
      <c r="Q21" s="62">
        <f t="shared" si="7"/>
        <v>5.7781334483938236E-4</v>
      </c>
      <c r="R21" s="64">
        <f t="shared" si="8"/>
        <v>3.2382124321644086</v>
      </c>
      <c r="S21" s="62">
        <f t="shared" si="9"/>
        <v>5.2423175311406883E-4</v>
      </c>
      <c r="T21" s="63">
        <f t="shared" si="10"/>
        <v>3.2804766770472331</v>
      </c>
      <c r="U21" s="62">
        <f t="shared" si="11"/>
        <v>-4.2264244882824542E-2</v>
      </c>
      <c r="X21" t="s">
        <v>92</v>
      </c>
      <c r="Y21">
        <v>15.73873697</v>
      </c>
      <c r="AA21">
        <v>356.8845407</v>
      </c>
    </row>
    <row r="22" spans="1:27" x14ac:dyDescent="0.55000000000000004">
      <c r="A22" t="s">
        <v>214</v>
      </c>
      <c r="B22">
        <v>2.38</v>
      </c>
      <c r="C22">
        <v>12.66</v>
      </c>
      <c r="E22">
        <v>2.56</v>
      </c>
      <c r="G22" s="57">
        <f t="shared" si="0"/>
        <v>2.3503904912138656</v>
      </c>
      <c r="I22">
        <v>2.56</v>
      </c>
      <c r="J22" s="62">
        <v>4.4539999999999996E-3</v>
      </c>
      <c r="K22" s="62">
        <f t="shared" si="1"/>
        <v>2.7542287033381651E-3</v>
      </c>
      <c r="L22" s="62">
        <f t="shared" si="2"/>
        <v>2.7542287033381651E-3</v>
      </c>
      <c r="M22" s="62">
        <f t="shared" si="3"/>
        <v>5.2480746024977244E-2</v>
      </c>
      <c r="N22" s="62">
        <f t="shared" si="4"/>
        <v>0.94404094632962143</v>
      </c>
      <c r="O22" s="62">
        <f t="shared" si="5"/>
        <v>2.9174886047543306E-3</v>
      </c>
      <c r="P22" s="62">
        <f t="shared" si="6"/>
        <v>1.536511395245669E-3</v>
      </c>
      <c r="Q22" s="62">
        <f t="shared" si="7"/>
        <v>5.5396528689658367E-3</v>
      </c>
      <c r="R22" s="64">
        <f t="shared" si="8"/>
        <v>2.256517448595754</v>
      </c>
      <c r="S22" s="62">
        <f t="shared" si="9"/>
        <v>4.4628214190870659E-3</v>
      </c>
      <c r="T22" s="63">
        <f t="shared" si="10"/>
        <v>2.3503904912138656</v>
      </c>
      <c r="U22" s="62">
        <f t="shared" si="11"/>
        <v>-9.387304261811158E-2</v>
      </c>
      <c r="Y22">
        <v>22.675551509999998</v>
      </c>
      <c r="Z22" t="s">
        <v>96</v>
      </c>
      <c r="AA22">
        <v>0</v>
      </c>
    </row>
    <row r="23" spans="1:27" ht="72" x14ac:dyDescent="0.55000000000000004">
      <c r="A23" s="33" t="s">
        <v>255</v>
      </c>
      <c r="B23">
        <v>2.2000000000000002</v>
      </c>
      <c r="C23">
        <v>17.690000000000001</v>
      </c>
      <c r="G23" s="58">
        <v>1.32</v>
      </c>
      <c r="J23" s="62"/>
      <c r="K23" s="62"/>
      <c r="L23" s="62"/>
      <c r="M23" s="62"/>
      <c r="N23" s="62"/>
      <c r="O23" s="62"/>
      <c r="P23" s="62"/>
      <c r="Q23" s="62"/>
      <c r="R23" s="64"/>
      <c r="S23" s="62"/>
      <c r="T23" s="63"/>
      <c r="U23" s="62"/>
      <c r="W23" t="s">
        <v>102</v>
      </c>
      <c r="AA23">
        <v>0</v>
      </c>
    </row>
    <row r="24" spans="1:27" x14ac:dyDescent="0.55000000000000004">
      <c r="A24" t="s">
        <v>219</v>
      </c>
      <c r="C24">
        <v>22.94</v>
      </c>
      <c r="E24">
        <v>2.2999999999999998</v>
      </c>
      <c r="G24" s="59" t="e">
        <f t="shared" si="0"/>
        <v>#NUM!</v>
      </c>
      <c r="J24" s="62"/>
      <c r="K24" s="62"/>
      <c r="L24" s="62"/>
      <c r="M24" s="62"/>
      <c r="N24" s="62"/>
      <c r="O24" s="62"/>
      <c r="P24" s="62"/>
      <c r="Q24" s="62"/>
      <c r="R24" s="64"/>
      <c r="S24" s="62"/>
      <c r="T24" s="63"/>
      <c r="U24" s="62"/>
      <c r="X24" t="s">
        <v>92</v>
      </c>
      <c r="Y24">
        <v>7.58</v>
      </c>
      <c r="AA24">
        <v>356.8845407</v>
      </c>
    </row>
    <row r="25" spans="1:27" x14ac:dyDescent="0.55000000000000004">
      <c r="A25" t="s">
        <v>216</v>
      </c>
      <c r="C25">
        <v>18.440000000000001</v>
      </c>
      <c r="E25">
        <v>2.5</v>
      </c>
      <c r="G25" s="59">
        <f t="shared" si="0"/>
        <v>2.1111691705953968</v>
      </c>
      <c r="J25" s="62"/>
      <c r="K25" s="62"/>
      <c r="L25" s="62"/>
      <c r="M25" s="62"/>
      <c r="N25" s="62"/>
      <c r="O25" s="62"/>
      <c r="P25" s="62"/>
      <c r="Q25" s="62"/>
      <c r="R25" s="64"/>
      <c r="S25" s="62"/>
      <c r="T25" s="63"/>
      <c r="U25" s="62"/>
      <c r="Y25">
        <v>47.082393230000001</v>
      </c>
      <c r="Z25" t="s">
        <v>96</v>
      </c>
      <c r="AA25">
        <v>0</v>
      </c>
    </row>
    <row r="26" spans="1:27" x14ac:dyDescent="0.55000000000000004">
      <c r="A26" t="s">
        <v>217</v>
      </c>
      <c r="C26">
        <v>10.99</v>
      </c>
      <c r="E26">
        <v>2.44</v>
      </c>
      <c r="G26" s="59">
        <f t="shared" si="0"/>
        <v>1.7955156240555172</v>
      </c>
      <c r="J26" s="62"/>
      <c r="K26" s="62"/>
      <c r="L26" s="62"/>
      <c r="M26" s="62"/>
      <c r="N26" s="62"/>
      <c r="O26" s="62"/>
      <c r="P26" s="62"/>
      <c r="Q26" s="62"/>
      <c r="R26" s="64"/>
      <c r="S26" s="62"/>
      <c r="T26" s="63"/>
      <c r="U26" s="62"/>
      <c r="W26" t="s">
        <v>103</v>
      </c>
      <c r="X26">
        <v>216.19</v>
      </c>
    </row>
    <row r="27" spans="1:27" x14ac:dyDescent="0.55000000000000004">
      <c r="A27" t="s">
        <v>218</v>
      </c>
      <c r="C27">
        <v>9.1199999999999992</v>
      </c>
      <c r="E27">
        <v>2.73</v>
      </c>
      <c r="G27" s="59">
        <f t="shared" si="0"/>
        <v>2.8736203970411629</v>
      </c>
      <c r="J27" s="62"/>
      <c r="K27" s="62"/>
      <c r="L27" s="62"/>
      <c r="M27" s="62"/>
      <c r="N27" s="62"/>
      <c r="O27" s="62"/>
      <c r="P27" s="62"/>
      <c r="Q27" s="62"/>
      <c r="R27" s="64"/>
      <c r="S27" s="62"/>
      <c r="T27" s="63"/>
      <c r="U27" s="62"/>
      <c r="X27" t="s">
        <v>92</v>
      </c>
      <c r="Y27">
        <v>9.2511216990000005</v>
      </c>
    </row>
    <row r="28" spans="1:27" x14ac:dyDescent="0.55000000000000004">
      <c r="A28" t="s">
        <v>248</v>
      </c>
      <c r="B28">
        <v>3.13</v>
      </c>
      <c r="C28">
        <v>13.29</v>
      </c>
      <c r="E28">
        <v>2.65</v>
      </c>
      <c r="F28">
        <v>0.7054936974789916</v>
      </c>
      <c r="G28" s="57">
        <f t="shared" si="0"/>
        <v>2.6454284034069762</v>
      </c>
      <c r="I28">
        <v>2.65</v>
      </c>
      <c r="J28" s="62">
        <v>4.4539999999999996E-3</v>
      </c>
      <c r="K28" s="62">
        <f t="shared" si="1"/>
        <v>2.2387211385683386E-3</v>
      </c>
      <c r="L28" s="62">
        <f t="shared" si="2"/>
        <v>2.2387211385683386E-3</v>
      </c>
      <c r="M28" s="62">
        <f t="shared" si="3"/>
        <v>4.7315125896148037E-2</v>
      </c>
      <c r="N28" s="62">
        <f t="shared" si="4"/>
        <v>0.94907815329926049</v>
      </c>
      <c r="O28" s="62">
        <f t="shared" si="5"/>
        <v>2.3588375001425532E-3</v>
      </c>
      <c r="P28" s="62">
        <f t="shared" si="6"/>
        <v>2.0951624998574465E-3</v>
      </c>
      <c r="Q28" s="62">
        <f t="shared" si="7"/>
        <v>2.6556958481537105E-3</v>
      </c>
      <c r="R28" s="64">
        <f t="shared" si="8"/>
        <v>2.5758216653854618</v>
      </c>
      <c r="S28" s="62">
        <f t="shared" si="9"/>
        <v>2.2624114839581468E-3</v>
      </c>
      <c r="T28" s="63">
        <f t="shared" si="10"/>
        <v>2.6454284034069766</v>
      </c>
      <c r="U28" s="62">
        <f t="shared" si="11"/>
        <v>-6.9606738021514847E-2</v>
      </c>
      <c r="Y28">
        <v>38.577434429999997</v>
      </c>
      <c r="Z28" t="s">
        <v>96</v>
      </c>
    </row>
    <row r="29" spans="1:27" x14ac:dyDescent="0.55000000000000004">
      <c r="A29" t="s">
        <v>237</v>
      </c>
      <c r="C29">
        <v>30.65</v>
      </c>
      <c r="E29">
        <v>2.2999999999999998</v>
      </c>
      <c r="G29" s="59" t="e">
        <f t="shared" si="0"/>
        <v>#NUM!</v>
      </c>
      <c r="J29" s="62"/>
      <c r="K29" s="62"/>
      <c r="L29" s="62"/>
      <c r="M29" s="62"/>
      <c r="N29" s="62"/>
      <c r="O29" s="62"/>
      <c r="P29" s="62"/>
      <c r="Q29" s="62"/>
      <c r="R29" s="64"/>
      <c r="S29" s="62"/>
      <c r="T29" s="63"/>
      <c r="U29" s="62"/>
      <c r="W29" t="s">
        <v>104</v>
      </c>
      <c r="X29">
        <v>116.07</v>
      </c>
    </row>
    <row r="30" spans="1:27" x14ac:dyDescent="0.55000000000000004">
      <c r="A30" t="s">
        <v>264</v>
      </c>
      <c r="C30">
        <v>8.9499999999999993</v>
      </c>
      <c r="E30">
        <v>2.75</v>
      </c>
      <c r="G30" s="57">
        <f t="shared" si="0"/>
        <v>2.9274407606004136</v>
      </c>
      <c r="I30">
        <v>2.75</v>
      </c>
      <c r="J30" s="62">
        <v>4.4539999999999996E-3</v>
      </c>
      <c r="K30" s="62">
        <f t="shared" si="1"/>
        <v>1.7782794100389223E-3</v>
      </c>
      <c r="L30" s="62">
        <f t="shared" si="2"/>
        <v>1.7782794100389223E-3</v>
      </c>
      <c r="M30" s="62">
        <f t="shared" si="3"/>
        <v>4.2169650342858217E-2</v>
      </c>
      <c r="N30" s="62">
        <f t="shared" si="4"/>
        <v>0.95419202061919561</v>
      </c>
      <c r="O30" s="62">
        <f t="shared" si="5"/>
        <v>1.8636494244470402E-3</v>
      </c>
      <c r="P30" s="62">
        <f t="shared" si="6"/>
        <v>2.5903505755529594E-3</v>
      </c>
      <c r="Q30" s="62">
        <f t="shared" si="7"/>
        <v>1.3408181927268151E-3</v>
      </c>
      <c r="R30" s="64">
        <f t="shared" si="8"/>
        <v>2.8726301060025334</v>
      </c>
      <c r="S30" s="62">
        <f t="shared" si="9"/>
        <v>1.1818415091743111E-3</v>
      </c>
      <c r="T30" s="63">
        <f t="shared" si="10"/>
        <v>2.927440760600414</v>
      </c>
      <c r="U30" s="62">
        <f t="shared" si="11"/>
        <v>-5.4810654597880593E-2</v>
      </c>
      <c r="X30" t="s">
        <v>92</v>
      </c>
      <c r="Y30">
        <v>17.2309813</v>
      </c>
    </row>
    <row r="31" spans="1:27" x14ac:dyDescent="0.55000000000000004">
      <c r="A31" t="s">
        <v>351</v>
      </c>
      <c r="C31">
        <v>12.97</v>
      </c>
      <c r="G31" s="58">
        <v>2.63</v>
      </c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Y31">
        <v>20.711794319999999</v>
      </c>
      <c r="Z31" t="s">
        <v>96</v>
      </c>
    </row>
    <row r="32" spans="1:27" x14ac:dyDescent="0.55000000000000004">
      <c r="A32" t="s">
        <v>350</v>
      </c>
      <c r="C32">
        <v>13.9</v>
      </c>
      <c r="G32" s="58">
        <v>2.73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W32" t="s">
        <v>105</v>
      </c>
      <c r="X32">
        <v>172.18</v>
      </c>
    </row>
    <row r="33" spans="1:26" x14ac:dyDescent="0.55000000000000004">
      <c r="A33" t="s">
        <v>269</v>
      </c>
      <c r="C33">
        <v>12.8</v>
      </c>
      <c r="G33" s="58">
        <v>2.78</v>
      </c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X33" t="s">
        <v>92</v>
      </c>
      <c r="Y33">
        <v>11.61575096</v>
      </c>
    </row>
    <row r="34" spans="1:26" x14ac:dyDescent="0.55000000000000004">
      <c r="A34" t="s">
        <v>270</v>
      </c>
      <c r="C34">
        <v>5.7</v>
      </c>
      <c r="G34" s="3">
        <v>3.08</v>
      </c>
      <c r="J34" s="62"/>
      <c r="K34" s="62"/>
      <c r="L34" s="62"/>
      <c r="M34" t="s">
        <v>351</v>
      </c>
      <c r="N34">
        <v>12.97</v>
      </c>
      <c r="O34" s="62"/>
      <c r="P34" s="62"/>
      <c r="Q34" s="62"/>
      <c r="R34" s="62"/>
      <c r="S34" s="62"/>
      <c r="T34" s="62"/>
      <c r="U34" s="62"/>
      <c r="Y34">
        <v>30.724190109999999</v>
      </c>
      <c r="Z34" t="s">
        <v>96</v>
      </c>
    </row>
    <row r="35" spans="1:26" x14ac:dyDescent="0.55000000000000004">
      <c r="A35" t="s">
        <v>352</v>
      </c>
      <c r="C35">
        <v>13.55</v>
      </c>
      <c r="G35" s="58">
        <v>2.7</v>
      </c>
      <c r="J35" s="62"/>
      <c r="K35" s="62"/>
      <c r="L35" s="62"/>
      <c r="M35" t="s">
        <v>350</v>
      </c>
      <c r="N35">
        <v>13.9</v>
      </c>
      <c r="O35" s="62"/>
      <c r="P35" s="62"/>
      <c r="Q35" s="62"/>
      <c r="R35" s="62"/>
      <c r="S35" s="62"/>
      <c r="T35" s="62"/>
      <c r="U35" s="62"/>
      <c r="W35" t="s">
        <v>106</v>
      </c>
      <c r="X35">
        <v>618.42600000000004</v>
      </c>
    </row>
    <row r="36" spans="1:26" x14ac:dyDescent="0.55000000000000004">
      <c r="A36" t="s">
        <v>353</v>
      </c>
      <c r="C36">
        <v>13.46</v>
      </c>
      <c r="G36" s="58">
        <v>2.89</v>
      </c>
      <c r="J36" s="62"/>
      <c r="K36" s="62"/>
      <c r="L36" s="62"/>
      <c r="M36" t="s">
        <v>269</v>
      </c>
      <c r="N36">
        <v>12.8</v>
      </c>
      <c r="O36" s="62"/>
      <c r="P36" s="62"/>
      <c r="Q36" s="62"/>
      <c r="R36" s="62"/>
      <c r="S36" s="62"/>
      <c r="T36" s="62"/>
      <c r="U36" s="62"/>
      <c r="X36" t="s">
        <v>92</v>
      </c>
      <c r="Y36">
        <v>9.7020500429999998</v>
      </c>
    </row>
    <row r="37" spans="1:26" x14ac:dyDescent="0.55000000000000004">
      <c r="A37" t="s">
        <v>364</v>
      </c>
      <c r="C37">
        <v>18.18</v>
      </c>
      <c r="E37">
        <v>2.4300000000000002</v>
      </c>
      <c r="G37" s="57">
        <f t="shared" ref="G37:G39" si="12">E37 -LOG10(10^(-E37) / ($H$1 - 10^(-E37)))</f>
        <v>1.7284373551678738</v>
      </c>
      <c r="J37" s="62"/>
      <c r="K37" s="62"/>
      <c r="L37" s="62"/>
      <c r="M37" t="s">
        <v>270</v>
      </c>
      <c r="N37">
        <v>5.7</v>
      </c>
      <c r="O37" s="62"/>
      <c r="P37" s="62"/>
      <c r="Q37" s="62"/>
      <c r="R37" s="62"/>
      <c r="S37" s="62"/>
      <c r="T37" s="62"/>
      <c r="U37" s="62"/>
      <c r="Y37">
        <v>36.784446500000001</v>
      </c>
      <c r="Z37" t="s">
        <v>96</v>
      </c>
    </row>
    <row r="38" spans="1:26" x14ac:dyDescent="0.55000000000000004">
      <c r="A38" t="s">
        <v>358</v>
      </c>
      <c r="C38">
        <v>14.76</v>
      </c>
      <c r="E38">
        <v>2.52</v>
      </c>
      <c r="G38" s="57">
        <f>E38 -LOG10(10^(-E38) / (-$H$3 + 10^(-E38)))</f>
        <v>1.9392467457018467</v>
      </c>
      <c r="J38" s="62"/>
      <c r="K38" s="62"/>
      <c r="L38" s="62"/>
      <c r="M38" t="s">
        <v>352</v>
      </c>
      <c r="N38">
        <v>13.55</v>
      </c>
      <c r="O38" s="62"/>
      <c r="P38" s="62"/>
      <c r="Q38" s="62"/>
      <c r="R38" s="62"/>
      <c r="S38" s="62"/>
      <c r="T38" s="62"/>
      <c r="U38" s="62"/>
      <c r="W38" t="s">
        <v>107</v>
      </c>
      <c r="X38">
        <v>428.32400000000001</v>
      </c>
    </row>
    <row r="39" spans="1:26" x14ac:dyDescent="0.55000000000000004">
      <c r="A39" t="s">
        <v>361</v>
      </c>
      <c r="C39">
        <v>7.2</v>
      </c>
      <c r="E39">
        <v>2.7770000000000001</v>
      </c>
      <c r="G39" s="57">
        <f t="shared" si="12"/>
        <v>2.9984990655019175</v>
      </c>
      <c r="J39" s="62"/>
      <c r="K39" s="62"/>
      <c r="L39" s="62"/>
      <c r="M39" t="s">
        <v>353</v>
      </c>
      <c r="N39">
        <v>13.46</v>
      </c>
      <c r="O39" s="62"/>
      <c r="P39" s="62"/>
      <c r="Q39" s="62"/>
      <c r="R39" s="62"/>
      <c r="S39" s="62"/>
      <c r="T39" s="62"/>
      <c r="U39" s="62"/>
      <c r="X39" t="s">
        <v>92</v>
      </c>
      <c r="Y39">
        <v>9.338724891</v>
      </c>
    </row>
    <row r="40" spans="1:26" x14ac:dyDescent="0.55000000000000004">
      <c r="A40" t="s">
        <v>365</v>
      </c>
      <c r="C40">
        <v>14.92</v>
      </c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Y40">
        <v>38.215553499999999</v>
      </c>
      <c r="Z40" t="s">
        <v>96</v>
      </c>
    </row>
    <row r="41" spans="1:26" x14ac:dyDescent="0.55000000000000004">
      <c r="A41" t="s">
        <v>366</v>
      </c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W41" t="s">
        <v>108</v>
      </c>
      <c r="X41">
        <v>211.13</v>
      </c>
    </row>
    <row r="42" spans="1:26" x14ac:dyDescent="0.55000000000000004">
      <c r="A42" t="s">
        <v>367</v>
      </c>
      <c r="C42">
        <v>10.92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X42" t="s">
        <v>109</v>
      </c>
      <c r="Y42">
        <f>1/X41*1000*2</f>
        <v>9.4728366409321261</v>
      </c>
    </row>
    <row r="43" spans="1:26" x14ac:dyDescent="0.55000000000000004"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Y43">
        <f>V3*0.05/Y42*1000</f>
        <v>37.674516538995505</v>
      </c>
      <c r="Z43" t="s">
        <v>110</v>
      </c>
    </row>
    <row r="44" spans="1:26" x14ac:dyDescent="0.55000000000000004"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W44" t="s">
        <v>111</v>
      </c>
      <c r="X44">
        <v>308.26400000000001</v>
      </c>
    </row>
    <row r="45" spans="1:26" x14ac:dyDescent="0.55000000000000004"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X45" t="s">
        <v>109</v>
      </c>
      <c r="Y45">
        <f>1/X44*1000*2</f>
        <v>6.4879453974515346</v>
      </c>
    </row>
    <row r="46" spans="1:26" x14ac:dyDescent="0.55000000000000004"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Y46">
        <f>V3*0.05/Y45*1000</f>
        <v>55.007328027172413</v>
      </c>
      <c r="Z46" t="s">
        <v>110</v>
      </c>
    </row>
    <row r="47" spans="1:26" x14ac:dyDescent="0.55000000000000004"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W47" t="s">
        <v>238</v>
      </c>
      <c r="X47">
        <v>352.31200000000001</v>
      </c>
    </row>
    <row r="48" spans="1:26" x14ac:dyDescent="0.55000000000000004">
      <c r="A48" t="s">
        <v>87</v>
      </c>
      <c r="B48" t="s">
        <v>10</v>
      </c>
      <c r="C48" t="s">
        <v>5</v>
      </c>
      <c r="D48" t="s">
        <v>164</v>
      </c>
      <c r="E48" t="s">
        <v>147</v>
      </c>
      <c r="F48" t="s">
        <v>53</v>
      </c>
      <c r="G48" t="s">
        <v>5</v>
      </c>
      <c r="H48" t="s">
        <v>39</v>
      </c>
      <c r="I48" t="s">
        <v>147</v>
      </c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Y48">
        <f>1/X47*1000*2</f>
        <v>5.6767864847067369</v>
      </c>
    </row>
    <row r="49" spans="1:26" x14ac:dyDescent="0.55000000000000004">
      <c r="J49" s="62"/>
      <c r="Y49">
        <f>V3*0.05/Y48*1000</f>
        <v>62.867353151549203</v>
      </c>
      <c r="Z49" t="s">
        <v>110</v>
      </c>
    </row>
    <row r="50" spans="1:26" x14ac:dyDescent="0.55000000000000004">
      <c r="A50">
        <v>0.17695900000000001</v>
      </c>
      <c r="B50">
        <v>29.6</v>
      </c>
      <c r="C50">
        <v>13.32</v>
      </c>
      <c r="D50">
        <v>8.0126517930399004</v>
      </c>
      <c r="F50">
        <v>20.7</v>
      </c>
      <c r="G50">
        <v>18.649999999999999</v>
      </c>
      <c r="H50">
        <v>16.427803853754938</v>
      </c>
      <c r="J50" s="62"/>
    </row>
    <row r="51" spans="1:26" x14ac:dyDescent="0.55000000000000004">
      <c r="A51">
        <f>356.884540713388/1000</f>
        <v>0.35688454071338799</v>
      </c>
      <c r="B51">
        <v>59.3</v>
      </c>
      <c r="C51">
        <v>16.62</v>
      </c>
      <c r="D51">
        <v>5.0065221935315565</v>
      </c>
      <c r="F51">
        <v>41.4</v>
      </c>
      <c r="G51">
        <v>22.52</v>
      </c>
      <c r="H51">
        <v>9.6809387240876035</v>
      </c>
      <c r="J51" s="62"/>
    </row>
    <row r="52" spans="1:26" x14ac:dyDescent="0.55000000000000004">
      <c r="A52">
        <f>A51*2</f>
        <v>0.71376908142677598</v>
      </c>
      <c r="B52">
        <v>118.6</v>
      </c>
      <c r="C52">
        <v>21.17</v>
      </c>
      <c r="D52">
        <v>3.1495665673736166</v>
      </c>
      <c r="F52">
        <v>82.8</v>
      </c>
      <c r="G52">
        <v>28.51</v>
      </c>
      <c r="H52">
        <v>6.3798618852966689</v>
      </c>
      <c r="J52" s="62"/>
      <c r="K52" s="48"/>
    </row>
    <row r="53" spans="1:26" x14ac:dyDescent="0.55000000000000004">
      <c r="A53">
        <f>A51*4</f>
        <v>1.427538162853552</v>
      </c>
      <c r="B53">
        <v>296.39999999999998</v>
      </c>
      <c r="C53">
        <v>30.6</v>
      </c>
      <c r="D53">
        <v>1.869916289261687</v>
      </c>
      <c r="F53" s="48">
        <v>207.1</v>
      </c>
      <c r="G53" s="48">
        <v>37.5</v>
      </c>
      <c r="H53" s="48"/>
      <c r="I53" s="48"/>
      <c r="J53" s="62"/>
    </row>
    <row r="54" spans="1:26" x14ac:dyDescent="0.55000000000000004">
      <c r="A54">
        <f>A51*10</f>
        <v>3.56884540713388</v>
      </c>
      <c r="B54">
        <v>592.79999999999995</v>
      </c>
      <c r="C54">
        <v>36.049999999999997</v>
      </c>
      <c r="D54">
        <v>1.1086121280646568</v>
      </c>
      <c r="F54">
        <v>414.2</v>
      </c>
      <c r="G54">
        <v>39.26</v>
      </c>
      <c r="H54">
        <v>1.7298313103122722</v>
      </c>
      <c r="J54" s="62"/>
    </row>
    <row r="55" spans="1:26" x14ac:dyDescent="0.55000000000000004">
      <c r="A55">
        <f>A51*20</f>
        <v>7.13769081426776</v>
      </c>
    </row>
    <row r="61" spans="1:26" x14ac:dyDescent="0.55000000000000004">
      <c r="E61" s="28"/>
      <c r="F61" s="28"/>
    </row>
    <row r="62" spans="1:26" x14ac:dyDescent="0.55000000000000004">
      <c r="E62" s="28"/>
      <c r="F62" s="28"/>
    </row>
    <row r="63" spans="1:26" x14ac:dyDescent="0.55000000000000004">
      <c r="E63" s="28"/>
      <c r="F63" s="28"/>
    </row>
    <row r="64" spans="1:26" x14ac:dyDescent="0.55000000000000004">
      <c r="E64" s="28"/>
      <c r="F64" s="28"/>
    </row>
    <row r="68" spans="1:7" x14ac:dyDescent="0.55000000000000004">
      <c r="E68" s="28"/>
      <c r="F68" s="28"/>
    </row>
    <row r="69" spans="1:7" x14ac:dyDescent="0.55000000000000004">
      <c r="E69" s="28"/>
      <c r="F69" s="28"/>
    </row>
    <row r="70" spans="1:7" x14ac:dyDescent="0.55000000000000004">
      <c r="E70" s="28"/>
      <c r="F70" s="28"/>
    </row>
    <row r="71" spans="1:7" x14ac:dyDescent="0.55000000000000004">
      <c r="A71" t="s">
        <v>63</v>
      </c>
      <c r="B71" t="s">
        <v>134</v>
      </c>
      <c r="C71" t="s">
        <v>5</v>
      </c>
      <c r="D71" t="s">
        <v>160</v>
      </c>
      <c r="E71" t="s">
        <v>5</v>
      </c>
      <c r="F71" t="s">
        <v>53</v>
      </c>
      <c r="G71" t="s">
        <v>5</v>
      </c>
    </row>
    <row r="72" spans="1:7" x14ac:dyDescent="0.55000000000000004">
      <c r="B72">
        <v>2.73</v>
      </c>
      <c r="C72">
        <v>13.32</v>
      </c>
      <c r="D72">
        <v>3</v>
      </c>
      <c r="E72">
        <v>12.27</v>
      </c>
      <c r="F72">
        <v>2.44</v>
      </c>
      <c r="G72">
        <v>18.649999999999999</v>
      </c>
    </row>
    <row r="73" spans="1:7" x14ac:dyDescent="0.55000000000000004">
      <c r="B73">
        <v>2.56</v>
      </c>
      <c r="C73">
        <v>16.62</v>
      </c>
      <c r="D73">
        <v>2.5</v>
      </c>
      <c r="E73">
        <v>27.46</v>
      </c>
      <c r="F73">
        <v>2.1800000000000002</v>
      </c>
      <c r="G73">
        <v>22.52</v>
      </c>
    </row>
    <row r="74" spans="1:7" x14ac:dyDescent="0.55000000000000004">
      <c r="B74">
        <v>2.38</v>
      </c>
      <c r="C74">
        <v>21.17</v>
      </c>
      <c r="D74">
        <v>2</v>
      </c>
      <c r="E74">
        <v>35.909999999999997</v>
      </c>
      <c r="F74">
        <v>1.98</v>
      </c>
      <c r="G74">
        <v>28.51</v>
      </c>
    </row>
    <row r="75" spans="1:7" x14ac:dyDescent="0.55000000000000004">
      <c r="B75">
        <v>2.2000000000000002</v>
      </c>
      <c r="C75">
        <v>30.6</v>
      </c>
      <c r="F75">
        <v>1.73</v>
      </c>
      <c r="G75" s="48">
        <f>G53</f>
        <v>37.5</v>
      </c>
    </row>
    <row r="76" spans="1:7" x14ac:dyDescent="0.55000000000000004">
      <c r="B76">
        <v>2</v>
      </c>
      <c r="C76">
        <v>36.049999999999997</v>
      </c>
      <c r="F76">
        <v>1.6</v>
      </c>
      <c r="G76">
        <v>39.11</v>
      </c>
    </row>
    <row r="88" spans="1:6" x14ac:dyDescent="0.55000000000000004">
      <c r="B88" t="s">
        <v>68</v>
      </c>
      <c r="C88" t="s">
        <v>5</v>
      </c>
      <c r="D88" t="s">
        <v>164</v>
      </c>
      <c r="E88" t="s">
        <v>134</v>
      </c>
      <c r="F88" t="s">
        <v>147</v>
      </c>
    </row>
    <row r="89" spans="1:6" x14ac:dyDescent="0.55000000000000004">
      <c r="A89" t="s">
        <v>53</v>
      </c>
      <c r="B89">
        <v>1.93</v>
      </c>
      <c r="C89">
        <v>18.649999999999999</v>
      </c>
      <c r="D89">
        <v>16.427803853754938</v>
      </c>
      <c r="E89">
        <v>2.44</v>
      </c>
      <c r="F89">
        <v>1.0058785714285716</v>
      </c>
    </row>
    <row r="90" spans="1:6" x14ac:dyDescent="0.55000000000000004">
      <c r="A90" t="s">
        <v>171</v>
      </c>
      <c r="B90">
        <v>2.11</v>
      </c>
      <c r="C90">
        <v>15.65</v>
      </c>
      <c r="D90">
        <v>7.3450547696237338</v>
      </c>
      <c r="E90">
        <v>2.44</v>
      </c>
      <c r="F90">
        <v>0.83770658263305331</v>
      </c>
    </row>
    <row r="91" spans="1:6" x14ac:dyDescent="0.55000000000000004">
      <c r="A91" t="s">
        <v>10</v>
      </c>
      <c r="B91">
        <v>2.98</v>
      </c>
      <c r="C91">
        <v>13.32</v>
      </c>
      <c r="D91">
        <v>8.0126517930399004</v>
      </c>
      <c r="E91">
        <v>2.73</v>
      </c>
      <c r="F91">
        <v>0.70725252100840341</v>
      </c>
    </row>
    <row r="92" spans="1:6" x14ac:dyDescent="0.55000000000000004">
      <c r="A92" t="s">
        <v>172</v>
      </c>
      <c r="B92">
        <v>1.88</v>
      </c>
      <c r="C92">
        <v>12.49</v>
      </c>
      <c r="D92">
        <v>5.7449647183189496</v>
      </c>
      <c r="E92">
        <v>2.39</v>
      </c>
      <c r="F92">
        <v>0.6606757703081233</v>
      </c>
    </row>
    <row r="93" spans="1:6" x14ac:dyDescent="0.55000000000000004">
      <c r="A93" t="s">
        <v>175</v>
      </c>
      <c r="C93">
        <v>11.82</v>
      </c>
      <c r="D93">
        <v>5.409977354025723</v>
      </c>
      <c r="F93">
        <v>0.62044033613445382</v>
      </c>
    </row>
    <row r="94" spans="1:6" x14ac:dyDescent="0.55000000000000004">
      <c r="A94" t="s">
        <v>169</v>
      </c>
      <c r="B94">
        <v>2.95</v>
      </c>
      <c r="C94">
        <v>11.8</v>
      </c>
      <c r="D94">
        <v>5.3459331721786691</v>
      </c>
      <c r="F94">
        <v>0.62194915966386555</v>
      </c>
    </row>
    <row r="95" spans="1:6" x14ac:dyDescent="0.55000000000000004">
      <c r="A95" t="s">
        <v>40</v>
      </c>
      <c r="B95">
        <v>1.92</v>
      </c>
      <c r="C95">
        <v>11.53</v>
      </c>
      <c r="D95">
        <v>9.1956023528812612</v>
      </c>
      <c r="E95">
        <v>2.5299999999999998</v>
      </c>
      <c r="F95">
        <v>0.60692521008403366</v>
      </c>
    </row>
    <row r="96" spans="1:6" x14ac:dyDescent="0.55000000000000004">
      <c r="A96" t="s">
        <v>180</v>
      </c>
      <c r="B96">
        <v>2.81</v>
      </c>
      <c r="C96">
        <v>10.76</v>
      </c>
      <c r="D96">
        <v>4.916980523762768</v>
      </c>
      <c r="E96">
        <v>2.64</v>
      </c>
      <c r="F96">
        <v>0.56389915966386561</v>
      </c>
    </row>
    <row r="97" spans="1:6" x14ac:dyDescent="0.55000000000000004">
      <c r="A97" t="s">
        <v>54</v>
      </c>
      <c r="B97">
        <v>3.03</v>
      </c>
      <c r="C97">
        <v>10.52</v>
      </c>
      <c r="D97">
        <v>8.6515001387182444</v>
      </c>
      <c r="E97">
        <v>2.76</v>
      </c>
      <c r="F97">
        <v>0.55030084033613447</v>
      </c>
    </row>
    <row r="98" spans="1:6" x14ac:dyDescent="0.55000000000000004">
      <c r="A98" t="s">
        <v>9</v>
      </c>
      <c r="C98">
        <v>9.75</v>
      </c>
      <c r="D98">
        <v>4.2541424332344215</v>
      </c>
      <c r="F98">
        <v>0.50696848739495803</v>
      </c>
    </row>
    <row r="99" spans="1:6" x14ac:dyDescent="0.55000000000000004">
      <c r="A99" t="s">
        <v>176</v>
      </c>
      <c r="C99">
        <v>8.74</v>
      </c>
      <c r="D99" s="25">
        <v>2.8368146352308456</v>
      </c>
      <c r="F99">
        <v>0.45034789915966389</v>
      </c>
    </row>
    <row r="100" spans="1:6" x14ac:dyDescent="0.55000000000000004">
      <c r="A100" t="s">
        <v>170</v>
      </c>
      <c r="B100">
        <v>4.34</v>
      </c>
      <c r="C100">
        <v>6.8</v>
      </c>
      <c r="D100">
        <v>3.7035557658362612</v>
      </c>
      <c r="E100">
        <v>3.37</v>
      </c>
      <c r="F100">
        <v>0.34205294117647067</v>
      </c>
    </row>
    <row r="101" spans="1:6" x14ac:dyDescent="0.55000000000000004">
      <c r="A101" t="s">
        <v>174</v>
      </c>
      <c r="C101">
        <v>4.18</v>
      </c>
      <c r="D101">
        <v>1.831319115716616</v>
      </c>
      <c r="E101">
        <v>3.14</v>
      </c>
      <c r="F101">
        <v>0.19537184873949578</v>
      </c>
    </row>
    <row r="102" spans="1:6" x14ac:dyDescent="0.55000000000000004">
      <c r="A102" t="s">
        <v>19</v>
      </c>
      <c r="B102">
        <v>4.2</v>
      </c>
      <c r="C102">
        <v>3.45</v>
      </c>
      <c r="D102">
        <v>1.2081910363899744</v>
      </c>
      <c r="E102">
        <v>3.08</v>
      </c>
      <c r="F102">
        <v>0.1541949579831933</v>
      </c>
    </row>
    <row r="103" spans="1:6" x14ac:dyDescent="0.55000000000000004">
      <c r="A103" t="s">
        <v>111</v>
      </c>
      <c r="B103">
        <v>4.16</v>
      </c>
      <c r="C103">
        <v>3.3</v>
      </c>
      <c r="D103">
        <v>2.2803676708920637</v>
      </c>
      <c r="E103">
        <v>3.29</v>
      </c>
      <c r="F103">
        <v>0.1458298319327731</v>
      </c>
    </row>
    <row r="104" spans="1:6" x14ac:dyDescent="0.55000000000000004">
      <c r="A104" t="s">
        <v>189</v>
      </c>
      <c r="B104">
        <v>3.4</v>
      </c>
      <c r="C104">
        <v>9.27</v>
      </c>
      <c r="D104">
        <v>6.8029784449423945</v>
      </c>
      <c r="E104">
        <v>2.89</v>
      </c>
      <c r="F104">
        <v>0.4804865546218488</v>
      </c>
    </row>
    <row r="108" spans="1:6" x14ac:dyDescent="0.55000000000000004">
      <c r="A108" t="s">
        <v>67</v>
      </c>
      <c r="B108">
        <v>4.18</v>
      </c>
      <c r="E108">
        <v>3.28</v>
      </c>
    </row>
    <row r="109" spans="1:6" x14ac:dyDescent="0.55000000000000004">
      <c r="A109" t="s">
        <v>155</v>
      </c>
      <c r="B109" s="30"/>
      <c r="C109">
        <v>35.909999999999997</v>
      </c>
      <c r="D109" s="30"/>
      <c r="E109">
        <v>2</v>
      </c>
    </row>
    <row r="110" spans="1:6" x14ac:dyDescent="0.55000000000000004">
      <c r="A110" t="s">
        <v>156</v>
      </c>
      <c r="B110" s="30"/>
      <c r="C110">
        <v>12.27</v>
      </c>
      <c r="D110" s="30"/>
      <c r="E110">
        <v>3</v>
      </c>
    </row>
    <row r="111" spans="1:6" x14ac:dyDescent="0.55000000000000004">
      <c r="A111" t="s">
        <v>154</v>
      </c>
      <c r="B111" s="30"/>
      <c r="C111">
        <v>27.46</v>
      </c>
      <c r="D111" s="30"/>
      <c r="E111">
        <v>2.5</v>
      </c>
    </row>
    <row r="114" spans="1:13" x14ac:dyDescent="0.55000000000000004">
      <c r="H114" t="s">
        <v>26</v>
      </c>
      <c r="J114">
        <v>0.7</v>
      </c>
    </row>
    <row r="115" spans="1:13" x14ac:dyDescent="0.55000000000000004">
      <c r="A115" t="s">
        <v>53</v>
      </c>
      <c r="B115">
        <v>1.93</v>
      </c>
      <c r="C115">
        <v>18.649999999999999</v>
      </c>
      <c r="D115">
        <v>16.427803853754938</v>
      </c>
      <c r="E115">
        <v>2.44</v>
      </c>
      <c r="F115">
        <v>1.0058785714285716</v>
      </c>
      <c r="H115" t="s">
        <v>172</v>
      </c>
      <c r="I115">
        <v>1.88</v>
      </c>
      <c r="J115">
        <v>12.49</v>
      </c>
      <c r="K115">
        <v>5.7449647183189496</v>
      </c>
      <c r="L115">
        <v>2.39</v>
      </c>
      <c r="M115">
        <v>0.6606757703081233</v>
      </c>
    </row>
    <row r="116" spans="1:13" x14ac:dyDescent="0.55000000000000004">
      <c r="A116" t="s">
        <v>54</v>
      </c>
      <c r="B116">
        <v>3.03</v>
      </c>
      <c r="C116">
        <v>10.52</v>
      </c>
      <c r="D116">
        <v>8.6515001387182444</v>
      </c>
      <c r="E116">
        <v>2.76</v>
      </c>
      <c r="F116">
        <v>0.55030084033613447</v>
      </c>
      <c r="H116" t="s">
        <v>53</v>
      </c>
      <c r="I116">
        <v>1.93</v>
      </c>
      <c r="J116">
        <v>18.649999999999999</v>
      </c>
      <c r="K116">
        <v>16.427803853754938</v>
      </c>
      <c r="L116">
        <v>2.44</v>
      </c>
      <c r="M116">
        <v>1.0058785714285716</v>
      </c>
    </row>
    <row r="117" spans="1:13" x14ac:dyDescent="0.55000000000000004">
      <c r="A117" t="s">
        <v>189</v>
      </c>
      <c r="B117">
        <v>3.4</v>
      </c>
      <c r="C117">
        <v>9.27</v>
      </c>
      <c r="D117">
        <v>6.8029784449423945</v>
      </c>
      <c r="E117">
        <v>2.89</v>
      </c>
      <c r="F117">
        <v>0.4804865546218488</v>
      </c>
      <c r="H117" t="s">
        <v>171</v>
      </c>
      <c r="I117">
        <v>2.11</v>
      </c>
      <c r="J117">
        <v>15.65</v>
      </c>
      <c r="K117">
        <v>7.3450547696237338</v>
      </c>
      <c r="L117">
        <v>2.44</v>
      </c>
      <c r="M117">
        <v>0.83770658263305331</v>
      </c>
    </row>
    <row r="118" spans="1:13" x14ac:dyDescent="0.55000000000000004">
      <c r="A118" t="s">
        <v>111</v>
      </c>
      <c r="B118">
        <v>4.16</v>
      </c>
      <c r="C118">
        <v>3.3</v>
      </c>
      <c r="D118">
        <v>2.2803676708920637</v>
      </c>
      <c r="E118">
        <v>3.29</v>
      </c>
      <c r="F118">
        <v>0.1458298319327731</v>
      </c>
      <c r="H118" t="s">
        <v>40</v>
      </c>
      <c r="I118">
        <v>1.92</v>
      </c>
      <c r="J118">
        <v>11.53</v>
      </c>
      <c r="K118">
        <v>9.1956023528812612</v>
      </c>
      <c r="L118">
        <v>2.5299999999999998</v>
      </c>
      <c r="M118">
        <v>0.60692521008403366</v>
      </c>
    </row>
    <row r="119" spans="1:13" ht="90" x14ac:dyDescent="0.55000000000000004">
      <c r="A119" s="33" t="s">
        <v>181</v>
      </c>
      <c r="B119">
        <v>4.34</v>
      </c>
      <c r="C119">
        <v>6.8</v>
      </c>
      <c r="D119">
        <v>3.7035557658362612</v>
      </c>
      <c r="E119">
        <v>3.37</v>
      </c>
      <c r="F119">
        <v>0.34205294117647067</v>
      </c>
      <c r="H119" s="33" t="s">
        <v>252</v>
      </c>
      <c r="I119">
        <v>2.38</v>
      </c>
      <c r="J119">
        <v>12.66</v>
      </c>
      <c r="L119">
        <v>2.56</v>
      </c>
      <c r="M119">
        <v>0.67108999999999996</v>
      </c>
    </row>
    <row r="120" spans="1:13" ht="36" x14ac:dyDescent="0.55000000000000004">
      <c r="A120" t="s">
        <v>10</v>
      </c>
      <c r="B120">
        <v>2.98</v>
      </c>
      <c r="C120">
        <v>13.32</v>
      </c>
      <c r="D120">
        <v>8.0126517930399004</v>
      </c>
      <c r="E120">
        <v>2.73</v>
      </c>
      <c r="F120">
        <v>0.70725252100840341</v>
      </c>
      <c r="H120" s="33" t="s">
        <v>249</v>
      </c>
      <c r="I120">
        <v>2.81</v>
      </c>
      <c r="J120">
        <v>10.76</v>
      </c>
      <c r="K120">
        <v>4.916980523762768</v>
      </c>
      <c r="L120">
        <v>2.64</v>
      </c>
      <c r="M120">
        <v>0.56389915966386561</v>
      </c>
    </row>
    <row r="121" spans="1:13" x14ac:dyDescent="0.55000000000000004">
      <c r="A121" t="s">
        <v>40</v>
      </c>
      <c r="B121">
        <v>1.92</v>
      </c>
      <c r="C121">
        <v>11.53</v>
      </c>
      <c r="D121">
        <v>9.1956023528812612</v>
      </c>
      <c r="E121">
        <v>2.5299999999999998</v>
      </c>
      <c r="F121">
        <v>0.60692521008403366</v>
      </c>
      <c r="H121" t="s">
        <v>10</v>
      </c>
      <c r="I121">
        <v>2.98</v>
      </c>
      <c r="J121">
        <v>13.32</v>
      </c>
      <c r="K121">
        <v>8.0126517930399004</v>
      </c>
      <c r="L121">
        <v>2.73</v>
      </c>
      <c r="M121">
        <v>0.70725252100840341</v>
      </c>
    </row>
    <row r="122" spans="1:13" ht="72" x14ac:dyDescent="0.55000000000000004">
      <c r="A122" s="33" t="s">
        <v>183</v>
      </c>
      <c r="B122">
        <v>2.95</v>
      </c>
      <c r="C122">
        <v>11.8</v>
      </c>
      <c r="D122">
        <v>5.3459331721786691</v>
      </c>
      <c r="F122">
        <v>0.62194915966386555</v>
      </c>
      <c r="H122" s="33" t="s">
        <v>250</v>
      </c>
      <c r="I122">
        <v>3.13</v>
      </c>
      <c r="J122">
        <v>13.29</v>
      </c>
      <c r="L122">
        <v>2.75</v>
      </c>
      <c r="M122">
        <v>0.7054936974789916</v>
      </c>
    </row>
    <row r="123" spans="1:13" x14ac:dyDescent="0.55000000000000004">
      <c r="A123" t="s">
        <v>171</v>
      </c>
      <c r="B123">
        <v>2.11</v>
      </c>
      <c r="C123">
        <v>15.65</v>
      </c>
      <c r="D123">
        <v>7.3450547696237338</v>
      </c>
      <c r="E123">
        <v>2.44</v>
      </c>
      <c r="F123">
        <v>0.83770658263305331</v>
      </c>
      <c r="H123" s="33" t="s">
        <v>267</v>
      </c>
      <c r="J123">
        <v>8.9499999999999993</v>
      </c>
    </row>
    <row r="124" spans="1:13" x14ac:dyDescent="0.55000000000000004">
      <c r="A124" t="s">
        <v>172</v>
      </c>
      <c r="B124">
        <v>1.88</v>
      </c>
      <c r="C124">
        <v>12.49</v>
      </c>
      <c r="D124">
        <v>5.7449647183189496</v>
      </c>
      <c r="E124">
        <v>2.39</v>
      </c>
      <c r="F124">
        <v>0.6606757703081233</v>
      </c>
      <c r="H124" t="s">
        <v>54</v>
      </c>
      <c r="I124">
        <v>3.03</v>
      </c>
      <c r="J124">
        <v>10.52</v>
      </c>
      <c r="K124">
        <v>8.6515001387182444</v>
      </c>
      <c r="L124">
        <v>2.76</v>
      </c>
      <c r="M124">
        <v>0.55030084033613447</v>
      </c>
    </row>
    <row r="125" spans="1:13" ht="54" x14ac:dyDescent="0.55000000000000004">
      <c r="A125" s="33" t="s">
        <v>182</v>
      </c>
      <c r="B125">
        <v>2.81</v>
      </c>
      <c r="C125">
        <v>10.76</v>
      </c>
      <c r="D125">
        <v>4.916980523762768</v>
      </c>
      <c r="E125">
        <v>2.64</v>
      </c>
      <c r="F125">
        <v>0.56389915966386561</v>
      </c>
      <c r="H125" t="s">
        <v>195</v>
      </c>
      <c r="I125">
        <v>3.4</v>
      </c>
      <c r="J125">
        <v>9.27</v>
      </c>
      <c r="K125">
        <v>6.8029784449423945</v>
      </c>
      <c r="L125">
        <v>2.89</v>
      </c>
      <c r="M125">
        <v>0.4804865546218488</v>
      </c>
    </row>
    <row r="126" spans="1:13" x14ac:dyDescent="0.55000000000000004">
      <c r="A126" t="s">
        <v>19</v>
      </c>
      <c r="B126">
        <v>4.2</v>
      </c>
      <c r="C126">
        <v>3.45</v>
      </c>
      <c r="D126">
        <v>1.2081910363899744</v>
      </c>
      <c r="E126">
        <v>3.08</v>
      </c>
      <c r="F126">
        <v>0.1541949579831933</v>
      </c>
      <c r="H126" t="s">
        <v>19</v>
      </c>
      <c r="I126">
        <v>4.2</v>
      </c>
      <c r="J126">
        <v>3.45</v>
      </c>
      <c r="K126">
        <v>1.2081910363899744</v>
      </c>
      <c r="L126">
        <v>3.08</v>
      </c>
      <c r="M126">
        <v>0.1541949579831933</v>
      </c>
    </row>
    <row r="127" spans="1:13" x14ac:dyDescent="0.55000000000000004">
      <c r="A127" t="s">
        <v>175</v>
      </c>
      <c r="C127">
        <v>11.82</v>
      </c>
      <c r="D127">
        <v>5.409977354025723</v>
      </c>
      <c r="F127">
        <v>0.62044033613445382</v>
      </c>
      <c r="H127" t="s">
        <v>174</v>
      </c>
      <c r="J127">
        <v>4.18</v>
      </c>
      <c r="K127">
        <v>1.831319115716616</v>
      </c>
      <c r="L127">
        <v>3.14</v>
      </c>
      <c r="M127">
        <v>0.19537184873949578</v>
      </c>
    </row>
    <row r="128" spans="1:13" x14ac:dyDescent="0.55000000000000004">
      <c r="A128" t="s">
        <v>176</v>
      </c>
      <c r="C128">
        <v>8.74</v>
      </c>
      <c r="D128" s="25">
        <v>2.8368146352308456</v>
      </c>
      <c r="F128">
        <v>0.45034789915966389</v>
      </c>
      <c r="H128" t="s">
        <v>111</v>
      </c>
      <c r="I128">
        <v>4.16</v>
      </c>
      <c r="J128">
        <v>3.3</v>
      </c>
      <c r="K128">
        <v>2.2803676708920637</v>
      </c>
      <c r="L128">
        <v>3.29</v>
      </c>
      <c r="M128">
        <v>0.1458298319327731</v>
      </c>
    </row>
    <row r="129" spans="1:21" ht="54" x14ac:dyDescent="0.55000000000000004">
      <c r="A129" t="s">
        <v>174</v>
      </c>
      <c r="C129">
        <v>4.18</v>
      </c>
      <c r="D129">
        <v>1.831319115716616</v>
      </c>
      <c r="E129">
        <v>3.14</v>
      </c>
      <c r="F129">
        <v>0.19537184873949578</v>
      </c>
      <c r="H129" s="33" t="s">
        <v>181</v>
      </c>
      <c r="I129">
        <v>4.34</v>
      </c>
      <c r="J129">
        <v>6.8</v>
      </c>
      <c r="K129">
        <v>3.7035557658362612</v>
      </c>
      <c r="L129">
        <v>3.37</v>
      </c>
      <c r="M129">
        <v>0.34205294117647067</v>
      </c>
    </row>
    <row r="130" spans="1:21" ht="54" x14ac:dyDescent="0.55000000000000004">
      <c r="A130" t="s">
        <v>9</v>
      </c>
      <c r="C130">
        <v>9.75</v>
      </c>
      <c r="D130">
        <v>4.2541424332344215</v>
      </c>
      <c r="F130">
        <v>0.50696848739495803</v>
      </c>
      <c r="H130" s="33" t="s">
        <v>251</v>
      </c>
      <c r="I130">
        <v>2.2000000000000002</v>
      </c>
      <c r="J130">
        <v>17.7</v>
      </c>
      <c r="M130">
        <v>0.95250000000000001</v>
      </c>
    </row>
    <row r="131" spans="1:21" x14ac:dyDescent="0.55000000000000004">
      <c r="H131" t="s">
        <v>268</v>
      </c>
      <c r="J131">
        <v>13.9</v>
      </c>
    </row>
    <row r="132" spans="1:21" x14ac:dyDescent="0.55000000000000004">
      <c r="J132">
        <v>13.55</v>
      </c>
      <c r="K132">
        <v>5.409977354025723</v>
      </c>
      <c r="M132">
        <v>0.62044033613445382</v>
      </c>
    </row>
    <row r="133" spans="1:21" x14ac:dyDescent="0.55000000000000004">
      <c r="I133">
        <v>2.95</v>
      </c>
      <c r="J133">
        <v>13.46</v>
      </c>
      <c r="K133">
        <v>5.3459331721786691</v>
      </c>
      <c r="M133">
        <v>0.62194915966386555</v>
      </c>
    </row>
    <row r="134" spans="1:21" x14ac:dyDescent="0.55000000000000004">
      <c r="J134">
        <v>12.97</v>
      </c>
      <c r="K134">
        <v>4.2541424332344215</v>
      </c>
      <c r="M134">
        <v>0.50696848739495803</v>
      </c>
    </row>
    <row r="135" spans="1:21" x14ac:dyDescent="0.55000000000000004">
      <c r="H135" t="s">
        <v>26</v>
      </c>
      <c r="J135">
        <v>12.8</v>
      </c>
      <c r="K135" s="25">
        <v>2.8368146352308456</v>
      </c>
      <c r="M135">
        <v>0.45034789915966389</v>
      </c>
      <c r="P135" s="33"/>
      <c r="R135">
        <v>11.82</v>
      </c>
      <c r="S135">
        <v>5.409977354025723</v>
      </c>
      <c r="U135">
        <v>0.62044033613445382</v>
      </c>
    </row>
    <row r="136" spans="1:21" x14ac:dyDescent="0.55000000000000004">
      <c r="H136" t="s">
        <v>172</v>
      </c>
      <c r="J136">
        <v>11.82</v>
      </c>
      <c r="Q136">
        <v>2.95</v>
      </c>
      <c r="R136">
        <v>11.8</v>
      </c>
      <c r="S136">
        <v>5.3459331721786691</v>
      </c>
      <c r="U136">
        <v>0.62194915966386555</v>
      </c>
    </row>
    <row r="137" spans="1:21" x14ac:dyDescent="0.55000000000000004">
      <c r="H137" t="s">
        <v>53</v>
      </c>
      <c r="J137">
        <v>11.8</v>
      </c>
      <c r="R137">
        <v>9.75</v>
      </c>
      <c r="S137">
        <v>4.2541424332344215</v>
      </c>
      <c r="U137">
        <v>0.50696848739495803</v>
      </c>
    </row>
    <row r="138" spans="1:21" x14ac:dyDescent="0.55000000000000004">
      <c r="B138" t="s">
        <v>177</v>
      </c>
      <c r="C138" t="s">
        <v>5</v>
      </c>
      <c r="D138" t="s">
        <v>164</v>
      </c>
      <c r="E138" t="s">
        <v>178</v>
      </c>
      <c r="F138" t="s">
        <v>179</v>
      </c>
      <c r="H138" t="s">
        <v>171</v>
      </c>
      <c r="J138">
        <v>9.75</v>
      </c>
      <c r="R138">
        <v>8.74</v>
      </c>
      <c r="S138" s="25">
        <v>2.8368146352308456</v>
      </c>
      <c r="U138">
        <v>0.45034789915966389</v>
      </c>
    </row>
    <row r="139" spans="1:21" x14ac:dyDescent="0.55000000000000004">
      <c r="A139" t="s">
        <v>53</v>
      </c>
      <c r="B139">
        <v>1.93</v>
      </c>
      <c r="C139">
        <v>18.649999999999999</v>
      </c>
      <c r="D139">
        <v>16.427803853754938</v>
      </c>
      <c r="E139">
        <v>2.44</v>
      </c>
      <c r="F139">
        <v>1.0058785714285716</v>
      </c>
      <c r="H139" t="s">
        <v>40</v>
      </c>
      <c r="J139">
        <v>8.74</v>
      </c>
      <c r="M139">
        <v>12.97</v>
      </c>
    </row>
    <row r="140" spans="1:21" x14ac:dyDescent="0.55000000000000004">
      <c r="A140" t="s">
        <v>171</v>
      </c>
      <c r="B140">
        <v>2.11</v>
      </c>
      <c r="C140">
        <v>15.65</v>
      </c>
      <c r="D140">
        <v>7.3450547696237338</v>
      </c>
      <c r="E140">
        <v>2.44</v>
      </c>
      <c r="F140">
        <v>0.83770658263305331</v>
      </c>
      <c r="H140" t="s">
        <v>214</v>
      </c>
      <c r="J140">
        <v>5.7</v>
      </c>
      <c r="M140">
        <v>12.8</v>
      </c>
    </row>
    <row r="141" spans="1:21" x14ac:dyDescent="0.55000000000000004">
      <c r="A141" t="s">
        <v>10</v>
      </c>
      <c r="B141">
        <v>2.98</v>
      </c>
      <c r="C141">
        <v>13.32</v>
      </c>
      <c r="D141">
        <v>8.0126517930399004</v>
      </c>
      <c r="E141">
        <v>2.73</v>
      </c>
      <c r="F141">
        <v>0.70725252100840341</v>
      </c>
      <c r="H141" t="s">
        <v>180</v>
      </c>
      <c r="M141">
        <v>11.82</v>
      </c>
    </row>
    <row r="142" spans="1:21" x14ac:dyDescent="0.55000000000000004">
      <c r="A142" t="s">
        <v>172</v>
      </c>
      <c r="B142">
        <v>1.88</v>
      </c>
      <c r="C142">
        <v>12.49</v>
      </c>
      <c r="D142">
        <v>5.7449647183189496</v>
      </c>
      <c r="E142">
        <v>2.39</v>
      </c>
      <c r="F142">
        <v>0.6606757703081233</v>
      </c>
      <c r="H142" t="s">
        <v>10</v>
      </c>
      <c r="M142">
        <v>11.8</v>
      </c>
    </row>
    <row r="143" spans="1:21" x14ac:dyDescent="0.55000000000000004">
      <c r="H143" t="s">
        <v>248</v>
      </c>
      <c r="M143">
        <v>9.75</v>
      </c>
    </row>
    <row r="144" spans="1:21" x14ac:dyDescent="0.55000000000000004">
      <c r="H144" t="s">
        <v>264</v>
      </c>
      <c r="M144">
        <v>8.74</v>
      </c>
    </row>
    <row r="145" spans="1:17" x14ac:dyDescent="0.55000000000000004">
      <c r="A145" t="s">
        <v>40</v>
      </c>
      <c r="B145">
        <v>1.92</v>
      </c>
      <c r="C145">
        <v>11.53</v>
      </c>
      <c r="D145">
        <v>9.1956023528812612</v>
      </c>
      <c r="E145">
        <v>2.5299999999999998</v>
      </c>
      <c r="F145">
        <v>0.60692521008403366</v>
      </c>
      <c r="H145" t="s">
        <v>54</v>
      </c>
      <c r="M145">
        <v>5.7</v>
      </c>
    </row>
    <row r="146" spans="1:17" x14ac:dyDescent="0.55000000000000004">
      <c r="A146" t="s">
        <v>91</v>
      </c>
      <c r="B146">
        <v>2.81</v>
      </c>
      <c r="C146">
        <v>10.76</v>
      </c>
      <c r="D146">
        <v>4.916980523762768</v>
      </c>
      <c r="E146">
        <v>2.64</v>
      </c>
      <c r="F146">
        <v>0.56389915966386561</v>
      </c>
      <c r="H146" t="s">
        <v>189</v>
      </c>
    </row>
    <row r="147" spans="1:17" x14ac:dyDescent="0.55000000000000004">
      <c r="A147" t="s">
        <v>54</v>
      </c>
      <c r="B147">
        <v>3.03</v>
      </c>
      <c r="C147">
        <v>10.52</v>
      </c>
      <c r="D147">
        <v>8.6515001387182444</v>
      </c>
      <c r="E147">
        <v>2.76</v>
      </c>
      <c r="F147">
        <v>0.55030084033613447</v>
      </c>
      <c r="H147" t="s">
        <v>19</v>
      </c>
    </row>
    <row r="148" spans="1:17" x14ac:dyDescent="0.55000000000000004">
      <c r="H148" t="s">
        <v>173</v>
      </c>
    </row>
    <row r="149" spans="1:17" x14ac:dyDescent="0.55000000000000004">
      <c r="H149" t="s">
        <v>111</v>
      </c>
    </row>
    <row r="150" spans="1:17" x14ac:dyDescent="0.55000000000000004">
      <c r="A150" t="s">
        <v>170</v>
      </c>
      <c r="B150">
        <v>4.34</v>
      </c>
      <c r="C150">
        <v>6.8</v>
      </c>
      <c r="D150">
        <v>3.7035557658362612</v>
      </c>
      <c r="E150">
        <v>3.37</v>
      </c>
      <c r="F150">
        <v>0.34205294117647067</v>
      </c>
      <c r="H150" t="s">
        <v>170</v>
      </c>
    </row>
    <row r="151" spans="1:17" x14ac:dyDescent="0.55000000000000004">
      <c r="A151" t="s">
        <v>173</v>
      </c>
      <c r="C151">
        <v>4.18</v>
      </c>
      <c r="D151">
        <v>1.831319115716616</v>
      </c>
      <c r="E151">
        <v>3.14</v>
      </c>
      <c r="F151">
        <v>0.19537184873949578</v>
      </c>
      <c r="H151" t="s">
        <v>254</v>
      </c>
    </row>
    <row r="152" spans="1:17" x14ac:dyDescent="0.55000000000000004">
      <c r="A152" t="s">
        <v>19</v>
      </c>
      <c r="B152">
        <v>4.2</v>
      </c>
      <c r="C152">
        <v>3.45</v>
      </c>
      <c r="D152">
        <v>1.2081910363899744</v>
      </c>
      <c r="E152">
        <v>3.08</v>
      </c>
      <c r="F152">
        <v>0.1541949579831933</v>
      </c>
      <c r="H152" t="s">
        <v>350</v>
      </c>
      <c r="K152" t="s">
        <v>269</v>
      </c>
    </row>
    <row r="153" spans="1:17" x14ac:dyDescent="0.55000000000000004">
      <c r="A153" t="s">
        <v>111</v>
      </c>
      <c r="B153">
        <v>4.16</v>
      </c>
      <c r="C153">
        <v>3.3</v>
      </c>
      <c r="D153">
        <v>2.2803676708920637</v>
      </c>
      <c r="E153">
        <v>3.29</v>
      </c>
      <c r="F153">
        <v>0.1458298319327731</v>
      </c>
      <c r="H153" t="s">
        <v>352</v>
      </c>
      <c r="K153" t="s">
        <v>175</v>
      </c>
      <c r="N153" t="s">
        <v>275</v>
      </c>
      <c r="Q153" t="s">
        <v>275</v>
      </c>
    </row>
    <row r="154" spans="1:17" x14ac:dyDescent="0.55000000000000004">
      <c r="H154" t="s">
        <v>353</v>
      </c>
      <c r="K154" t="s">
        <v>169</v>
      </c>
      <c r="N154" t="s">
        <v>269</v>
      </c>
      <c r="Q154" t="s">
        <v>269</v>
      </c>
    </row>
    <row r="155" spans="1:17" x14ac:dyDescent="0.55000000000000004">
      <c r="H155" t="s">
        <v>351</v>
      </c>
      <c r="K155" t="s">
        <v>102</v>
      </c>
      <c r="N155" t="s">
        <v>175</v>
      </c>
      <c r="Q155" t="s">
        <v>175</v>
      </c>
    </row>
    <row r="156" spans="1:17" x14ac:dyDescent="0.55000000000000004">
      <c r="B156">
        <v>0</v>
      </c>
      <c r="C156">
        <v>18.7</v>
      </c>
      <c r="D156">
        <v>1.00057</v>
      </c>
      <c r="H156" t="s">
        <v>269</v>
      </c>
      <c r="K156" t="s">
        <v>253</v>
      </c>
      <c r="N156" t="s">
        <v>169</v>
      </c>
      <c r="Q156" t="s">
        <v>169</v>
      </c>
    </row>
    <row r="157" spans="1:17" x14ac:dyDescent="0.55000000000000004">
      <c r="B157">
        <v>5</v>
      </c>
      <c r="C157">
        <v>26.5</v>
      </c>
      <c r="D157">
        <v>1.4227141456582635</v>
      </c>
      <c r="H157" t="s">
        <v>175</v>
      </c>
      <c r="K157" t="s">
        <v>270</v>
      </c>
      <c r="N157" t="s">
        <v>102</v>
      </c>
      <c r="Q157" t="s">
        <v>102</v>
      </c>
    </row>
    <row r="158" spans="1:17" x14ac:dyDescent="0.55000000000000004">
      <c r="B158">
        <v>10</v>
      </c>
      <c r="C158">
        <v>24.1</v>
      </c>
      <c r="D158">
        <v>1.2885271708683472</v>
      </c>
      <c r="H158" t="s">
        <v>169</v>
      </c>
      <c r="N158" t="s">
        <v>253</v>
      </c>
      <c r="Q158" t="s">
        <v>253</v>
      </c>
    </row>
    <row r="159" spans="1:17" x14ac:dyDescent="0.55000000000000004">
      <c r="B159">
        <v>17</v>
      </c>
      <c r="C159">
        <v>21.2</v>
      </c>
      <c r="D159">
        <v>1.1252868347338936</v>
      </c>
      <c r="H159" t="s">
        <v>102</v>
      </c>
      <c r="N159" t="s">
        <v>270</v>
      </c>
      <c r="Q159" t="s">
        <v>270</v>
      </c>
    </row>
    <row r="160" spans="1:17" x14ac:dyDescent="0.55000000000000004">
      <c r="H160" t="s">
        <v>253</v>
      </c>
    </row>
    <row r="161" spans="8:8" x14ac:dyDescent="0.55000000000000004">
      <c r="H161" t="s">
        <v>270</v>
      </c>
    </row>
    <row r="237" spans="4:12" ht="18.5" thickBot="1" x14ac:dyDescent="0.6"/>
    <row r="238" spans="4:12" ht="25.5" thickBot="1" x14ac:dyDescent="0.6">
      <c r="D238" s="67" t="s">
        <v>220</v>
      </c>
      <c r="E238" s="67" t="s">
        <v>221</v>
      </c>
      <c r="F238" s="70" t="s">
        <v>222</v>
      </c>
      <c r="G238" s="70"/>
      <c r="H238" s="70"/>
      <c r="I238" s="70"/>
      <c r="J238" s="70"/>
      <c r="K238" s="70"/>
      <c r="L238" s="70"/>
    </row>
    <row r="239" spans="4:12" ht="23.5" thickBot="1" x14ac:dyDescent="0.6">
      <c r="D239" s="68"/>
      <c r="E239" s="68"/>
      <c r="F239" s="71" t="s">
        <v>223</v>
      </c>
      <c r="G239" s="71"/>
      <c r="H239" s="71"/>
      <c r="I239" s="71"/>
      <c r="J239" s="71"/>
      <c r="K239" s="71"/>
      <c r="L239" s="71"/>
    </row>
    <row r="240" spans="4:12" ht="40.5" thickBot="1" x14ac:dyDescent="0.6">
      <c r="D240" s="69"/>
      <c r="E240" s="69"/>
      <c r="F240" s="38" t="s">
        <v>224</v>
      </c>
      <c r="G240" s="39" t="s">
        <v>225</v>
      </c>
      <c r="H240" s="40" t="s">
        <v>226</v>
      </c>
      <c r="I240" s="41" t="s">
        <v>227</v>
      </c>
      <c r="J240" s="42" t="s">
        <v>228</v>
      </c>
      <c r="K240" s="41" t="s">
        <v>229</v>
      </c>
      <c r="L240" s="41" t="s">
        <v>230</v>
      </c>
    </row>
    <row r="241" spans="4:12" ht="68.5" customHeight="1" x14ac:dyDescent="0.55000000000000004">
      <c r="D241" s="72" t="s">
        <v>231</v>
      </c>
      <c r="E241" s="74">
        <v>59</v>
      </c>
      <c r="F241" s="37">
        <v>36</v>
      </c>
      <c r="G241" s="37">
        <v>0.2</v>
      </c>
      <c r="H241" s="37">
        <v>1.7</v>
      </c>
      <c r="I241" s="37">
        <v>5.8</v>
      </c>
      <c r="J241" s="37">
        <v>2.2000000000000002</v>
      </c>
      <c r="K241" s="37">
        <v>1.7</v>
      </c>
      <c r="L241" s="37">
        <v>12</v>
      </c>
    </row>
    <row r="242" spans="4:12" ht="25.5" thickBot="1" x14ac:dyDescent="0.6">
      <c r="D242" s="73"/>
      <c r="E242" s="75"/>
      <c r="F242" s="44">
        <v>61</v>
      </c>
      <c r="G242" s="45">
        <v>0.3</v>
      </c>
      <c r="H242" s="45">
        <v>2.9</v>
      </c>
      <c r="I242" s="45">
        <v>9.8000000000000007</v>
      </c>
      <c r="J242" s="45">
        <v>3.7</v>
      </c>
      <c r="K242" s="45">
        <v>2.9</v>
      </c>
      <c r="L242" s="45">
        <v>20</v>
      </c>
    </row>
    <row r="243" spans="4:12" ht="23" thickBot="1" x14ac:dyDescent="0.6">
      <c r="D243" s="76" t="s">
        <v>234</v>
      </c>
      <c r="E243" s="78"/>
      <c r="F243" s="46"/>
      <c r="G243" s="46"/>
      <c r="H243" s="46"/>
      <c r="I243" s="46"/>
      <c r="J243" s="46"/>
      <c r="K243" s="46"/>
      <c r="L243" s="46"/>
    </row>
    <row r="244" spans="4:12" ht="23" thickBot="1" x14ac:dyDescent="0.6">
      <c r="D244" s="77"/>
      <c r="E244" s="77"/>
      <c r="F244" s="46"/>
      <c r="G244" s="46"/>
      <c r="H244" s="46"/>
      <c r="I244" s="46"/>
      <c r="J244" s="46"/>
      <c r="K244" s="46"/>
      <c r="L244" s="46"/>
    </row>
    <row r="245" spans="4:12" ht="23" thickBot="1" x14ac:dyDescent="0.6">
      <c r="D245" s="78"/>
      <c r="E245" s="78"/>
      <c r="F245" s="46"/>
      <c r="G245" s="46"/>
      <c r="H245" s="46"/>
      <c r="I245" s="46"/>
      <c r="J245" s="46"/>
      <c r="K245" s="46"/>
      <c r="L245" s="46"/>
    </row>
    <row r="246" spans="4:12" ht="23" thickBot="1" x14ac:dyDescent="0.6">
      <c r="D246" s="77"/>
      <c r="E246" s="77"/>
      <c r="F246" s="46"/>
      <c r="G246" s="46"/>
      <c r="H246" s="46"/>
      <c r="I246" s="46"/>
      <c r="J246" s="46"/>
      <c r="K246" s="46"/>
      <c r="L246" s="46"/>
    </row>
    <row r="247" spans="4:12" ht="23" thickBot="1" x14ac:dyDescent="0.6">
      <c r="D247" s="78"/>
      <c r="E247" s="78"/>
      <c r="F247" s="46"/>
      <c r="G247" s="46"/>
      <c r="H247" s="46"/>
      <c r="I247" s="46"/>
      <c r="J247" s="46"/>
      <c r="K247" s="46"/>
      <c r="L247" s="46"/>
    </row>
    <row r="248" spans="4:12" ht="23" thickBot="1" x14ac:dyDescent="0.6">
      <c r="D248" s="77"/>
      <c r="E248" s="77"/>
      <c r="F248" s="46"/>
      <c r="G248" s="46"/>
      <c r="H248" s="46"/>
      <c r="I248" s="46"/>
      <c r="J248" s="46"/>
      <c r="K248" s="46"/>
      <c r="L248" s="46"/>
    </row>
    <row r="249" spans="4:12" ht="23" thickBot="1" x14ac:dyDescent="0.6">
      <c r="D249" s="78"/>
      <c r="E249" s="78"/>
      <c r="F249" s="46"/>
      <c r="G249" s="46"/>
      <c r="H249" s="46"/>
      <c r="I249" s="46"/>
      <c r="J249" s="46"/>
      <c r="K249" s="46"/>
      <c r="L249" s="46"/>
    </row>
    <row r="250" spans="4:12" ht="23" thickBot="1" x14ac:dyDescent="0.6">
      <c r="D250" s="77"/>
      <c r="E250" s="77"/>
      <c r="F250" s="46"/>
      <c r="G250" s="46"/>
      <c r="H250" s="46"/>
      <c r="I250" s="46"/>
      <c r="J250" s="46"/>
      <c r="K250" s="46"/>
      <c r="L250" s="46"/>
    </row>
    <row r="251" spans="4:12" ht="23" thickBot="1" x14ac:dyDescent="0.6">
      <c r="D251" s="78"/>
      <c r="E251" s="78"/>
      <c r="F251" s="46"/>
      <c r="G251" s="46"/>
      <c r="H251" s="46"/>
      <c r="I251" s="46"/>
      <c r="J251" s="46"/>
      <c r="K251" s="46"/>
      <c r="L251" s="46"/>
    </row>
    <row r="252" spans="4:12" ht="23" thickBot="1" x14ac:dyDescent="0.6">
      <c r="D252" s="77"/>
      <c r="E252" s="77"/>
      <c r="F252" s="46"/>
      <c r="G252" s="46"/>
      <c r="H252" s="46"/>
      <c r="I252" s="46"/>
      <c r="J252" s="46"/>
      <c r="K252" s="46"/>
      <c r="L252" s="46"/>
    </row>
    <row r="253" spans="4:12" ht="25" x14ac:dyDescent="0.55000000000000004">
      <c r="D253" s="43" t="s">
        <v>232</v>
      </c>
      <c r="E253" s="74">
        <v>85</v>
      </c>
      <c r="F253" s="37">
        <v>36</v>
      </c>
      <c r="G253" s="37">
        <v>0.2</v>
      </c>
      <c r="H253" s="37">
        <v>1.4</v>
      </c>
      <c r="I253" s="37">
        <v>8.6</v>
      </c>
      <c r="J253" s="37">
        <v>3.2</v>
      </c>
      <c r="K253" s="37">
        <v>2.9</v>
      </c>
      <c r="L253" s="37">
        <v>33</v>
      </c>
    </row>
    <row r="254" spans="4:12" ht="47.5" thickBot="1" x14ac:dyDescent="0.6">
      <c r="D254" s="47" t="s">
        <v>233</v>
      </c>
      <c r="E254" s="75"/>
      <c r="F254" s="44">
        <v>42</v>
      </c>
      <c r="G254" s="45">
        <v>0.2</v>
      </c>
      <c r="H254" s="45">
        <v>1.6</v>
      </c>
      <c r="I254" s="45">
        <v>10</v>
      </c>
      <c r="J254" s="45">
        <v>3.8</v>
      </c>
      <c r="K254" s="45">
        <v>3.4</v>
      </c>
      <c r="L254" s="45">
        <v>39</v>
      </c>
    </row>
    <row r="257" spans="1:6" x14ac:dyDescent="0.55000000000000004">
      <c r="A257" t="s">
        <v>10</v>
      </c>
      <c r="B257">
        <v>2.98</v>
      </c>
      <c r="C257">
        <v>13.32</v>
      </c>
      <c r="D257">
        <v>8.0126517930399004</v>
      </c>
      <c r="E257">
        <v>2.73</v>
      </c>
      <c r="F257">
        <v>0.70725252100840341</v>
      </c>
    </row>
    <row r="258" spans="1:6" x14ac:dyDescent="0.55000000000000004">
      <c r="A258" t="s">
        <v>248</v>
      </c>
      <c r="B258">
        <v>3.13</v>
      </c>
      <c r="C258">
        <v>13.29</v>
      </c>
      <c r="E258">
        <v>2.75</v>
      </c>
      <c r="F258">
        <v>0.7054936974789916</v>
      </c>
    </row>
    <row r="259" spans="1:6" x14ac:dyDescent="0.55000000000000004">
      <c r="A259" t="s">
        <v>260</v>
      </c>
      <c r="C259">
        <v>8.9499999999999993</v>
      </c>
      <c r="E259">
        <v>2.76</v>
      </c>
    </row>
    <row r="260" spans="1:6" x14ac:dyDescent="0.55000000000000004">
      <c r="A260" t="s">
        <v>261</v>
      </c>
      <c r="C260">
        <v>5.41</v>
      </c>
    </row>
    <row r="261" spans="1:6" x14ac:dyDescent="0.55000000000000004">
      <c r="A261" t="s">
        <v>262</v>
      </c>
      <c r="C261">
        <v>12.83</v>
      </c>
    </row>
    <row r="262" spans="1:6" ht="72" x14ac:dyDescent="0.55000000000000004">
      <c r="A262" s="33" t="s">
        <v>255</v>
      </c>
      <c r="B262">
        <v>2.2000000000000002</v>
      </c>
      <c r="C262">
        <v>17.690000000000001</v>
      </c>
      <c r="F262">
        <v>0.9518974789915966</v>
      </c>
    </row>
    <row r="263" spans="1:6" x14ac:dyDescent="0.55000000000000004">
      <c r="A263" t="s">
        <v>53</v>
      </c>
      <c r="B263">
        <v>1.93</v>
      </c>
      <c r="C263">
        <v>18.649999999999999</v>
      </c>
      <c r="D263">
        <v>16.427803853754938</v>
      </c>
      <c r="E263">
        <v>2.44</v>
      </c>
      <c r="F263">
        <v>1.0058785714285716</v>
      </c>
    </row>
    <row r="381" spans="2:4" x14ac:dyDescent="0.55000000000000004">
      <c r="B381" t="s">
        <v>279</v>
      </c>
      <c r="C381">
        <v>2.6</v>
      </c>
      <c r="D381">
        <v>13.28</v>
      </c>
    </row>
    <row r="382" spans="2:4" x14ac:dyDescent="0.55000000000000004">
      <c r="B382" t="s">
        <v>281</v>
      </c>
      <c r="C382">
        <v>2.6</v>
      </c>
      <c r="D382">
        <v>9.1199999999999992</v>
      </c>
    </row>
    <row r="383" spans="2:4" x14ac:dyDescent="0.55000000000000004">
      <c r="B383" t="s">
        <v>280</v>
      </c>
      <c r="C383">
        <v>2.2000000000000002</v>
      </c>
      <c r="D383">
        <v>30.6</v>
      </c>
    </row>
    <row r="384" spans="2:4" x14ac:dyDescent="0.55000000000000004">
      <c r="B384" t="s">
        <v>282</v>
      </c>
      <c r="C384">
        <v>2.2000000000000002</v>
      </c>
      <c r="D384">
        <v>28.62</v>
      </c>
    </row>
    <row r="385" spans="2:4" x14ac:dyDescent="0.55000000000000004">
      <c r="B385" t="s">
        <v>283</v>
      </c>
      <c r="C385">
        <v>2.2000000000000002</v>
      </c>
      <c r="D385">
        <v>22.15</v>
      </c>
    </row>
    <row r="386" spans="2:4" x14ac:dyDescent="0.55000000000000004">
      <c r="B386" s="51" t="s">
        <v>284</v>
      </c>
      <c r="C386">
        <v>2.2000000000000002</v>
      </c>
      <c r="D386">
        <v>30.65</v>
      </c>
    </row>
    <row r="387" spans="2:4" x14ac:dyDescent="0.55000000000000004">
      <c r="B387" s="51" t="s">
        <v>285</v>
      </c>
      <c r="C387">
        <v>2.2000000000000002</v>
      </c>
      <c r="D387">
        <v>27.87</v>
      </c>
    </row>
    <row r="388" spans="2:4" x14ac:dyDescent="0.55000000000000004">
      <c r="B388" s="51" t="s">
        <v>286</v>
      </c>
      <c r="C388">
        <v>2.2000000000000002</v>
      </c>
      <c r="D388">
        <v>26.67</v>
      </c>
    </row>
  </sheetData>
  <sortState xmlns:xlrd2="http://schemas.microsoft.com/office/spreadsheetml/2017/richdata2" ref="A89:F103">
    <sortCondition descending="1" ref="C89:C103"/>
  </sortState>
  <mergeCells count="17">
    <mergeCell ref="E251:E252"/>
    <mergeCell ref="E253:E254"/>
    <mergeCell ref="D243:D244"/>
    <mergeCell ref="D245:D246"/>
    <mergeCell ref="D247:D248"/>
    <mergeCell ref="D249:D250"/>
    <mergeCell ref="D251:D252"/>
    <mergeCell ref="E243:E244"/>
    <mergeCell ref="E245:E246"/>
    <mergeCell ref="E247:E248"/>
    <mergeCell ref="E249:E250"/>
    <mergeCell ref="D238:D240"/>
    <mergeCell ref="E238:E240"/>
    <mergeCell ref="F238:L238"/>
    <mergeCell ref="F239:L239"/>
    <mergeCell ref="D241:D242"/>
    <mergeCell ref="E241:E24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キャリブレーション</vt:lpstr>
      <vt:lpstr>計算</vt:lpstr>
      <vt:lpstr>計算 (2)</vt:lpstr>
      <vt:lpstr>計算 (3)</vt:lpstr>
      <vt:lpstr>計算 (4)</vt:lpstr>
      <vt:lpstr>データベース pH</vt:lpstr>
      <vt:lpstr>○</vt:lpstr>
      <vt:lpstr>データベース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五十嵐 翔也</dc:creator>
  <cp:lastModifiedBy>菊地 杏丸 / KYOMARU KIKUCHI</cp:lastModifiedBy>
  <dcterms:created xsi:type="dcterms:W3CDTF">2023-09-22T03:32:01Z</dcterms:created>
  <dcterms:modified xsi:type="dcterms:W3CDTF">2025-12-16T14:06:52Z</dcterms:modified>
</cp:coreProperties>
</file>