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irweston/Documents/PhD_Basic_Medical_Biosciences/Dynamics_Backup/Year_2/Saturation_Mutagenesis/IL-36RA/"/>
    </mc:Choice>
  </mc:AlternateContent>
  <xr:revisionPtr revIDLastSave="0" documentId="8_{C76ADDBC-F373-0145-9113-14548C340F0B}" xr6:coauthVersionLast="46" xr6:coauthVersionMax="46" xr10:uidLastSave="{00000000-0000-0000-0000-000000000000}"/>
  <bookViews>
    <workbookView xWindow="0" yWindow="460" windowWidth="28800" windowHeight="16400" activeTab="2" xr2:uid="{96BE5FF5-D364-604F-9AE3-D022DF5458E9}"/>
  </bookViews>
  <sheets>
    <sheet name="Summary Table" sheetId="2" r:id="rId1"/>
    <sheet name="Collated Table" sheetId="1" r:id="rId2"/>
    <sheet name="Pivot" sheetId="3" r:id="rId3"/>
  </sheets>
  <calcPr calcId="18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2" i="1" l="1"/>
  <c r="S12" i="1"/>
  <c r="T12" i="1"/>
  <c r="U12" i="1"/>
  <c r="R13" i="1"/>
  <c r="S13" i="1"/>
  <c r="T13" i="1"/>
  <c r="U13" i="1"/>
  <c r="U11" i="1"/>
  <c r="T11" i="1"/>
  <c r="S11" i="1"/>
  <c r="R11" i="1"/>
  <c r="Q13" i="1"/>
  <c r="Q12" i="1"/>
  <c r="Q11" i="1"/>
  <c r="Q9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Q10" i="1"/>
  <c r="S3" i="1"/>
  <c r="A5" i="1"/>
  <c r="R10" i="1"/>
  <c r="A4" i="1"/>
  <c r="S4" i="1" l="1"/>
  <c r="S8" i="1"/>
  <c r="S10" i="1"/>
  <c r="P3" i="1"/>
  <c r="T4" i="1"/>
  <c r="U4" i="1" s="1"/>
  <c r="P5" i="1"/>
  <c r="P7" i="1"/>
  <c r="T8" i="1"/>
  <c r="U8" i="1" s="1"/>
  <c r="P9" i="1"/>
  <c r="T10" i="1"/>
  <c r="X9" i="1"/>
  <c r="W9" i="1"/>
  <c r="Q3" i="1"/>
  <c r="Q5" i="1"/>
  <c r="Q7" i="1"/>
  <c r="U10" i="1"/>
  <c r="V9" i="1"/>
  <c r="R3" i="1"/>
  <c r="R5" i="1"/>
  <c r="R7" i="1"/>
  <c r="R9" i="1"/>
  <c r="S5" i="1"/>
  <c r="S7" i="1"/>
  <c r="S9" i="1"/>
  <c r="T3" i="1"/>
  <c r="P4" i="1"/>
  <c r="X8" i="1"/>
  <c r="T5" i="1"/>
  <c r="U5" i="1" s="1"/>
  <c r="X3" i="1"/>
  <c r="T7" i="1"/>
  <c r="U7" i="1" s="1"/>
  <c r="P8" i="1"/>
  <c r="T9" i="1"/>
  <c r="U9" i="1" s="1"/>
  <c r="P10" i="1"/>
  <c r="V3" i="1"/>
  <c r="W7" i="1"/>
  <c r="V7" i="1"/>
  <c r="U3" i="1"/>
  <c r="Q4" i="1"/>
  <c r="Q8" i="1"/>
  <c r="R4" i="1"/>
  <c r="R8" i="1"/>
  <c r="V4" i="1"/>
  <c r="W8" i="1"/>
  <c r="S6" i="1" l="1"/>
  <c r="W4" i="1"/>
  <c r="X5" i="1"/>
  <c r="V5" i="1"/>
  <c r="V6" i="1" s="1"/>
  <c r="W5" i="1"/>
  <c r="W3" i="1"/>
  <c r="W6" i="1" s="1"/>
  <c r="X10" i="1"/>
  <c r="W10" i="1"/>
  <c r="P13" i="1"/>
  <c r="V10" i="1"/>
  <c r="P12" i="1"/>
  <c r="P11" i="1"/>
  <c r="X4" i="1"/>
  <c r="X6" i="1" s="1"/>
  <c r="R6" i="1"/>
  <c r="Q6" i="1"/>
  <c r="X7" i="1"/>
  <c r="P6" i="1"/>
  <c r="T6" i="1"/>
  <c r="V8" i="1"/>
  <c r="U6" i="1"/>
</calcChain>
</file>

<file path=xl/sharedStrings.xml><?xml version="1.0" encoding="utf-8"?>
<sst xmlns="http://schemas.openxmlformats.org/spreadsheetml/2006/main" count="727" uniqueCount="163">
  <si>
    <t>gnomAD v2.1.1</t>
  </si>
  <si>
    <t>gnomAD v3.1</t>
  </si>
  <si>
    <t>ClinVar</t>
  </si>
  <si>
    <t>POPSCOMP</t>
  </si>
  <si>
    <t>gnomAD</t>
  </si>
  <si>
    <t>Benign</t>
  </si>
  <si>
    <t>Uncertain</t>
  </si>
  <si>
    <t>Conflicting</t>
  </si>
  <si>
    <t>Pathogenic</t>
  </si>
  <si>
    <t>Interface</t>
  </si>
  <si>
    <t>Surface</t>
  </si>
  <si>
    <t>Core</t>
  </si>
  <si>
    <t>Row Labels</t>
  </si>
  <si>
    <t>Allele Frequency</t>
  </si>
  <si>
    <t>Allele Count</t>
  </si>
  <si>
    <t>Rarity</t>
  </si>
  <si>
    <t>Present</t>
  </si>
  <si>
    <t>Consequence</t>
  </si>
  <si>
    <t>𝛥SASA</t>
  </si>
  <si>
    <t>Q(SASA)</t>
  </si>
  <si>
    <t>Category</t>
  </si>
  <si>
    <t>Rare</t>
  </si>
  <si>
    <t>p.Val2Phe</t>
  </si>
  <si>
    <t>Common</t>
  </si>
  <si>
    <t>p.Leu3Pro</t>
  </si>
  <si>
    <t>Common/Rare</t>
  </si>
  <si>
    <t>p.Ala6Thr</t>
  </si>
  <si>
    <t>&gt; Subtotal</t>
  </si>
  <si>
    <t>p.Ala6Val</t>
  </si>
  <si>
    <t>Not Present (v2)</t>
  </si>
  <si>
    <t>p.Cys8Arg</t>
  </si>
  <si>
    <t>Not Present (v3)</t>
  </si>
  <si>
    <t>p.Arg10Gln</t>
  </si>
  <si>
    <t>Not Present</t>
  </si>
  <si>
    <t>p.Ser14Leu</t>
  </si>
  <si>
    <t>&gt; Total</t>
  </si>
  <si>
    <t>p.Ala15Thr</t>
  </si>
  <si>
    <t>p.Ala15Val</t>
  </si>
  <si>
    <t>p.Val18Leu</t>
  </si>
  <si>
    <t>p.Val18Met</t>
  </si>
  <si>
    <t>p.Leu21Pro</t>
  </si>
  <si>
    <t>p.His22Asn</t>
  </si>
  <si>
    <t>p.Leu26Phe</t>
  </si>
  <si>
    <t>p.Leu27Pro</t>
  </si>
  <si>
    <t>p.Gly30Arg</t>
  </si>
  <si>
    <t>p.Leu31Arg</t>
  </si>
  <si>
    <t>p.Leu31Met</t>
  </si>
  <si>
    <t>p.Gly34Ala</t>
  </si>
  <si>
    <t>p.Gly34Arg</t>
  </si>
  <si>
    <t>p.Lys35Arg</t>
  </si>
  <si>
    <t>p.Gly39Ser</t>
  </si>
  <si>
    <t>p.Glu41Gln</t>
  </si>
  <si>
    <t>p.Ile42Asn</t>
  </si>
  <si>
    <t>p.Ser43Arg</t>
  </si>
  <si>
    <t>p.Val44Leu</t>
  </si>
  <si>
    <t>p.Val44Met</t>
  </si>
  <si>
    <t>p.Val45Ala</t>
  </si>
  <si>
    <t>p.Val45Phe</t>
  </si>
  <si>
    <t>p.Pro46Leu</t>
  </si>
  <si>
    <t>p.Pro46Ser</t>
  </si>
  <si>
    <t>p.Asn47Asp</t>
  </si>
  <si>
    <t>p.Asn47Ile</t>
  </si>
  <si>
    <t>p.Asn47Ser</t>
  </si>
  <si>
    <t>p.Asn47Thr</t>
  </si>
  <si>
    <t>p.Arg48Gln</t>
  </si>
  <si>
    <t>p.Arg48Trp</t>
  </si>
  <si>
    <t>p.Asp51Glu</t>
  </si>
  <si>
    <t>p.Ala52Thr</t>
  </si>
  <si>
    <t>p.Ser53Arg</t>
  </si>
  <si>
    <t>p.Leu54Met</t>
  </si>
  <si>
    <t>p.Ser55Phe</t>
  </si>
  <si>
    <t>p.Pro56His</t>
  </si>
  <si>
    <t>p.Pro56Leu</t>
  </si>
  <si>
    <t>p.Val57Ile</t>
  </si>
  <si>
    <t>p.Ile58Val</t>
  </si>
  <si>
    <t>p.Gly63Val</t>
  </si>
  <si>
    <t>p.Gly64Arg</t>
  </si>
  <si>
    <t>p.Ser65Asn</t>
  </si>
  <si>
    <t>p.Gln66His</t>
  </si>
  <si>
    <t>p.Cys67Phe</t>
  </si>
  <si>
    <t>p.Cys70Arg</t>
  </si>
  <si>
    <t>p.Gly71Arg</t>
  </si>
  <si>
    <t>p.Gly73Arg</t>
  </si>
  <si>
    <t>p.Pro76Leu</t>
  </si>
  <si>
    <t>p.Thr77Ala</t>
  </si>
  <si>
    <t>p.Thr77Asn</t>
  </si>
  <si>
    <t>p.Thr77Ile</t>
  </si>
  <si>
    <t>p.Thr77Ser</t>
  </si>
  <si>
    <t>p.Pro82Leu</t>
  </si>
  <si>
    <t>p.Pro82Thr</t>
  </si>
  <si>
    <t>p.Val83Glu</t>
  </si>
  <si>
    <t>p.Asn84Ser</t>
  </si>
  <si>
    <t>p.Met86Ile</t>
  </si>
  <si>
    <t>p.Met86Leu</t>
  </si>
  <si>
    <t>p.Glu87Asp</t>
  </si>
  <si>
    <t>p.Leu88Phe</t>
  </si>
  <si>
    <t>p.Tyr89Asn</t>
  </si>
  <si>
    <t>p.Tyr89Cys</t>
  </si>
  <si>
    <t>p.Tyr89His</t>
  </si>
  <si>
    <t>p.Gly91Asp</t>
  </si>
  <si>
    <t>p.Ala92Val</t>
  </si>
  <si>
    <t>p.Lys93Glu</t>
  </si>
  <si>
    <t>p.Glu94Lys</t>
  </si>
  <si>
    <t>p.Thr99Ser</t>
  </si>
  <si>
    <t>p.Tyr101His</t>
  </si>
  <si>
    <t>p.Tyr101Phe</t>
  </si>
  <si>
    <t>p.Arg102Gln</t>
  </si>
  <si>
    <t>p.Arg102Trp</t>
  </si>
  <si>
    <t>p.Arg103Gln</t>
  </si>
  <si>
    <t>p.Arg103Trp</t>
  </si>
  <si>
    <t>p.Asp104Asn</t>
  </si>
  <si>
    <t>p.Met105Val</t>
  </si>
  <si>
    <t>p.Gly106Ala</t>
  </si>
  <si>
    <t>p.Leu107Phe</t>
  </si>
  <si>
    <t>p.Leu107Pro</t>
  </si>
  <si>
    <t>p.Ser109Cys</t>
  </si>
  <si>
    <t>p.Ser110Asn</t>
  </si>
  <si>
    <t>p.Phe111Leu</t>
  </si>
  <si>
    <t>p.Phe111Ser</t>
  </si>
  <si>
    <t>p.Glu112Lys</t>
  </si>
  <si>
    <t>p.Ser113Leu</t>
  </si>
  <si>
    <t>p.Pro117Ala</t>
  </si>
  <si>
    <t>p.Pro117Leu</t>
  </si>
  <si>
    <t>p.Phe120Tyr</t>
  </si>
  <si>
    <t>p.Thr123Arg</t>
  </si>
  <si>
    <t>p.Thr123Met</t>
  </si>
  <si>
    <t>p.Val124Met</t>
  </si>
  <si>
    <t>p.Asp128Asn</t>
  </si>
  <si>
    <t>p.Asp128Tyr</t>
  </si>
  <si>
    <t>p.Gln129Arg</t>
  </si>
  <si>
    <t>p.Gln129His</t>
  </si>
  <si>
    <t>p.Gln129Lys</t>
  </si>
  <si>
    <t>p.Arg132Thr</t>
  </si>
  <si>
    <t>p.Thr134Asn</t>
  </si>
  <si>
    <t>p.Leu136His</t>
  </si>
  <si>
    <t>p.Glu138Lys</t>
  </si>
  <si>
    <t>p.Asn139Ser</t>
  </si>
  <si>
    <t>p.Gly140Cys</t>
  </si>
  <si>
    <t>p.Gly140Ser</t>
  </si>
  <si>
    <t>p.Gly141Asp</t>
  </si>
  <si>
    <t>p.Gly141Ser</t>
  </si>
  <si>
    <t>p.Ala144Thr</t>
  </si>
  <si>
    <t>p.Pro145Leu</t>
  </si>
  <si>
    <t>p.Ile146Val</t>
  </si>
  <si>
    <t>p.Asp148His</t>
  </si>
  <si>
    <t>p.Tyr150Asn</t>
  </si>
  <si>
    <t>p.Tyr150Cys</t>
  </si>
  <si>
    <t>p.Tyr150Phe</t>
  </si>
  <si>
    <t>p.Tyr150Ser</t>
  </si>
  <si>
    <t>p.Phe151Ile</t>
  </si>
  <si>
    <t>p.Gln153Arg</t>
  </si>
  <si>
    <t>p.Cys154Tyr</t>
  </si>
  <si>
    <t>p.Asp155Asn</t>
  </si>
  <si>
    <t/>
  </si>
  <si>
    <t>NA</t>
  </si>
  <si>
    <t>Yes</t>
  </si>
  <si>
    <t>Uncertain significance</t>
  </si>
  <si>
    <t>Conflicting interpretations of pathogenicity</t>
  </si>
  <si>
    <t>Benign/Likely benign</t>
  </si>
  <si>
    <t>Grand Total</t>
  </si>
  <si>
    <t>Column Labels</t>
  </si>
  <si>
    <t>Count of Row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</si>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</sst>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 tint="0.79998168889431442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0" fillId="4" borderId="0" xfId="0" applyFill="1"/>
    <xf numFmtId="0" fontId="0" fillId="5" borderId="0" xfId="0" applyFill="1"/>
    <xf numFmtId="0" fontId="2" fillId="6" borderId="13" xfId="0" applyFont="1" applyFill="1" applyBorder="1" applyAlignment="1">
      <alignment horizontal="left"/>
    </xf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9" borderId="13" xfId="0" applyFont="1" applyFill="1" applyBorder="1" applyAlignment="1">
      <alignment horizontal="left"/>
    </xf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9" borderId="17" xfId="0" applyFill="1" applyBorder="1"/>
    <xf numFmtId="0" fontId="0" fillId="9" borderId="0" xfId="0" applyFill="1"/>
    <xf numFmtId="0" fontId="0" fillId="10" borderId="0" xfId="0" applyFill="1"/>
    <xf numFmtId="0" fontId="2" fillId="9" borderId="5" xfId="0" applyFont="1" applyFill="1" applyBorder="1" applyAlignment="1">
      <alignment horizontal="left"/>
    </xf>
    <xf numFmtId="0" fontId="0" fillId="9" borderId="11" xfId="0" applyFill="1" applyBorder="1"/>
    <xf numFmtId="0" fontId="0" fillId="9" borderId="12" xfId="0" applyFill="1" applyBorder="1"/>
    <xf numFmtId="0" fontId="0" fillId="9" borderId="8" xfId="0" applyFill="1" applyBorder="1"/>
    <xf numFmtId="0" fontId="0" fillId="9" borderId="18" xfId="0" applyFill="1" applyBorder="1"/>
    <xf numFmtId="0" fontId="0" fillId="9" borderId="10" xfId="0" applyFill="1" applyBorder="1"/>
    <xf numFmtId="0" fontId="0" fillId="11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1" fillId="12" borderId="0" xfId="0" applyFont="1" applyFill="1"/>
    <xf numFmtId="0" fontId="1" fillId="11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0">
    <dxf>
      <font>
        <color rgb="FF7030A0"/>
      </font>
      <fill>
        <patternFill>
          <bgColor rgb="FFC07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ill>
        <patternFill>
          <bgColor rgb="FF89FFFC"/>
        </patternFill>
      </fill>
    </dxf>
    <dxf>
      <fill>
        <patternFill>
          <bgColor rgb="FFFFAAF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65.844597800926" createdVersion="6" refreshedVersion="6" minRefreshableVersion="3" recordCount="124" xr:uid="{F9120EE3-FDCC-6D4F-8937-16CD4C35BE50}">
  <cacheSource type="worksheet">
    <worksheetSource ref="B3:M127" sheet="Collated Table"/>
  </cacheSource>
  <cacheFields count="12">
    <cacheField name="Row Labels" numFmtId="0">
      <sharedItems/>
    </cacheField>
    <cacheField name="Allele Frequency" numFmtId="0">
      <sharedItems containsString="0" containsBlank="1" containsNumber="1" minValue="3.9766807441165001E-6" maxValue="4.6473927878693403E-3"/>
    </cacheField>
    <cacheField name="Allele Count" numFmtId="0">
      <sharedItems containsString="0" containsBlank="1" containsNumber="1" containsInteger="1" minValue="1" maxValue="1313"/>
    </cacheField>
    <cacheField name="Rarity" numFmtId="0">
      <sharedItems count="3">
        <s v="Rare"/>
        <s v="Not Present"/>
        <s v="Common"/>
      </sharedItems>
    </cacheField>
    <cacheField name="Allele Frequency2" numFmtId="0">
      <sharedItems containsString="0" containsBlank="1" containsNumber="1" minValue="6.5690937278292996E-6" maxValue="2.5828075709779098E-3"/>
    </cacheField>
    <cacheField name="Allele Count2" numFmtId="0">
      <sharedItems containsString="0" containsBlank="1" containsNumber="1" containsInteger="1" minValue="1" maxValue="393"/>
    </cacheField>
    <cacheField name="Rarity2" numFmtId="0">
      <sharedItems count="3">
        <s v="Not Present"/>
        <s v="Rare"/>
        <s v="Common"/>
      </sharedItems>
    </cacheField>
    <cacheField name="Present" numFmtId="0">
      <sharedItems/>
    </cacheField>
    <cacheField name="Consequence" numFmtId="0">
      <sharedItems containsBlank="1" containsMixedTypes="1" containsNumber="1" containsInteger="1" minValue="0" maxValue="0" count="7">
        <m/>
        <s v="Pathogenic"/>
        <s v="Uncertain significance"/>
        <s v="Benign"/>
        <s v="Conflicting interpretations of pathogenicity"/>
        <s v="Benign/Likely benign"/>
        <n v="0" u="1"/>
      </sharedItems>
    </cacheField>
    <cacheField name="𝛥SASA" numFmtId="0">
      <sharedItems containsSemiMixedTypes="0" containsString="0" containsNumber="1" minValue="0" maxValue="67.5"/>
    </cacheField>
    <cacheField name="Q(SASA)" numFmtId="0">
      <sharedItems containsMixedTypes="1" containsNumber="1" minValue="8.3900000000000002E-2" maxValue="1.099"/>
    </cacheField>
    <cacheField name="Category" numFmtId="0">
      <sharedItems count="3">
        <s v="Surface"/>
        <s v="Interface"/>
        <s v="Co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s v="p.Val2Phe"/>
    <n v="3.9766807441165001E-6"/>
    <n v="1"/>
    <x v="0"/>
    <m/>
    <m/>
    <x v="0"/>
    <s v=""/>
    <x v="0"/>
    <n v="0"/>
    <s v="NA"/>
    <x v="0"/>
  </r>
  <r>
    <s v="p.Leu3Pro"/>
    <n v="2.3860084464699E-5"/>
    <n v="6"/>
    <x v="0"/>
    <m/>
    <m/>
    <x v="0"/>
    <s v=""/>
    <x v="0"/>
    <n v="0"/>
    <s v="NA"/>
    <x v="0"/>
  </r>
  <r>
    <s v="p.Ala6Thr"/>
    <n v="1.19300422323495E-5"/>
    <n v="3"/>
    <x v="0"/>
    <m/>
    <m/>
    <x v="0"/>
    <s v=""/>
    <x v="0"/>
    <n v="9.3699999999999992"/>
    <n v="0.4612"/>
    <x v="0"/>
  </r>
  <r>
    <s v="p.Ala6Val"/>
    <n v="7.9536777806057506E-6"/>
    <n v="2"/>
    <x v="0"/>
    <n v="1.31559905803107E-5"/>
    <n v="2"/>
    <x v="1"/>
    <s v=""/>
    <x v="0"/>
    <n v="9.3699999999999992"/>
    <n v="0.4612"/>
    <x v="0"/>
  </r>
  <r>
    <s v="p.Cys8Arg"/>
    <n v="3.97671237234753E-6"/>
    <n v="1"/>
    <x v="0"/>
    <m/>
    <m/>
    <x v="0"/>
    <s v=""/>
    <x v="0"/>
    <n v="0"/>
    <n v="0.187"/>
    <x v="0"/>
  </r>
  <r>
    <s v="p.Arg10Gln"/>
    <n v="1.5907482084198301E-5"/>
    <n v="4"/>
    <x v="0"/>
    <n v="1.31450955648447E-5"/>
    <n v="2"/>
    <x v="1"/>
    <s v=""/>
    <x v="0"/>
    <n v="0.28000000000000003"/>
    <n v="0.34749999999999998"/>
    <x v="0"/>
  </r>
  <r>
    <s v="p.Ser14Leu"/>
    <n v="2.7854044805220601E-5"/>
    <n v="7"/>
    <x v="0"/>
    <n v="6.5697842482852796E-6"/>
    <n v="1"/>
    <x v="1"/>
    <s v=""/>
    <x v="0"/>
    <n v="0"/>
    <n v="0.32900000000000001"/>
    <x v="0"/>
  </r>
  <r>
    <s v="p.Ala15Thr"/>
    <n v="3.9785160135269499E-6"/>
    <n v="1"/>
    <x v="0"/>
    <n v="6.5690937278292996E-6"/>
    <n v="1"/>
    <x v="1"/>
    <s v=""/>
    <x v="0"/>
    <n v="1.1599999999999999"/>
    <n v="0.29480000000000001"/>
    <x v="0"/>
  </r>
  <r>
    <s v="p.Ala15Val"/>
    <n v="1.1935073201782299E-5"/>
    <n v="3"/>
    <x v="0"/>
    <m/>
    <m/>
    <x v="0"/>
    <s v=""/>
    <x v="0"/>
    <n v="1.1599999999999999"/>
    <n v="0.29480000000000001"/>
    <x v="0"/>
  </r>
  <r>
    <s v="p.Val18Leu"/>
    <n v="7.9553229065567698E-6"/>
    <n v="2"/>
    <x v="0"/>
    <n v="6.5699569010827204E-6"/>
    <n v="1"/>
    <x v="1"/>
    <s v=""/>
    <x v="0"/>
    <n v="0"/>
    <n v="0.18459999999999999"/>
    <x v="0"/>
  </r>
  <r>
    <s v="p.Val18Met"/>
    <m/>
    <m/>
    <x v="1"/>
    <n v="1.31399138021654E-5"/>
    <n v="2"/>
    <x v="1"/>
    <s v=""/>
    <x v="0"/>
    <n v="0"/>
    <n v="0.18459999999999999"/>
    <x v="0"/>
  </r>
  <r>
    <s v="p.Leu21Pro"/>
    <n v="3.9773134043416303E-6"/>
    <n v="1"/>
    <x v="0"/>
    <m/>
    <m/>
    <x v="0"/>
    <s v=""/>
    <x v="0"/>
    <n v="0.68"/>
    <n v="0.26229999999999998"/>
    <x v="0"/>
  </r>
  <r>
    <s v="p.His22Asn"/>
    <m/>
    <m/>
    <x v="1"/>
    <n v="1.9709870703248099E-5"/>
    <n v="3"/>
    <x v="1"/>
    <s v=""/>
    <x v="0"/>
    <n v="67.5"/>
    <n v="0.69510000000000005"/>
    <x v="1"/>
  </r>
  <r>
    <s v="p.Leu26Phe"/>
    <n v="3.1857279388340198E-5"/>
    <n v="1"/>
    <x v="0"/>
    <n v="6.5707339509823204E-6"/>
    <n v="1"/>
    <x v="1"/>
    <s v=""/>
    <x v="0"/>
    <n v="2.46"/>
    <n v="0.2276"/>
    <x v="0"/>
  </r>
  <r>
    <s v="p.Leu27Pro"/>
    <n v="2.0506873338236101E-4"/>
    <n v="58"/>
    <x v="2"/>
    <n v="1.9708316909735899E-5"/>
    <n v="3"/>
    <x v="1"/>
    <s v="Yes"/>
    <x v="1"/>
    <n v="0.15"/>
    <n v="0.1116"/>
    <x v="2"/>
  </r>
  <r>
    <s v="p.Gly30Arg"/>
    <n v="7.9540573646617103E-6"/>
    <n v="2"/>
    <x v="0"/>
    <m/>
    <m/>
    <x v="0"/>
    <s v=""/>
    <x v="0"/>
    <n v="0.95"/>
    <n v="0.25580000000000003"/>
    <x v="0"/>
  </r>
  <r>
    <s v="p.Leu31Arg"/>
    <n v="3.9771235851382797E-6"/>
    <n v="1"/>
    <x v="0"/>
    <m/>
    <m/>
    <x v="0"/>
    <s v=""/>
    <x v="0"/>
    <n v="39.86"/>
    <n v="0.51300000000000001"/>
    <x v="1"/>
  </r>
  <r>
    <s v="p.Leu31Met"/>
    <n v="1.1931560568578599E-5"/>
    <n v="3"/>
    <x v="0"/>
    <n v="6.5709930084634298E-6"/>
    <n v="1"/>
    <x v="1"/>
    <s v=""/>
    <x v="0"/>
    <n v="39.86"/>
    <n v="0.51300000000000001"/>
    <x v="1"/>
  </r>
  <r>
    <s v="p.Gly34Ala"/>
    <m/>
    <m/>
    <x v="1"/>
    <m/>
    <m/>
    <x v="0"/>
    <s v="Yes"/>
    <x v="2"/>
    <n v="50.21"/>
    <n v="0.77100000000000002"/>
    <x v="1"/>
  </r>
  <r>
    <s v="p.Gly34Arg"/>
    <n v="2.3864639763262698E-5"/>
    <n v="6"/>
    <x v="0"/>
    <m/>
    <m/>
    <x v="0"/>
    <s v=""/>
    <x v="0"/>
    <n v="50.21"/>
    <n v="0.77100000000000002"/>
    <x v="1"/>
  </r>
  <r>
    <s v="p.Lys35Arg"/>
    <n v="1.80333085817333E-4"/>
    <n v="51"/>
    <x v="2"/>
    <n v="5.91412687773528E-5"/>
    <n v="9"/>
    <x v="1"/>
    <s v="Yes"/>
    <x v="1"/>
    <n v="1.67"/>
    <n v="0.74490000000000001"/>
    <x v="0"/>
  </r>
  <r>
    <s v="p.Gly39Ser"/>
    <n v="7.9555127725757508E-6"/>
    <n v="2"/>
    <x v="0"/>
    <m/>
    <m/>
    <x v="0"/>
    <s v=""/>
    <x v="0"/>
    <n v="0"/>
    <n v="0.29959999999999998"/>
    <x v="0"/>
  </r>
  <r>
    <s v="p.Glu41Gln"/>
    <n v="3.9866367934682898E-6"/>
    <n v="1"/>
    <x v="0"/>
    <n v="6.5711657247995699E-6"/>
    <n v="1"/>
    <x v="1"/>
    <s v="Yes"/>
    <x v="2"/>
    <n v="0"/>
    <n v="0.37890000000000001"/>
    <x v="0"/>
  </r>
  <r>
    <s v="p.Ile42Asn"/>
    <n v="3.9845399848587397E-6"/>
    <n v="1"/>
    <x v="0"/>
    <m/>
    <m/>
    <x v="0"/>
    <s v=""/>
    <x v="0"/>
    <n v="0"/>
    <n v="0.1255"/>
    <x v="2"/>
  </r>
  <r>
    <s v="p.Ser43Arg"/>
    <n v="7.9664770645125292E-6"/>
    <n v="2"/>
    <x v="0"/>
    <m/>
    <m/>
    <x v="0"/>
    <s v=""/>
    <x v="0"/>
    <n v="0"/>
    <n v="0.19750000000000001"/>
    <x v="0"/>
  </r>
  <r>
    <s v="p.Val44Leu"/>
    <n v="1.5930796619484901E-5"/>
    <n v="4"/>
    <x v="0"/>
    <m/>
    <m/>
    <x v="0"/>
    <s v=""/>
    <x v="0"/>
    <n v="9.58"/>
    <n v="0.1739"/>
    <x v="0"/>
  </r>
  <r>
    <s v="p.Val44Met"/>
    <n v="1.9913495774356099E-5"/>
    <n v="5"/>
    <x v="0"/>
    <n v="2.6287426723798001E-5"/>
    <n v="4"/>
    <x v="1"/>
    <s v="Yes"/>
    <x v="2"/>
    <n v="9.58"/>
    <n v="0.1739"/>
    <x v="0"/>
  </r>
  <r>
    <s v="p.Val45Ala"/>
    <n v="3.9817476686867396E-6"/>
    <n v="1"/>
    <x v="0"/>
    <n v="1.3151319077303401E-5"/>
    <n v="2"/>
    <x v="1"/>
    <s v=""/>
    <x v="0"/>
    <n v="3.23"/>
    <n v="0.29289999999999999"/>
    <x v="0"/>
  </r>
  <r>
    <s v="p.Val45Phe"/>
    <m/>
    <m/>
    <x v="1"/>
    <n v="6.5725477824223697E-6"/>
    <n v="1"/>
    <x v="1"/>
    <s v=""/>
    <x v="0"/>
    <n v="3.23"/>
    <n v="0.29289999999999999"/>
    <x v="0"/>
  </r>
  <r>
    <s v="p.Pro46Leu"/>
    <m/>
    <m/>
    <x v="1"/>
    <n v="6.5731526154574204E-6"/>
    <n v="1"/>
    <x v="1"/>
    <s v=""/>
    <x v="0"/>
    <n v="46"/>
    <n v="0.5857"/>
    <x v="1"/>
  </r>
  <r>
    <s v="p.Pro46Ser"/>
    <n v="1.7345132743362801E-4"/>
    <n v="49"/>
    <x v="2"/>
    <n v="3.8777012461222902E-4"/>
    <n v="59"/>
    <x v="2"/>
    <s v="Yes"/>
    <x v="2"/>
    <n v="46"/>
    <n v="0.5857"/>
    <x v="1"/>
  </r>
  <r>
    <s v="p.Asn47Asp"/>
    <m/>
    <m/>
    <x v="1"/>
    <n v="6.5708203012063996E-6"/>
    <n v="1"/>
    <x v="1"/>
    <s v=""/>
    <x v="0"/>
    <n v="0"/>
    <n v="0.1585"/>
    <x v="0"/>
  </r>
  <r>
    <s v="p.Asn47Ile"/>
    <n v="3.9810502010430301E-6"/>
    <n v="1"/>
    <x v="0"/>
    <n v="1.3153913947094899E-5"/>
    <n v="2"/>
    <x v="1"/>
    <s v=""/>
    <x v="0"/>
    <n v="0"/>
    <n v="0.1585"/>
    <x v="0"/>
  </r>
  <r>
    <s v="p.Asn47Ser"/>
    <n v="4.6473927878693403E-3"/>
    <n v="1313"/>
    <x v="2"/>
    <n v="2.3019349407416099E-3"/>
    <n v="350"/>
    <x v="2"/>
    <s v="Yes"/>
    <x v="3"/>
    <n v="0"/>
    <n v="0.1585"/>
    <x v="0"/>
  </r>
  <r>
    <s v="p.Asn47Thr"/>
    <m/>
    <m/>
    <x v="1"/>
    <n v="6.57695697354747E-6"/>
    <n v="1"/>
    <x v="1"/>
    <s v=""/>
    <x v="0"/>
    <n v="0"/>
    <n v="0.1585"/>
    <x v="0"/>
  </r>
  <r>
    <s v="p.Arg48Gln"/>
    <n v="3.9810818988168202E-6"/>
    <n v="1"/>
    <x v="0"/>
    <n v="1.31480337115584E-5"/>
    <n v="2"/>
    <x v="1"/>
    <s v=""/>
    <x v="0"/>
    <n v="5.57"/>
    <n v="0.52110000000000001"/>
    <x v="0"/>
  </r>
  <r>
    <s v="p.Arg48Trp"/>
    <n v="2.54874474321396E-4"/>
    <n v="72"/>
    <x v="2"/>
    <n v="9.8597289231861299E-5"/>
    <n v="15"/>
    <x v="1"/>
    <s v="Yes"/>
    <x v="2"/>
    <n v="5.57"/>
    <n v="0.52110000000000001"/>
    <x v="0"/>
  </r>
  <r>
    <s v="p.Asp51Glu"/>
    <n v="6.3832503510787597E-5"/>
    <n v="2"/>
    <x v="0"/>
    <n v="1.31509731720147E-5"/>
    <n v="2"/>
    <x v="1"/>
    <s v=""/>
    <x v="0"/>
    <n v="0"/>
    <n v="0.96430000000000005"/>
    <x v="0"/>
  </r>
  <r>
    <s v="p.Ala52Thr"/>
    <n v="3.980796637023E-6"/>
    <n v="1"/>
    <x v="0"/>
    <m/>
    <m/>
    <x v="0"/>
    <s v=""/>
    <x v="0"/>
    <n v="2.25"/>
    <n v="0.65610000000000002"/>
    <x v="0"/>
  </r>
  <r>
    <s v="p.Ser53Arg"/>
    <n v="3.9797827038643599E-6"/>
    <n v="1"/>
    <x v="0"/>
    <m/>
    <m/>
    <x v="0"/>
    <s v=""/>
    <x v="0"/>
    <n v="0"/>
    <n v="0.6421"/>
    <x v="0"/>
  </r>
  <r>
    <s v="p.Leu54Met"/>
    <n v="3.9797827038643599E-6"/>
    <n v="1"/>
    <x v="0"/>
    <m/>
    <m/>
    <x v="0"/>
    <s v=""/>
    <x v="0"/>
    <n v="0"/>
    <n v="0.45240000000000002"/>
    <x v="0"/>
  </r>
  <r>
    <s v="p.Ser55Phe"/>
    <n v="3.9794659556687402E-6"/>
    <n v="1"/>
    <x v="0"/>
    <m/>
    <m/>
    <x v="0"/>
    <s v="Yes"/>
    <x v="2"/>
    <n v="0"/>
    <n v="0.35460000000000003"/>
    <x v="0"/>
  </r>
  <r>
    <s v="p.Pro56His"/>
    <n v="3.9790859243814502E-6"/>
    <n v="1"/>
    <x v="0"/>
    <m/>
    <m/>
    <x v="0"/>
    <s v=""/>
    <x v="0"/>
    <n v="0"/>
    <n v="0.1205"/>
    <x v="2"/>
  </r>
  <r>
    <s v="p.Pro56Leu"/>
    <n v="7.9581718487629004E-6"/>
    <n v="2"/>
    <x v="0"/>
    <m/>
    <m/>
    <x v="0"/>
    <s v=""/>
    <x v="0"/>
    <n v="0"/>
    <n v="0.1205"/>
    <x v="2"/>
  </r>
  <r>
    <s v="p.Val57Ile"/>
    <n v="5.3780180588185297E-4"/>
    <n v="152"/>
    <x v="2"/>
    <n v="1.19643960609526E-3"/>
    <n v="182"/>
    <x v="2"/>
    <s v="Yes"/>
    <x v="4"/>
    <n v="1.98"/>
    <n v="9.01E-2"/>
    <x v="2"/>
  </r>
  <r>
    <s v="p.Ile58Val"/>
    <n v="7.9582985157773208E-6"/>
    <n v="2"/>
    <x v="0"/>
    <m/>
    <m/>
    <x v="0"/>
    <s v=""/>
    <x v="0"/>
    <n v="0"/>
    <n v="0.1159"/>
    <x v="2"/>
  </r>
  <r>
    <s v="p.Gly63Val"/>
    <n v="2.1226314970212401E-5"/>
    <n v="6"/>
    <x v="0"/>
    <n v="2.6285353800862098E-5"/>
    <n v="4"/>
    <x v="1"/>
    <s v=""/>
    <x v="0"/>
    <n v="0"/>
    <n v="0.47610000000000002"/>
    <x v="0"/>
  </r>
  <r>
    <s v="p.Gly64Arg"/>
    <n v="3.1899961720045899E-5"/>
    <n v="1"/>
    <x v="0"/>
    <n v="1.9714792666097099E-5"/>
    <n v="3"/>
    <x v="1"/>
    <s v=""/>
    <x v="0"/>
    <n v="0"/>
    <n v="0.14899999999999999"/>
    <x v="2"/>
  </r>
  <r>
    <s v="p.Ser65Asn"/>
    <n v="7.5596616454598196E-5"/>
    <n v="19"/>
    <x v="0"/>
    <n v="6.5724613867893497E-6"/>
    <n v="1"/>
    <x v="1"/>
    <s v=""/>
    <x v="0"/>
    <n v="0"/>
    <n v="0.28420000000000001"/>
    <x v="0"/>
  </r>
  <r>
    <s v="p.Gln66His"/>
    <m/>
    <m/>
    <x v="1"/>
    <n v="6.5720294426919003E-6"/>
    <n v="1"/>
    <x v="1"/>
    <s v=""/>
    <x v="0"/>
    <n v="0"/>
    <n v="0.221"/>
    <x v="0"/>
  </r>
  <r>
    <s v="p.Cys67Phe"/>
    <n v="7.9567154678548696E-6"/>
    <n v="2"/>
    <x v="0"/>
    <n v="6.5728069829501297E-6"/>
    <n v="1"/>
    <x v="1"/>
    <s v="Yes"/>
    <x v="2"/>
    <n v="0"/>
    <n v="8.4500000000000006E-2"/>
    <x v="2"/>
  </r>
  <r>
    <s v="p.Cys70Arg"/>
    <n v="3.9781994669212701E-6"/>
    <n v="1"/>
    <x v="0"/>
    <m/>
    <m/>
    <x v="0"/>
    <s v=""/>
    <x v="0"/>
    <n v="0"/>
    <n v="0.12889999999999999"/>
    <x v="2"/>
  </r>
  <r>
    <s v="p.Gly71Arg"/>
    <m/>
    <m/>
    <x v="1"/>
    <n v="6.5714248163286697E-6"/>
    <n v="1"/>
    <x v="1"/>
    <s v=""/>
    <x v="0"/>
    <n v="0"/>
    <n v="0.27729999999999999"/>
    <x v="0"/>
  </r>
  <r>
    <s v="p.Gly73Arg"/>
    <n v="3.9783260795187797E-6"/>
    <n v="1"/>
    <x v="0"/>
    <m/>
    <m/>
    <x v="0"/>
    <s v=""/>
    <x v="0"/>
    <n v="0"/>
    <n v="0.37390000000000001"/>
    <x v="0"/>
  </r>
  <r>
    <s v="p.Pro76Leu"/>
    <n v="2.6538526864066102E-4"/>
    <n v="75"/>
    <x v="2"/>
    <n v="1.71000881312234E-4"/>
    <n v="26"/>
    <x v="2"/>
    <s v="Yes"/>
    <x v="4"/>
    <n v="0"/>
    <n v="0.15479999999999999"/>
    <x v="0"/>
  </r>
  <r>
    <s v="p.Thr77Ala"/>
    <n v="7.0781426953567301E-6"/>
    <n v="2"/>
    <x v="0"/>
    <n v="1.31731478554115E-5"/>
    <n v="2"/>
    <x v="1"/>
    <s v=""/>
    <x v="0"/>
    <n v="0"/>
    <n v="0.63890000000000002"/>
    <x v="0"/>
  </r>
  <r>
    <s v="p.Thr77Asn"/>
    <n v="3.9795293012742397E-6"/>
    <n v="1"/>
    <x v="0"/>
    <m/>
    <m/>
    <x v="0"/>
    <s v=""/>
    <x v="0"/>
    <n v="0"/>
    <n v="0.63890000000000002"/>
    <x v="0"/>
  </r>
  <r>
    <s v="p.Thr77Ile"/>
    <n v="5.66131200905809E-5"/>
    <n v="16"/>
    <x v="0"/>
    <n v="6.5742761721934397E-5"/>
    <n v="10"/>
    <x v="1"/>
    <s v="Yes"/>
    <x v="2"/>
    <n v="0"/>
    <n v="0.63890000000000002"/>
    <x v="0"/>
  </r>
  <r>
    <s v="p.Thr77Ser"/>
    <n v="3.9795293012742397E-6"/>
    <n v="1"/>
    <x v="0"/>
    <m/>
    <m/>
    <x v="0"/>
    <s v=""/>
    <x v="0"/>
    <n v="0"/>
    <n v="0.63890000000000002"/>
    <x v="0"/>
  </r>
  <r>
    <s v="p.Pro82Leu"/>
    <n v="2.7015690428625202E-4"/>
    <n v="76"/>
    <x v="2"/>
    <n v="2.0376237363446299E-4"/>
    <n v="31"/>
    <x v="2"/>
    <s v="Yes"/>
    <x v="5"/>
    <n v="0"/>
    <n v="0.72509999999999997"/>
    <x v="0"/>
  </r>
  <r>
    <s v="p.Pro82Thr"/>
    <n v="1.7774870598942001E-5"/>
    <n v="5"/>
    <x v="0"/>
    <n v="1.9722050567337601E-5"/>
    <n v="3"/>
    <x v="1"/>
    <s v=""/>
    <x v="0"/>
    <n v="0"/>
    <n v="0.72509999999999997"/>
    <x v="0"/>
  </r>
  <r>
    <s v="p.Val83Glu"/>
    <n v="7.9988481658641096E-6"/>
    <n v="2"/>
    <x v="0"/>
    <n v="1.9726459758022002E-5"/>
    <n v="3"/>
    <x v="1"/>
    <s v="Yes"/>
    <x v="2"/>
    <n v="0"/>
    <n v="0.2077"/>
    <x v="0"/>
  </r>
  <r>
    <s v="p.Asn84Ser"/>
    <n v="1.9987527782663598E-5"/>
    <n v="5"/>
    <x v="0"/>
    <m/>
    <m/>
    <x v="0"/>
    <s v=""/>
    <x v="0"/>
    <n v="0"/>
    <n v="0.32519999999999999"/>
    <x v="0"/>
  </r>
  <r>
    <s v="p.Met86Ile"/>
    <n v="3.9960039960039904E-6"/>
    <n v="1"/>
    <x v="0"/>
    <n v="1.3147687979068799E-5"/>
    <n v="2"/>
    <x v="1"/>
    <s v=""/>
    <x v="0"/>
    <n v="0"/>
    <n v="0.42199999999999999"/>
    <x v="0"/>
  </r>
  <r>
    <s v="p.Met86Leu"/>
    <n v="3.9962595011069596E-6"/>
    <n v="1"/>
    <x v="0"/>
    <n v="1.9744116253356499E-5"/>
    <n v="3"/>
    <x v="1"/>
    <s v=""/>
    <x v="0"/>
    <n v="0"/>
    <n v="0.42199999999999999"/>
    <x v="0"/>
  </r>
  <r>
    <s v="p.Glu87Asp"/>
    <n v="3.99581238861672E-6"/>
    <n v="1"/>
    <x v="0"/>
    <m/>
    <m/>
    <x v="0"/>
    <s v=""/>
    <x v="0"/>
    <n v="0"/>
    <n v="0.50880000000000003"/>
    <x v="0"/>
  </r>
  <r>
    <s v="p.Leu88Phe"/>
    <n v="7.9904753533787701E-6"/>
    <n v="2"/>
    <x v="0"/>
    <n v="1.9717902540980301E-5"/>
    <n v="3"/>
    <x v="1"/>
    <s v=""/>
    <x v="0"/>
    <n v="0"/>
    <n v="0.1036"/>
    <x v="2"/>
  </r>
  <r>
    <s v="p.Tyr89Asn"/>
    <n v="3.9928448220788303E-6"/>
    <n v="1"/>
    <x v="0"/>
    <m/>
    <m/>
    <x v="0"/>
    <s v=""/>
    <x v="0"/>
    <n v="6.52"/>
    <n v="0.58260000000000001"/>
    <x v="0"/>
  </r>
  <r>
    <s v="p.Tyr89Cys"/>
    <n v="3.1897926634768703E-5"/>
    <n v="1"/>
    <x v="0"/>
    <m/>
    <m/>
    <x v="0"/>
    <s v=""/>
    <x v="0"/>
    <n v="6.52"/>
    <n v="0.58260000000000001"/>
    <x v="0"/>
  </r>
  <r>
    <s v="p.Tyr89His"/>
    <n v="3.9928448220788303E-6"/>
    <n v="1"/>
    <x v="0"/>
    <m/>
    <m/>
    <x v="0"/>
    <s v=""/>
    <x v="0"/>
    <n v="6.52"/>
    <n v="0.58260000000000001"/>
    <x v="0"/>
  </r>
  <r>
    <s v="p.Gly91Asp"/>
    <n v="3.9911237408004596E-6"/>
    <n v="1"/>
    <x v="0"/>
    <m/>
    <m/>
    <x v="0"/>
    <s v=""/>
    <x v="0"/>
    <n v="0"/>
    <n v="0.33310000000000001"/>
    <x v="0"/>
  </r>
  <r>
    <s v="p.Ala92Val"/>
    <m/>
    <m/>
    <x v="1"/>
    <m/>
    <m/>
    <x v="0"/>
    <s v="Yes"/>
    <x v="2"/>
    <n v="0"/>
    <n v="0.49130000000000001"/>
    <x v="0"/>
  </r>
  <r>
    <s v="p.Lys93Glu"/>
    <n v="7.0899861036272304E-6"/>
    <n v="2"/>
    <x v="0"/>
    <n v="6.5745355090662798E-6"/>
    <n v="1"/>
    <x v="1"/>
    <s v=""/>
    <x v="0"/>
    <n v="0"/>
    <n v="0.54720000000000002"/>
    <x v="0"/>
  </r>
  <r>
    <s v="p.Glu94Lys"/>
    <n v="3.9876224200082901E-6"/>
    <n v="1"/>
    <x v="0"/>
    <m/>
    <m/>
    <x v="0"/>
    <s v=""/>
    <x v="0"/>
    <n v="0"/>
    <n v="0.77380000000000004"/>
    <x v="0"/>
  </r>
  <r>
    <s v="p.Thr99Ser"/>
    <n v="3.9829529613255196E-6"/>
    <n v="1"/>
    <x v="0"/>
    <m/>
    <m/>
    <x v="0"/>
    <s v=""/>
    <x v="0"/>
    <n v="0"/>
    <n v="9.1200000000000003E-2"/>
    <x v="2"/>
  </r>
  <r>
    <s v="p.Tyr101His"/>
    <n v="3.9833654658147502E-6"/>
    <n v="1"/>
    <x v="0"/>
    <m/>
    <m/>
    <x v="0"/>
    <s v=""/>
    <x v="0"/>
    <n v="0"/>
    <n v="0.29360000000000003"/>
    <x v="0"/>
  </r>
  <r>
    <s v="p.Tyr101Phe"/>
    <n v="1.7706887270872801E-5"/>
    <n v="5"/>
    <x v="0"/>
    <n v="3.2936340640809401E-5"/>
    <n v="5"/>
    <x v="1"/>
    <s v=""/>
    <x v="0"/>
    <n v="0"/>
    <n v="0.29360000000000003"/>
    <x v="0"/>
  </r>
  <r>
    <s v="p.Arg102Gln"/>
    <n v="3.9831750685106101E-6"/>
    <n v="1"/>
    <x v="0"/>
    <n v="1.31473422647611E-5"/>
    <n v="2"/>
    <x v="1"/>
    <s v=""/>
    <x v="0"/>
    <n v="15.83"/>
    <n v="0.25650000000000001"/>
    <x v="1"/>
  </r>
  <r>
    <s v="p.Arg102Trp"/>
    <n v="2.12443525429489E-5"/>
    <n v="6"/>
    <x v="0"/>
    <n v="1.97168658070113E-5"/>
    <n v="3"/>
    <x v="1"/>
    <s v="Yes"/>
    <x v="2"/>
    <n v="15.83"/>
    <n v="0.25650000000000001"/>
    <x v="1"/>
  </r>
  <r>
    <s v="p.Arg103Gln"/>
    <n v="4.60300824292553E-5"/>
    <n v="13"/>
    <x v="0"/>
    <n v="7.8872646966032098E-5"/>
    <n v="12"/>
    <x v="1"/>
    <s v=""/>
    <x v="0"/>
    <n v="0"/>
    <n v="0.4889"/>
    <x v="0"/>
  </r>
  <r>
    <s v="p.Arg103Trp"/>
    <n v="4.6034320356376402E-5"/>
    <n v="13"/>
    <x v="0"/>
    <n v="6.5718566809495007E-5"/>
    <n v="10"/>
    <x v="1"/>
    <s v="Yes"/>
    <x v="2"/>
    <n v="0"/>
    <n v="0.4889"/>
    <x v="0"/>
  </r>
  <r>
    <s v="p.Asp104Asn"/>
    <n v="3.9824453807616004E-6"/>
    <n v="1"/>
    <x v="0"/>
    <n v="6.5728933876692501E-6"/>
    <n v="1"/>
    <x v="1"/>
    <s v=""/>
    <x v="0"/>
    <n v="0.41"/>
    <n v="0.71919999999999995"/>
    <x v="0"/>
  </r>
  <r>
    <s v="p.Met105Val"/>
    <n v="2.38925789649734E-5"/>
    <n v="6"/>
    <x v="0"/>
    <n v="3.9458627628930999E-5"/>
    <n v="6"/>
    <x v="1"/>
    <s v=""/>
    <x v="0"/>
    <n v="0"/>
    <n v="0.60940000000000005"/>
    <x v="0"/>
  </r>
  <r>
    <s v="p.Gly106Ala"/>
    <n v="7.9627344029939805E-6"/>
    <n v="2"/>
    <x v="0"/>
    <n v="6.57323902926406E-6"/>
    <n v="1"/>
    <x v="1"/>
    <s v=""/>
    <x v="0"/>
    <n v="0"/>
    <n v="0.5171"/>
    <x v="0"/>
  </r>
  <r>
    <s v="p.Leu107Phe"/>
    <n v="7.9664770645125292E-6"/>
    <n v="2"/>
    <x v="0"/>
    <m/>
    <m/>
    <x v="0"/>
    <s v=""/>
    <x v="0"/>
    <n v="31.29"/>
    <n v="0.89239999999999997"/>
    <x v="1"/>
  </r>
  <r>
    <s v="p.Leu107Pro"/>
    <n v="3.9825405422627203E-6"/>
    <n v="1"/>
    <x v="0"/>
    <m/>
    <m/>
    <x v="0"/>
    <s v=""/>
    <x v="0"/>
    <n v="31.29"/>
    <n v="0.89239999999999997"/>
    <x v="1"/>
  </r>
  <r>
    <s v="p.Ser109Cys"/>
    <m/>
    <m/>
    <x v="1"/>
    <n v="6.5712520863725303E-6"/>
    <n v="1"/>
    <x v="1"/>
    <s v=""/>
    <x v="0"/>
    <n v="0"/>
    <n v="8.3900000000000002E-2"/>
    <x v="2"/>
  </r>
  <r>
    <s v="p.Ser110Asn"/>
    <n v="7.9617200499995994E-6"/>
    <n v="2"/>
    <x v="0"/>
    <n v="6.5715975553657001E-6"/>
    <n v="1"/>
    <x v="1"/>
    <s v=""/>
    <x v="0"/>
    <n v="0"/>
    <n v="0.15559999999999999"/>
    <x v="0"/>
  </r>
  <r>
    <s v="p.Phe111Leu"/>
    <n v="3.9805114161067399E-6"/>
    <n v="1"/>
    <x v="0"/>
    <m/>
    <m/>
    <x v="0"/>
    <s v=""/>
    <x v="0"/>
    <n v="0"/>
    <n v="9.3600000000000003E-2"/>
    <x v="2"/>
  </r>
  <r>
    <s v="p.Phe111Ser"/>
    <m/>
    <m/>
    <x v="1"/>
    <n v="6.57436261554442E-6"/>
    <n v="1"/>
    <x v="1"/>
    <s v=""/>
    <x v="0"/>
    <n v="0"/>
    <n v="9.3600000000000003E-2"/>
    <x v="2"/>
  </r>
  <r>
    <s v="p.Glu112Lys"/>
    <n v="2.1236532498973499E-5"/>
    <n v="6"/>
    <x v="0"/>
    <n v="2.6299525293568399E-5"/>
    <n v="4"/>
    <x v="1"/>
    <s v=""/>
    <x v="0"/>
    <n v="0"/>
    <n v="0.14860000000000001"/>
    <x v="2"/>
  </r>
  <r>
    <s v="p.Ser113Leu"/>
    <n v="2.8842206588055399E-3"/>
    <n v="815"/>
    <x v="2"/>
    <n v="2.5828075709779098E-3"/>
    <n v="393"/>
    <x v="2"/>
    <s v="Yes"/>
    <x v="4"/>
    <n v="0"/>
    <n v="9.4600000000000004E-2"/>
    <x v="2"/>
  </r>
  <r>
    <s v="p.Pro117Ala"/>
    <n v="3.5823747163953299E-5"/>
    <n v="9"/>
    <x v="0"/>
    <m/>
    <m/>
    <x v="0"/>
    <s v="Yes"/>
    <x v="2"/>
    <n v="0"/>
    <n v="0.57740000000000002"/>
    <x v="0"/>
  </r>
  <r>
    <s v="p.Pro117Leu"/>
    <n v="2.12327749113531E-4"/>
    <n v="60"/>
    <x v="2"/>
    <n v="3.2865331019613997E-4"/>
    <n v="50"/>
    <x v="2"/>
    <s v="Yes"/>
    <x v="2"/>
    <n v="0"/>
    <n v="0.57740000000000002"/>
    <x v="0"/>
  </r>
  <r>
    <s v="p.Phe120Tyr"/>
    <m/>
    <m/>
    <x v="1"/>
    <n v="6.5759189846781001E-6"/>
    <n v="1"/>
    <x v="1"/>
    <s v=""/>
    <x v="0"/>
    <n v="0"/>
    <n v="0.22770000000000001"/>
    <x v="0"/>
  </r>
  <r>
    <s v="p.Thr123Arg"/>
    <m/>
    <m/>
    <x v="1"/>
    <m/>
    <m/>
    <x v="0"/>
    <s v="Yes"/>
    <x v="1"/>
    <n v="0"/>
    <n v="0.1537"/>
    <x v="0"/>
  </r>
  <r>
    <s v="p.Thr123Met"/>
    <n v="3.89372261120117E-5"/>
    <n v="11"/>
    <x v="0"/>
    <n v="2.6292956117056199E-5"/>
    <n v="4"/>
    <x v="1"/>
    <s v="Yes"/>
    <x v="2"/>
    <n v="0"/>
    <n v="0.1537"/>
    <x v="0"/>
  </r>
  <r>
    <s v="p.Val124Met"/>
    <n v="3.9813037973675602E-6"/>
    <n v="1"/>
    <x v="0"/>
    <m/>
    <m/>
    <x v="0"/>
    <s v=""/>
    <x v="0"/>
    <n v="0"/>
    <n v="0.28620000000000001"/>
    <x v="0"/>
  </r>
  <r>
    <s v="p.Asp128Asn"/>
    <n v="1.1948478162164701E-5"/>
    <n v="3"/>
    <x v="0"/>
    <n v="1.9723865877712E-5"/>
    <n v="3"/>
    <x v="1"/>
    <s v=""/>
    <x v="0"/>
    <n v="6.47"/>
    <n v="0.37309999999999999"/>
    <x v="0"/>
  </r>
  <r>
    <s v="p.Asp128Tyr"/>
    <n v="3.9828260540549098E-6"/>
    <n v="1"/>
    <x v="0"/>
    <m/>
    <m/>
    <x v="0"/>
    <s v=""/>
    <x v="0"/>
    <n v="6.47"/>
    <n v="0.37309999999999999"/>
    <x v="0"/>
  </r>
  <r>
    <s v="p.Gln129Arg"/>
    <n v="9.5551291136821405E-5"/>
    <n v="24"/>
    <x v="0"/>
    <n v="1.9720754121637601E-5"/>
    <n v="3"/>
    <x v="1"/>
    <s v="Yes"/>
    <x v="2"/>
    <n v="18.47"/>
    <n v="0.21890000000000001"/>
    <x v="1"/>
  </r>
  <r>
    <s v="p.Gln129His"/>
    <m/>
    <m/>
    <x v="1"/>
    <n v="6.5710793654965698E-6"/>
    <n v="1"/>
    <x v="1"/>
    <s v=""/>
    <x v="0"/>
    <n v="18.47"/>
    <n v="0.21890000000000001"/>
    <x v="1"/>
  </r>
  <r>
    <s v="p.Gln129Lys"/>
    <n v="3.98225507140183E-6"/>
    <n v="1"/>
    <x v="0"/>
    <m/>
    <m/>
    <x v="0"/>
    <s v=""/>
    <x v="0"/>
    <n v="18.47"/>
    <n v="0.21890000000000001"/>
    <x v="1"/>
  </r>
  <r>
    <s v="p.Arg132Thr"/>
    <m/>
    <m/>
    <x v="1"/>
    <n v="6.5736711323805797E-6"/>
    <n v="1"/>
    <x v="1"/>
    <s v=""/>
    <x v="0"/>
    <n v="7.21"/>
    <n v="0.30680000000000002"/>
    <x v="0"/>
  </r>
  <r>
    <s v="p.Thr134Asn"/>
    <n v="3.18593092901745E-5"/>
    <n v="1"/>
    <x v="0"/>
    <n v="1.9719457846372199E-5"/>
    <n v="3"/>
    <x v="1"/>
    <s v=""/>
    <x v="0"/>
    <n v="6.24"/>
    <n v="0.18540000000000001"/>
    <x v="0"/>
  </r>
  <r>
    <s v="p.Leu136His"/>
    <m/>
    <m/>
    <x v="1"/>
    <n v="6.5747084116819403E-6"/>
    <n v="1"/>
    <x v="1"/>
    <s v=""/>
    <x v="0"/>
    <n v="6.08"/>
    <n v="0.49330000000000002"/>
    <x v="0"/>
  </r>
  <r>
    <s v="p.Glu138Lys"/>
    <n v="1.5950616890108201E-5"/>
    <n v="4"/>
    <x v="0"/>
    <n v="6.5737575598211903E-6"/>
    <n v="1"/>
    <x v="1"/>
    <s v=""/>
    <x v="0"/>
    <n v="0.04"/>
    <n v="0.66249999999999998"/>
    <x v="0"/>
  </r>
  <r>
    <s v="p.Asn139Ser"/>
    <n v="7.9742272973748799E-6"/>
    <n v="2"/>
    <x v="0"/>
    <m/>
    <m/>
    <x v="0"/>
    <s v=""/>
    <x v="0"/>
    <n v="0"/>
    <n v="1.099"/>
    <x v="0"/>
  </r>
  <r>
    <s v="p.Gly140Cys"/>
    <n v="3.9888312724371704E-6"/>
    <n v="1"/>
    <x v="0"/>
    <m/>
    <m/>
    <x v="0"/>
    <s v=""/>
    <x v="0"/>
    <n v="4.8099999999999996"/>
    <n v="0.43070000000000003"/>
    <x v="0"/>
  </r>
  <r>
    <s v="p.Gly140Ser"/>
    <n v="7.9776625448743493E-6"/>
    <n v="2"/>
    <x v="0"/>
    <m/>
    <m/>
    <x v="0"/>
    <s v=""/>
    <x v="0"/>
    <n v="4.8099999999999996"/>
    <n v="0.43070000000000003"/>
    <x v="0"/>
  </r>
  <r>
    <s v="p.Gly141Asp"/>
    <n v="3.9909963123193998E-6"/>
    <n v="1"/>
    <x v="0"/>
    <m/>
    <m/>
    <x v="0"/>
    <s v=""/>
    <x v="0"/>
    <n v="0"/>
    <n v="0.58789999999999998"/>
    <x v="0"/>
  </r>
  <r>
    <s v="p.Gly141Ser"/>
    <n v="3.9899771773305398E-6"/>
    <n v="1"/>
    <x v="0"/>
    <m/>
    <m/>
    <x v="0"/>
    <s v="Yes"/>
    <x v="2"/>
    <n v="0"/>
    <n v="0.58789999999999998"/>
    <x v="0"/>
  </r>
  <r>
    <s v="p.Ala144Thr"/>
    <n v="1.5979163171224701E-5"/>
    <n v="4"/>
    <x v="0"/>
    <m/>
    <m/>
    <x v="0"/>
    <s v=""/>
    <x v="0"/>
    <n v="0.55000000000000004"/>
    <n v="0.45140000000000002"/>
    <x v="0"/>
  </r>
  <r>
    <s v="p.Pro145Leu"/>
    <n v="3.9969942603162397E-6"/>
    <n v="1"/>
    <x v="0"/>
    <m/>
    <m/>
    <x v="0"/>
    <s v=""/>
    <x v="0"/>
    <n v="0.14000000000000001"/>
    <n v="0.35510000000000003"/>
    <x v="0"/>
  </r>
  <r>
    <s v="p.Ile146Val"/>
    <n v="1.4786869260097001E-4"/>
    <n v="37"/>
    <x v="2"/>
    <n v="7.2327498915087494E-5"/>
    <n v="11"/>
    <x v="1"/>
    <s v="Yes"/>
    <x v="4"/>
    <n v="0.26"/>
    <n v="0.1424"/>
    <x v="2"/>
  </r>
  <r>
    <s v="p.Asp148His"/>
    <n v="4.0015686148970399E-6"/>
    <n v="1"/>
    <x v="0"/>
    <m/>
    <m/>
    <x v="0"/>
    <s v=""/>
    <x v="0"/>
    <n v="0"/>
    <n v="0.37419999999999998"/>
    <x v="0"/>
  </r>
  <r>
    <s v="p.Tyr150Asn"/>
    <n v="4.0074378045652703E-6"/>
    <n v="1"/>
    <x v="0"/>
    <m/>
    <m/>
    <x v="0"/>
    <s v=""/>
    <x v="0"/>
    <n v="12.39"/>
    <n v="0.36259999999999998"/>
    <x v="0"/>
  </r>
  <r>
    <s v="p.Tyr150Cys"/>
    <n v="4.0093337289209199E-6"/>
    <n v="1"/>
    <x v="0"/>
    <m/>
    <m/>
    <x v="0"/>
    <s v=""/>
    <x v="0"/>
    <n v="12.39"/>
    <n v="0.36259999999999998"/>
    <x v="0"/>
  </r>
  <r>
    <s v="p.Tyr150Phe"/>
    <n v="4.0093337289209199E-6"/>
    <n v="1"/>
    <x v="0"/>
    <m/>
    <m/>
    <x v="0"/>
    <s v=""/>
    <x v="0"/>
    <n v="12.39"/>
    <n v="0.36259999999999998"/>
    <x v="0"/>
  </r>
  <r>
    <s v="p.Tyr150Ser"/>
    <n v="2.4930728190955099E-5"/>
    <n v="7"/>
    <x v="0"/>
    <n v="6.57687046195938E-6"/>
    <n v="1"/>
    <x v="1"/>
    <s v=""/>
    <x v="0"/>
    <n v="12.39"/>
    <n v="0.36259999999999998"/>
    <x v="0"/>
  </r>
  <r>
    <s v="p.Phe151Ile"/>
    <n v="1.08313676406874E-4"/>
    <n v="27"/>
    <x v="2"/>
    <n v="6.5747948664001603E-6"/>
    <n v="1"/>
    <x v="1"/>
    <s v=""/>
    <x v="0"/>
    <n v="0.37"/>
    <n v="0.32919999999999999"/>
    <x v="0"/>
  </r>
  <r>
    <s v="p.Gln153Arg"/>
    <n v="2.5005179644354899E-5"/>
    <n v="7"/>
    <x v="0"/>
    <n v="1.3144058885383801E-5"/>
    <n v="2"/>
    <x v="1"/>
    <s v=""/>
    <x v="0"/>
    <n v="1.62"/>
    <n v="0.55820000000000003"/>
    <x v="0"/>
  </r>
  <r>
    <s v="p.Cys154Tyr"/>
    <n v="4.0293984913931999E-6"/>
    <n v="1"/>
    <x v="0"/>
    <m/>
    <m/>
    <x v="0"/>
    <s v=""/>
    <x v="0"/>
    <n v="1.26"/>
    <n v="0.75529999999999997"/>
    <x v="0"/>
  </r>
  <r>
    <s v="p.Asp155Asn"/>
    <n v="4.0343077531326302E-6"/>
    <n v="1"/>
    <x v="0"/>
    <m/>
    <m/>
    <x v="0"/>
    <s v=""/>
    <x v="0"/>
    <n v="0"/>
    <n v="0.7062000000000000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3BBBC5-E3C6-9E47-82CF-024B999C4BE2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7" firstHeaderRow="1" firstDataRow="2" firstDataCol="1"/>
  <pivotFields count="12"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axis="axisCol" showAll="0">
      <items count="8">
        <item m="1" x="6"/>
        <item x="3"/>
        <item x="5"/>
        <item x="4"/>
        <item x="1"/>
        <item x="2"/>
        <item x="0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2">
    <field x="3"/>
    <field x="1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8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Row Label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DA02-2818-DD43-987D-214DD70D8F96}">
  <dimension ref="B2:K13"/>
  <sheetViews>
    <sheetView workbookViewId="0">
      <selection activeCell="H20" sqref="H20"/>
    </sheetView>
  </sheetViews>
  <sheetFormatPr baseColWidth="10" defaultRowHeight="16" x14ac:dyDescent="0.2"/>
  <cols>
    <col min="2" max="2" width="14.6640625" bestFit="1" customWidth="1"/>
    <col min="3" max="11" width="10.5" customWidth="1"/>
  </cols>
  <sheetData>
    <row r="2" spans="2:11" x14ac:dyDescent="0.2">
      <c r="B2" s="42"/>
      <c r="C2" s="42" t="s">
        <v>4</v>
      </c>
      <c r="D2" s="42" t="s">
        <v>2</v>
      </c>
      <c r="E2" s="42" t="s">
        <v>5</v>
      </c>
      <c r="F2" s="42" t="s">
        <v>6</v>
      </c>
      <c r="G2" s="42" t="s">
        <v>7</v>
      </c>
      <c r="H2" s="42" t="s">
        <v>8</v>
      </c>
      <c r="I2" s="42" t="s">
        <v>9</v>
      </c>
      <c r="J2" s="42" t="s">
        <v>10</v>
      </c>
      <c r="K2" s="42" t="s">
        <v>11</v>
      </c>
    </row>
    <row r="3" spans="2:11" x14ac:dyDescent="0.2">
      <c r="B3" s="42" t="s">
        <v>21</v>
      </c>
      <c r="C3" s="40">
        <v>42</v>
      </c>
      <c r="D3" s="40">
        <v>9</v>
      </c>
      <c r="E3" s="38">
        <v>0</v>
      </c>
      <c r="F3" s="38">
        <v>9</v>
      </c>
      <c r="G3" s="38">
        <v>0</v>
      </c>
      <c r="H3" s="38">
        <v>0</v>
      </c>
      <c r="I3" s="40">
        <v>4</v>
      </c>
      <c r="J3" s="38">
        <v>34</v>
      </c>
      <c r="K3" s="38">
        <v>4</v>
      </c>
    </row>
    <row r="4" spans="2:11" x14ac:dyDescent="0.2">
      <c r="B4" s="42" t="s">
        <v>23</v>
      </c>
      <c r="C4" s="41">
        <v>7</v>
      </c>
      <c r="D4" s="41">
        <v>7</v>
      </c>
      <c r="E4" s="39">
        <v>2</v>
      </c>
      <c r="F4" s="39">
        <v>2</v>
      </c>
      <c r="G4" s="39">
        <v>3</v>
      </c>
      <c r="H4" s="39">
        <v>0</v>
      </c>
      <c r="I4" s="41">
        <v>1</v>
      </c>
      <c r="J4" s="39">
        <v>4</v>
      </c>
      <c r="K4" s="39">
        <v>2</v>
      </c>
    </row>
    <row r="5" spans="2:11" x14ac:dyDescent="0.2">
      <c r="B5" s="42" t="s">
        <v>25</v>
      </c>
      <c r="C5" s="40">
        <v>5</v>
      </c>
      <c r="D5" s="40">
        <v>4</v>
      </c>
      <c r="E5" s="38">
        <v>0</v>
      </c>
      <c r="F5" s="38">
        <v>1</v>
      </c>
      <c r="G5" s="38">
        <v>1</v>
      </c>
      <c r="H5" s="38">
        <v>2</v>
      </c>
      <c r="I5" s="40">
        <v>0</v>
      </c>
      <c r="J5" s="38">
        <v>3</v>
      </c>
      <c r="K5" s="38">
        <v>2</v>
      </c>
    </row>
    <row r="6" spans="2:11" x14ac:dyDescent="0.2">
      <c r="B6" s="43" t="s">
        <v>27</v>
      </c>
      <c r="C6" s="37">
        <v>54</v>
      </c>
      <c r="D6" s="37">
        <v>20</v>
      </c>
      <c r="E6" s="37">
        <v>2</v>
      </c>
      <c r="F6" s="37">
        <v>12</v>
      </c>
      <c r="G6" s="37">
        <v>4</v>
      </c>
      <c r="H6" s="37">
        <v>2</v>
      </c>
      <c r="I6" s="37">
        <v>5</v>
      </c>
      <c r="J6" s="37">
        <v>41</v>
      </c>
      <c r="K6" s="37">
        <v>8</v>
      </c>
    </row>
    <row r="7" spans="2:11" x14ac:dyDescent="0.2">
      <c r="B7" s="42" t="s">
        <v>29</v>
      </c>
      <c r="C7" s="40">
        <v>14</v>
      </c>
      <c r="D7" s="40">
        <v>0</v>
      </c>
      <c r="E7" s="38">
        <v>0</v>
      </c>
      <c r="F7" s="38">
        <v>0</v>
      </c>
      <c r="G7" s="38">
        <v>0</v>
      </c>
      <c r="H7" s="38">
        <v>0</v>
      </c>
      <c r="I7" s="40">
        <v>3</v>
      </c>
      <c r="J7" s="38">
        <v>9</v>
      </c>
      <c r="K7" s="38">
        <v>2</v>
      </c>
    </row>
    <row r="8" spans="2:11" x14ac:dyDescent="0.2">
      <c r="B8" s="42" t="s">
        <v>31</v>
      </c>
      <c r="C8" s="41">
        <v>53</v>
      </c>
      <c r="D8" s="41">
        <v>3</v>
      </c>
      <c r="E8" s="39">
        <v>0</v>
      </c>
      <c r="F8" s="39">
        <v>3</v>
      </c>
      <c r="G8" s="39">
        <v>0</v>
      </c>
      <c r="H8" s="39">
        <v>0</v>
      </c>
      <c r="I8" s="41">
        <v>5</v>
      </c>
      <c r="J8" s="39">
        <v>41</v>
      </c>
      <c r="K8" s="39">
        <v>7</v>
      </c>
    </row>
    <row r="9" spans="2:11" x14ac:dyDescent="0.2">
      <c r="B9" s="42" t="s">
        <v>33</v>
      </c>
      <c r="C9" s="40">
        <v>3</v>
      </c>
      <c r="D9" s="40">
        <v>3</v>
      </c>
      <c r="E9" s="38">
        <v>0</v>
      </c>
      <c r="F9" s="38">
        <v>2</v>
      </c>
      <c r="G9" s="38">
        <v>0</v>
      </c>
      <c r="H9" s="38">
        <v>1</v>
      </c>
      <c r="I9" s="40">
        <v>1</v>
      </c>
      <c r="J9" s="38">
        <v>2</v>
      </c>
      <c r="K9" s="38">
        <v>0</v>
      </c>
    </row>
    <row r="10" spans="2:11" x14ac:dyDescent="0.2">
      <c r="B10" s="43" t="s">
        <v>35</v>
      </c>
      <c r="C10" s="37">
        <v>124</v>
      </c>
      <c r="D10" s="37">
        <v>26</v>
      </c>
      <c r="E10" s="37">
        <v>2</v>
      </c>
      <c r="F10" s="37">
        <v>17</v>
      </c>
      <c r="G10" s="37">
        <v>4</v>
      </c>
      <c r="H10" s="37">
        <v>7</v>
      </c>
      <c r="I10" s="37">
        <v>14</v>
      </c>
      <c r="J10" s="37">
        <v>93</v>
      </c>
      <c r="K10" s="37">
        <v>17</v>
      </c>
    </row>
    <row r="11" spans="2:11" x14ac:dyDescent="0.2">
      <c r="B11" s="42" t="s">
        <v>9</v>
      </c>
      <c r="C11" s="41">
        <v>10</v>
      </c>
      <c r="D11" s="41">
        <v>4</v>
      </c>
      <c r="E11" s="39">
        <v>0</v>
      </c>
      <c r="F11" s="39">
        <v>4</v>
      </c>
      <c r="G11" s="39">
        <v>0</v>
      </c>
      <c r="H11" s="39">
        <v>0</v>
      </c>
    </row>
    <row r="12" spans="2:11" x14ac:dyDescent="0.2">
      <c r="B12" s="42" t="s">
        <v>10</v>
      </c>
      <c r="C12" s="40">
        <v>82</v>
      </c>
      <c r="D12" s="40">
        <v>17</v>
      </c>
      <c r="E12" s="38">
        <v>2</v>
      </c>
      <c r="F12" s="38">
        <v>12</v>
      </c>
      <c r="G12" s="38">
        <v>1</v>
      </c>
      <c r="H12" s="38">
        <v>3</v>
      </c>
    </row>
    <row r="13" spans="2:11" x14ac:dyDescent="0.2">
      <c r="B13" s="42" t="s">
        <v>11</v>
      </c>
      <c r="C13" s="41">
        <v>15</v>
      </c>
      <c r="D13" s="41">
        <v>5</v>
      </c>
      <c r="E13" s="39">
        <v>0</v>
      </c>
      <c r="F13" s="39">
        <v>1</v>
      </c>
      <c r="G13" s="39">
        <v>3</v>
      </c>
      <c r="H13" s="39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AABB-F1CA-2A4F-9ADB-CB4DFAF9A3A1}">
  <dimension ref="A1:X127"/>
  <sheetViews>
    <sheetView topLeftCell="A94" workbookViewId="0">
      <selection activeCell="O122" sqref="O122"/>
    </sheetView>
  </sheetViews>
  <sheetFormatPr baseColWidth="10" defaultRowHeight="16" x14ac:dyDescent="0.2"/>
  <cols>
    <col min="2" max="2" width="11.6640625" bestFit="1" customWidth="1"/>
    <col min="3" max="3" width="14.83203125" bestFit="1" customWidth="1"/>
    <col min="4" max="4" width="11" bestFit="1" customWidth="1"/>
    <col min="5" max="5" width="10.83203125" bestFit="1" customWidth="1"/>
    <col min="6" max="6" width="14.83203125" bestFit="1" customWidth="1"/>
    <col min="7" max="7" width="11" bestFit="1" customWidth="1"/>
    <col min="8" max="8" width="10.83203125" bestFit="1" customWidth="1"/>
    <col min="9" max="9" width="7.33203125" bestFit="1" customWidth="1"/>
    <col min="10" max="10" width="45.33203125" bestFit="1" customWidth="1"/>
    <col min="11" max="11" width="6.5" bestFit="1" customWidth="1"/>
    <col min="12" max="12" width="8.1640625" bestFit="1" customWidth="1"/>
    <col min="13" max="13" width="8.5" bestFit="1" customWidth="1"/>
    <col min="15" max="15" width="15.5" bestFit="1" customWidth="1"/>
  </cols>
  <sheetData>
    <row r="1" spans="1:24" ht="17" thickBot="1" x14ac:dyDescent="0.25"/>
    <row r="2" spans="1:24" x14ac:dyDescent="0.2">
      <c r="B2" s="1"/>
      <c r="C2" s="2" t="s">
        <v>0</v>
      </c>
      <c r="D2" s="3"/>
      <c r="E2" s="4"/>
      <c r="F2" s="2" t="s">
        <v>1</v>
      </c>
      <c r="G2" s="3"/>
      <c r="H2" s="4"/>
      <c r="I2" s="3" t="s">
        <v>2</v>
      </c>
      <c r="J2" s="3"/>
      <c r="K2" s="2" t="s">
        <v>3</v>
      </c>
      <c r="L2" s="3"/>
      <c r="M2" s="4"/>
      <c r="O2" s="5"/>
      <c r="P2" s="5" t="s">
        <v>4</v>
      </c>
      <c r="Q2" s="5" t="s">
        <v>2</v>
      </c>
      <c r="R2" s="5" t="s">
        <v>5</v>
      </c>
      <c r="S2" s="5" t="s">
        <v>6</v>
      </c>
      <c r="T2" s="5" t="s">
        <v>7</v>
      </c>
      <c r="U2" s="5" t="s">
        <v>8</v>
      </c>
      <c r="V2" s="5" t="s">
        <v>9</v>
      </c>
      <c r="W2" s="5" t="s">
        <v>10</v>
      </c>
      <c r="X2" s="5" t="s">
        <v>11</v>
      </c>
    </row>
    <row r="3" spans="1:24" ht="17" thickBot="1" x14ac:dyDescent="0.25">
      <c r="B3" s="6" t="s">
        <v>12</v>
      </c>
      <c r="C3" s="7" t="s">
        <v>13</v>
      </c>
      <c r="D3" s="8" t="s">
        <v>14</v>
      </c>
      <c r="E3" s="9" t="s">
        <v>15</v>
      </c>
      <c r="F3" s="7" t="s">
        <v>13</v>
      </c>
      <c r="G3" s="8" t="s">
        <v>14</v>
      </c>
      <c r="H3" s="9" t="s">
        <v>15</v>
      </c>
      <c r="I3" s="10" t="s">
        <v>16</v>
      </c>
      <c r="J3" s="11" t="s">
        <v>17</v>
      </c>
      <c r="K3" s="12" t="s">
        <v>18</v>
      </c>
      <c r="L3" s="13" t="s">
        <v>19</v>
      </c>
      <c r="M3" s="9" t="s">
        <v>20</v>
      </c>
      <c r="O3" s="5" t="s">
        <v>21</v>
      </c>
      <c r="P3" s="14">
        <f>COUNTIFS($E$4:$E$127,$O3,$H$4:$H$127,$O3)</f>
        <v>42</v>
      </c>
      <c r="Q3" s="14">
        <f>COUNTIFS($E$4:$E$127,$O3,$H$4:$H$127,$O3,$I$4:$I$127,"Yes")</f>
        <v>9</v>
      </c>
      <c r="R3" s="15">
        <f>COUNTIFS($E$4:$E$127,$O3,$H$4:$H$127,$O3,$J$4:$J$127,"*Benign*")</f>
        <v>0</v>
      </c>
      <c r="S3" s="15">
        <f>COUNTIFS($E$4:$E$127,$O3,$H$4:$H$127,$O3,$J$4:$J$127,"*Uncertain*")</f>
        <v>9</v>
      </c>
      <c r="T3" s="15">
        <f>COUNTIFS($E$4:$E$127,$O3,$H$4:$H$127,$O3,$J$4:$J$127,"*Conflicting*")</f>
        <v>0</v>
      </c>
      <c r="U3" s="15">
        <f>COUNTIFS($E$4:$E$127,$O3,$H$4:$H$127,$O3,$J$4:$J$127,"*Pathogenic*")</f>
        <v>0</v>
      </c>
      <c r="V3" s="14">
        <f>COUNTIFS($E$4:$E$127,$O3,$H$4:$H$127,$O3,$M$4:$M$127,"Interface")</f>
        <v>4</v>
      </c>
      <c r="W3" s="15">
        <f>COUNTIFS($E$4:$E$127,$O3,$H$4:$H$127,$O3,$M$4:$M$127,"Surface")</f>
        <v>34</v>
      </c>
      <c r="X3" s="15">
        <f>COUNTIFS($E$4:$E$127,$O3,$H$4:$H$127,$O3,$M$4:$M$127,"Core")</f>
        <v>4</v>
      </c>
    </row>
    <row r="4" spans="1:24" x14ac:dyDescent="0.2">
      <c r="A4">
        <f>VALUE(RIGHT(LEFT(B4,LEN(B4)-3),LEN(LEFT(B4,LEN(B4)-3))-5))</f>
        <v>2</v>
      </c>
      <c r="B4" s="16" t="s">
        <v>22</v>
      </c>
      <c r="C4" s="17">
        <v>3.9766807441165001E-6</v>
      </c>
      <c r="D4" s="18">
        <v>1</v>
      </c>
      <c r="E4" s="19" t="s">
        <v>21</v>
      </c>
      <c r="F4" s="17"/>
      <c r="G4" s="18"/>
      <c r="H4" s="19" t="s">
        <v>33</v>
      </c>
      <c r="I4" s="20" t="s">
        <v>153</v>
      </c>
      <c r="J4" s="21"/>
      <c r="K4" s="17">
        <v>0</v>
      </c>
      <c r="L4" s="20" t="s">
        <v>154</v>
      </c>
      <c r="M4" s="19" t="s">
        <v>10</v>
      </c>
      <c r="O4" s="5" t="s">
        <v>23</v>
      </c>
      <c r="P4" s="22">
        <f>COUNTIFS($E$4:$E$127,$O4,$H$4:$H$127,$O4)</f>
        <v>7</v>
      </c>
      <c r="Q4" s="22">
        <f>COUNTIFS($E$4:$E$127,$O4,$H$4:$H$127,$O4,$I$4:$I$127,"Yes")</f>
        <v>7</v>
      </c>
      <c r="R4" s="23">
        <f>COUNTIFS($E$4:$E$127,$O4,$H$4:$H$127,$O4,$J$4:$J$127,"*Benign*")</f>
        <v>2</v>
      </c>
      <c r="S4" s="23">
        <f>COUNTIFS($E$4:$E$127,$O4,$H$4:$H$127,$O4,$J$4:$J$127,"*Uncertain*")</f>
        <v>2</v>
      </c>
      <c r="T4" s="23">
        <f>COUNTIFS($E$4:$E$127,$O4,$H$4:$H$127,$O4,$J$4:$J$127,"*Conflicting*")</f>
        <v>3</v>
      </c>
      <c r="U4" s="23">
        <f>COUNTIFS($E$4:$E$127,$O4,$H$4:$H$127,$O4,$J$4:$J$127,"*Pathogenic*")-T4</f>
        <v>0</v>
      </c>
      <c r="V4" s="22">
        <f>COUNTIFS($E$4:$E$127,$O4,$H$4:$H$127,$O4,$M$4:$M$127,"Interface")</f>
        <v>1</v>
      </c>
      <c r="W4" s="23">
        <f>COUNTIFS($E$4:$E$127,$O4,$H$4:$H$127,$O4,$M$4:$M$127,"Surface")</f>
        <v>4</v>
      </c>
      <c r="X4" s="23">
        <f>COUNTIFS($E$4:$E$127,$O4,$H$4:$H$127,$O4,$M$4:$M$127,"Core")</f>
        <v>2</v>
      </c>
    </row>
    <row r="5" spans="1:24" x14ac:dyDescent="0.2">
      <c r="A5">
        <f>VALUE(RIGHT(LEFT(B5,LEN(B5)-3),LEN(LEFT(B5,LEN(B5)-3))-5))</f>
        <v>3</v>
      </c>
      <c r="B5" s="24" t="s">
        <v>24</v>
      </c>
      <c r="C5" s="25">
        <v>2.3860084464699E-5</v>
      </c>
      <c r="D5" s="26">
        <v>6</v>
      </c>
      <c r="E5" s="27" t="s">
        <v>21</v>
      </c>
      <c r="F5" s="25"/>
      <c r="G5" s="26"/>
      <c r="H5" s="27" t="s">
        <v>33</v>
      </c>
      <c r="I5" s="28" t="s">
        <v>153</v>
      </c>
      <c r="J5" s="29"/>
      <c r="K5" s="25">
        <v>0</v>
      </c>
      <c r="L5" s="28" t="s">
        <v>154</v>
      </c>
      <c r="M5" s="27" t="s">
        <v>10</v>
      </c>
      <c r="O5" s="5" t="s">
        <v>25</v>
      </c>
      <c r="P5" s="14">
        <f>COUNTIFS($E$4:$E$127,"Common",$H$4:$H$127,"Rare")</f>
        <v>5</v>
      </c>
      <c r="Q5" s="14">
        <f>COUNTIFS($E$4:$E$127,"Common",$H$4:$H$127,"Rare",$I$4:$I$127,"Yes")</f>
        <v>4</v>
      </c>
      <c r="R5" s="15">
        <f>COUNTIFS($E$4:$E$127,"Common",$H$4:$H$127,"Rare",$J$4:$J$127,"*Benign*")</f>
        <v>0</v>
      </c>
      <c r="S5" s="15">
        <f>COUNTIFS($E$4:$E$127,"Common",$H$4:$H$127,"Rare",$J$4:$J$127,"*Uncertain*")</f>
        <v>1</v>
      </c>
      <c r="T5" s="15">
        <f>COUNTIFS($E$4:$E$127,"Common",$H$4:$H$127,"Rare",$J$4:$J$127,"*Conflicting*")</f>
        <v>1</v>
      </c>
      <c r="U5" s="15">
        <f>COUNTIFS($E$4:$E$127,"Common",$H$4:$H$127,"Rare",$J$4:$J$127,"*Pathogenic*")-T5</f>
        <v>2</v>
      </c>
      <c r="V5" s="14">
        <f>COUNTIFS($E$4:$E$127,"Common",$H$4:$H$127,"Rare",$M$4:$M$127,"Interface")</f>
        <v>0</v>
      </c>
      <c r="W5" s="15">
        <f>COUNTIFS($E$4:$E$127,"Common",$H$4:$H$127,"Rare",$M$4:$M$127,"Surface")</f>
        <v>3</v>
      </c>
      <c r="X5" s="15">
        <f>COUNTIFS($E$4:$E$127,"Common",$H$4:$H$127,"Rare",$M$4:$M$127,"Core")</f>
        <v>2</v>
      </c>
    </row>
    <row r="6" spans="1:24" x14ac:dyDescent="0.2">
      <c r="A6">
        <f>VALUE(RIGHT(LEFT(B6,LEN(B6)-3),LEN(LEFT(B6,LEN(B6)-3))-5))</f>
        <v>6</v>
      </c>
      <c r="B6" s="16" t="s">
        <v>26</v>
      </c>
      <c r="C6" s="17">
        <v>1.19300422323495E-5</v>
      </c>
      <c r="D6" s="18">
        <v>3</v>
      </c>
      <c r="E6" s="19" t="s">
        <v>21</v>
      </c>
      <c r="F6" s="17"/>
      <c r="G6" s="18"/>
      <c r="H6" s="19" t="s">
        <v>33</v>
      </c>
      <c r="I6" s="20" t="s">
        <v>153</v>
      </c>
      <c r="J6" s="21"/>
      <c r="K6" s="17">
        <v>9.3699999999999992</v>
      </c>
      <c r="L6" s="20">
        <v>0.4612</v>
      </c>
      <c r="M6" s="19" t="s">
        <v>10</v>
      </c>
      <c r="O6" s="5" t="s">
        <v>27</v>
      </c>
      <c r="P6" s="22">
        <f>SUM(P3:P5)</f>
        <v>54</v>
      </c>
      <c r="Q6" s="22">
        <f t="shared" ref="Q6:X6" si="0">SUM(Q3:Q5)</f>
        <v>20</v>
      </c>
      <c r="R6" s="23">
        <f t="shared" si="0"/>
        <v>2</v>
      </c>
      <c r="S6" s="23">
        <f t="shared" si="0"/>
        <v>12</v>
      </c>
      <c r="T6" s="23">
        <f t="shared" si="0"/>
        <v>4</v>
      </c>
      <c r="U6" s="23">
        <f t="shared" si="0"/>
        <v>2</v>
      </c>
      <c r="V6" s="22">
        <f t="shared" si="0"/>
        <v>5</v>
      </c>
      <c r="W6" s="23">
        <f t="shared" si="0"/>
        <v>41</v>
      </c>
      <c r="X6" s="23">
        <f t="shared" si="0"/>
        <v>8</v>
      </c>
    </row>
    <row r="7" spans="1:24" x14ac:dyDescent="0.2">
      <c r="A7">
        <f>VALUE(RIGHT(LEFT(B7,LEN(B7)-3),LEN(LEFT(B7,LEN(B7)-3))-5))</f>
        <v>6</v>
      </c>
      <c r="B7" s="24" t="s">
        <v>28</v>
      </c>
      <c r="C7" s="25">
        <v>7.9536777806057506E-6</v>
      </c>
      <c r="D7" s="26">
        <v>2</v>
      </c>
      <c r="E7" s="27" t="s">
        <v>21</v>
      </c>
      <c r="F7" s="25">
        <v>1.31559905803107E-5</v>
      </c>
      <c r="G7" s="26">
        <v>2</v>
      </c>
      <c r="H7" s="27" t="s">
        <v>21</v>
      </c>
      <c r="I7" s="28" t="s">
        <v>153</v>
      </c>
      <c r="J7" s="29"/>
      <c r="K7" s="25">
        <v>9.3699999999999992</v>
      </c>
      <c r="L7" s="28">
        <v>0.4612</v>
      </c>
      <c r="M7" s="27" t="s">
        <v>10</v>
      </c>
      <c r="O7" s="5" t="s">
        <v>29</v>
      </c>
      <c r="P7" s="14">
        <f>COUNTIFS($E$4:$E$127,"Not Present",$H$4:$H$127,"Rare")</f>
        <v>14</v>
      </c>
      <c r="Q7" s="14">
        <f>COUNTIFS($E$4:$E$127,"Not Present",$H$4:$H$127,"Rare",$I$4:$I$127,"Yes")</f>
        <v>0</v>
      </c>
      <c r="R7" s="15">
        <f>COUNTIFS($E$4:$E$127,"Not Present",$H$4:$H$127,"Rare",$J$4:$J$127,"*Benign*")</f>
        <v>0</v>
      </c>
      <c r="S7" s="15">
        <f>COUNTIFS($E$4:$E$127,"Not Present",$H$4:$H$127,"Rare",$J$4:$J$127,"*Uncertain*")</f>
        <v>0</v>
      </c>
      <c r="T7" s="15">
        <f>COUNTIFS($E$4:$E$127,"Not Present",$H$4:$H$127,"Rare",$J$4:$J$127,"*Conflicting*")</f>
        <v>0</v>
      </c>
      <c r="U7" s="15">
        <f>COUNTIFS($E$4:$E$127,"Not Present",$H$4:$H$127,"Rare",$J$4:$J$127,"*Pathogenic*")-T7</f>
        <v>0</v>
      </c>
      <c r="V7" s="14">
        <f>COUNTIFS($E$4:$E$127,"Not Present",$H$4:$H$127,"Rare",$M$4:$M$127,"Interface")</f>
        <v>3</v>
      </c>
      <c r="W7" s="15">
        <f>COUNTIFS($E$4:$E$127,"Not Present",$H$4:$H$127,"Rare",$M$4:$M$127,"Surface")</f>
        <v>9</v>
      </c>
      <c r="X7" s="15">
        <f>COUNTIFS($E$4:$E$127,"Not Present",$H$4:$H$127,"Rare",$M$4:$M$127,"Core")</f>
        <v>2</v>
      </c>
    </row>
    <row r="8" spans="1:24" x14ac:dyDescent="0.2">
      <c r="A8">
        <f>VALUE(RIGHT(LEFT(B8,LEN(B8)-3),LEN(LEFT(B8,LEN(B8)-3))-5))</f>
        <v>8</v>
      </c>
      <c r="B8" s="16" t="s">
        <v>30</v>
      </c>
      <c r="C8" s="17">
        <v>3.97671237234753E-6</v>
      </c>
      <c r="D8" s="18">
        <v>1</v>
      </c>
      <c r="E8" s="19" t="s">
        <v>21</v>
      </c>
      <c r="F8" s="17"/>
      <c r="G8" s="18"/>
      <c r="H8" s="19" t="s">
        <v>33</v>
      </c>
      <c r="I8" s="20" t="s">
        <v>153</v>
      </c>
      <c r="J8" s="21"/>
      <c r="K8" s="17">
        <v>0</v>
      </c>
      <c r="L8" s="20">
        <v>0.187</v>
      </c>
      <c r="M8" s="19" t="s">
        <v>10</v>
      </c>
      <c r="O8" s="5" t="s">
        <v>31</v>
      </c>
      <c r="P8" s="22">
        <f>COUNTIFS($E$4:$E$127,"Rare",$H$4:$H$127,"Not Present")</f>
        <v>53</v>
      </c>
      <c r="Q8" s="22">
        <f>COUNTIFS($E$4:$E$127,"Rare",$H$4:$H$127,"Not Present",$I$4:$I$127,"Yes")</f>
        <v>3</v>
      </c>
      <c r="R8" s="23">
        <f>COUNTIFS($E$4:$E$127,"Rare",$H$4:$H$127,"Not Present",$J$4:$J$127,"*Benign*")</f>
        <v>0</v>
      </c>
      <c r="S8" s="23">
        <f>COUNTIFS($E$4:$E$127,"Rare",$H$4:$H$127,"Not Present",$J$4:$J$127,"*Uncertain*")</f>
        <v>3</v>
      </c>
      <c r="T8" s="23">
        <f>COUNTIFS($E$4:$E$127,"Rare",$H$4:$H$127,"Not Present",$J$4:$J$127,"*Conflicting*")</f>
        <v>0</v>
      </c>
      <c r="U8" s="23">
        <f>COUNTIFS($E$4:$E$127,"Rare",$H$4:$H$127,"Not Present",$J$4:$J$127,"*Pathogenic*")-T8</f>
        <v>0</v>
      </c>
      <c r="V8" s="22">
        <f>COUNTIFS($E$4:$E$127,"Rare",$H$4:$H$127,"Not Present",$M$4:$M$127,"Interface")</f>
        <v>5</v>
      </c>
      <c r="W8" s="23">
        <f>COUNTIFS($E$4:$E$127,"Rare",$H$4:$H$127,"Not Present",$M$4:$M$127,"Surface")</f>
        <v>41</v>
      </c>
      <c r="X8" s="23">
        <f>COUNTIFS($E$4:$E$127,"Rare",$H$4:$H$127,"Not Present",$M$4:$M$127,"Core")</f>
        <v>7</v>
      </c>
    </row>
    <row r="9" spans="1:24" x14ac:dyDescent="0.2">
      <c r="A9">
        <f>VALUE(RIGHT(LEFT(B9,LEN(B9)-3),LEN(LEFT(B9,LEN(B9)-3))-5))</f>
        <v>10</v>
      </c>
      <c r="B9" s="24" t="s">
        <v>32</v>
      </c>
      <c r="C9" s="25">
        <v>1.5907482084198301E-5</v>
      </c>
      <c r="D9" s="26">
        <v>4</v>
      </c>
      <c r="E9" s="27" t="s">
        <v>21</v>
      </c>
      <c r="F9" s="25">
        <v>1.31450955648447E-5</v>
      </c>
      <c r="G9" s="26">
        <v>2</v>
      </c>
      <c r="H9" s="27" t="s">
        <v>21</v>
      </c>
      <c r="I9" s="28" t="s">
        <v>153</v>
      </c>
      <c r="J9" s="29"/>
      <c r="K9" s="25">
        <v>0.28000000000000003</v>
      </c>
      <c r="L9" s="28">
        <v>0.34749999999999998</v>
      </c>
      <c r="M9" s="27" t="s">
        <v>10</v>
      </c>
      <c r="O9" s="5" t="s">
        <v>33</v>
      </c>
      <c r="P9" s="14">
        <f>COUNTIFS($E$4:$E$127,$O9,$H$4:$H$127,$O9)</f>
        <v>3</v>
      </c>
      <c r="Q9" s="14">
        <f>COUNTIFS($E$4:$E$127,$O9,$H$4:$H$127,$O9,$I$4:$I$127,"Yes")</f>
        <v>3</v>
      </c>
      <c r="R9" s="15">
        <f>COUNTIFS($E$4:$E$127,$O9,$H$4:$H$127,$O9,$J$4:$J$127,"*Benign*")</f>
        <v>0</v>
      </c>
      <c r="S9" s="15">
        <f>COUNTIFS($E$4:$E$127,$O9,$H$4:$H$127,$O9,$J$4:$J$127,"*Uncertain*")</f>
        <v>2</v>
      </c>
      <c r="T9" s="15">
        <f>COUNTIFS($E$4:$E$127,$O9,$H$4:$H$127,$O9,$J$4:$J$127,"*Conflicting*")</f>
        <v>0</v>
      </c>
      <c r="U9" s="15">
        <f>COUNTIFS($E$4:$E$127,$O9,$H$4:$H$127,$O9,$J$4:$J$127,"*Pathogenic*")-T9</f>
        <v>1</v>
      </c>
      <c r="V9" s="14">
        <f>COUNTIFS($E$4:$E$127,$O9,$H$4:$H$127,$O9,$M$4:$M$127,"Interface")</f>
        <v>1</v>
      </c>
      <c r="W9" s="15">
        <f>COUNTIFS($E$4:$E$127,$O9,$H$4:$H$127,$O9,$M$4:$M$127,"Surface")</f>
        <v>2</v>
      </c>
      <c r="X9" s="15">
        <f>COUNTIFS($E$4:$E$127,$O9,$H$4:$H$127,$O9,$M$4:$M$127,"Core")</f>
        <v>0</v>
      </c>
    </row>
    <row r="10" spans="1:24" x14ac:dyDescent="0.2">
      <c r="A10">
        <f>VALUE(RIGHT(LEFT(B10,LEN(B10)-3),LEN(LEFT(B10,LEN(B10)-3))-5))</f>
        <v>14</v>
      </c>
      <c r="B10" s="16" t="s">
        <v>34</v>
      </c>
      <c r="C10" s="17">
        <v>2.7854044805220601E-5</v>
      </c>
      <c r="D10" s="18">
        <v>7</v>
      </c>
      <c r="E10" s="19" t="s">
        <v>21</v>
      </c>
      <c r="F10" s="17">
        <v>6.5697842482852796E-6</v>
      </c>
      <c r="G10" s="18">
        <v>1</v>
      </c>
      <c r="H10" s="19" t="s">
        <v>21</v>
      </c>
      <c r="I10" s="20" t="s">
        <v>153</v>
      </c>
      <c r="J10" s="21"/>
      <c r="K10" s="17">
        <v>0</v>
      </c>
      <c r="L10" s="20">
        <v>0.32900000000000001</v>
      </c>
      <c r="M10" s="19" t="s">
        <v>10</v>
      </c>
      <c r="O10" s="5" t="s">
        <v>35</v>
      </c>
      <c r="P10" s="30">
        <f>COUNTA(E4:E127)</f>
        <v>124</v>
      </c>
      <c r="Q10" s="30">
        <f>COUNTIF($I$4:$I$127,"Yes")</f>
        <v>26</v>
      </c>
      <c r="R10" s="30">
        <f>COUNTIF($J$4:$J$127,"*Benign*")</f>
        <v>2</v>
      </c>
      <c r="S10" s="30">
        <f>COUNTIF($J$4:$J$127,"*Uncertain*")</f>
        <v>17</v>
      </c>
      <c r="T10" s="30">
        <f>COUNTIF($J$4:$J$127,"*Conflicting*")</f>
        <v>4</v>
      </c>
      <c r="U10" s="30">
        <f>COUNTIF($J$4:$J$127,"*Pathogenic*")</f>
        <v>7</v>
      </c>
      <c r="V10" s="30">
        <f>COUNTIF($M$4:$M$127,"Interface")</f>
        <v>14</v>
      </c>
      <c r="W10" s="30">
        <f>COUNTIF($M$4:$M$127,"Surface")</f>
        <v>93</v>
      </c>
      <c r="X10" s="30">
        <f>COUNTIF($M$4:$M$127,"Core")</f>
        <v>17</v>
      </c>
    </row>
    <row r="11" spans="1:24" x14ac:dyDescent="0.2">
      <c r="A11">
        <f>VALUE(RIGHT(LEFT(B11,LEN(B11)-3),LEN(LEFT(B11,LEN(B11)-3))-5))</f>
        <v>15</v>
      </c>
      <c r="B11" s="24" t="s">
        <v>36</v>
      </c>
      <c r="C11" s="25">
        <v>3.9785160135269499E-6</v>
      </c>
      <c r="D11" s="26">
        <v>1</v>
      </c>
      <c r="E11" s="27" t="s">
        <v>21</v>
      </c>
      <c r="F11" s="25">
        <v>6.5690937278292996E-6</v>
      </c>
      <c r="G11" s="26">
        <v>1</v>
      </c>
      <c r="H11" s="27" t="s">
        <v>21</v>
      </c>
      <c r="I11" s="28" t="s">
        <v>153</v>
      </c>
      <c r="J11" s="29"/>
      <c r="K11" s="25">
        <v>1.1599999999999999</v>
      </c>
      <c r="L11" s="28">
        <v>0.29480000000000001</v>
      </c>
      <c r="M11" s="27" t="s">
        <v>10</v>
      </c>
      <c r="O11" s="5" t="s">
        <v>9</v>
      </c>
      <c r="P11" s="14">
        <f>COUNTIFS($D$4:$D$127,"&gt;0",$M$4:$M$127,$O11)</f>
        <v>10</v>
      </c>
      <c r="Q11" s="14">
        <f>COUNTIFS($M$4:M$127,$O11,$I$4:$I$127,"Yes")</f>
        <v>4</v>
      </c>
      <c r="R11" s="15">
        <f>COUNTIFS($M$4:M$127,$O11,$J$4:$J$127,"*Benign*")</f>
        <v>0</v>
      </c>
      <c r="S11" s="15">
        <f>COUNTIFS($M$4:M$127,$O11,$J$4:$J$127,"*Uncertain*")</f>
        <v>4</v>
      </c>
      <c r="T11" s="15">
        <f>COUNTIFS($M$4:M$127,$O11,$J$4:$J$127,"*Conflicting*")</f>
        <v>0</v>
      </c>
      <c r="U11" s="15">
        <f>COUNTIFS($M$4:M$127,$O11,$J$4:$J$127,"*Pathogenic*")</f>
        <v>0</v>
      </c>
    </row>
    <row r="12" spans="1:24" x14ac:dyDescent="0.2">
      <c r="A12">
        <f>VALUE(RIGHT(LEFT(B12,LEN(B12)-3),LEN(LEFT(B12,LEN(B12)-3))-5))</f>
        <v>15</v>
      </c>
      <c r="B12" s="16" t="s">
        <v>37</v>
      </c>
      <c r="C12" s="17">
        <v>1.1935073201782299E-5</v>
      </c>
      <c r="D12" s="18">
        <v>3</v>
      </c>
      <c r="E12" s="19" t="s">
        <v>21</v>
      </c>
      <c r="F12" s="17"/>
      <c r="G12" s="18"/>
      <c r="H12" s="19" t="s">
        <v>33</v>
      </c>
      <c r="I12" s="20" t="s">
        <v>153</v>
      </c>
      <c r="J12" s="21"/>
      <c r="K12" s="17">
        <v>1.1599999999999999</v>
      </c>
      <c r="L12" s="20">
        <v>0.29480000000000001</v>
      </c>
      <c r="M12" s="19" t="s">
        <v>10</v>
      </c>
      <c r="O12" s="5" t="s">
        <v>10</v>
      </c>
      <c r="P12" s="14">
        <f t="shared" ref="P12:P13" si="1">COUNTIFS($D$4:$D$127,"&gt;0",$M$4:$M$127,$O12)</f>
        <v>82</v>
      </c>
      <c r="Q12" s="14">
        <f>COUNTIFS($M$4:M$127,$O12,$I$4:$I$127,"Yes")</f>
        <v>17</v>
      </c>
      <c r="R12" s="15">
        <f>COUNTIFS($M$4:M$127,$O12,$J$4:$J$127,"*Benign*")</f>
        <v>2</v>
      </c>
      <c r="S12" s="15">
        <f>COUNTIFS($M$4:M$127,$O12,$J$4:$J$127,"*Uncertain*")</f>
        <v>12</v>
      </c>
      <c r="T12" s="15">
        <f>COUNTIFS($M$4:M$127,$O12,$J$4:$J$127,"*Conflicting*")</f>
        <v>1</v>
      </c>
      <c r="U12" s="15">
        <f>COUNTIFS($M$4:M$127,$O12,$J$4:$J$127,"*Pathogenic*")</f>
        <v>3</v>
      </c>
    </row>
    <row r="13" spans="1:24" x14ac:dyDescent="0.2">
      <c r="A13">
        <f>VALUE(RIGHT(LEFT(B13,LEN(B13)-3),LEN(LEFT(B13,LEN(B13)-3))-5))</f>
        <v>18</v>
      </c>
      <c r="B13" s="24" t="s">
        <v>38</v>
      </c>
      <c r="C13" s="25">
        <v>7.9553229065567698E-6</v>
      </c>
      <c r="D13" s="26">
        <v>2</v>
      </c>
      <c r="E13" s="27" t="s">
        <v>21</v>
      </c>
      <c r="F13" s="25">
        <v>6.5699569010827204E-6</v>
      </c>
      <c r="G13" s="26">
        <v>1</v>
      </c>
      <c r="H13" s="27" t="s">
        <v>21</v>
      </c>
      <c r="I13" s="28" t="s">
        <v>153</v>
      </c>
      <c r="J13" s="29"/>
      <c r="K13" s="25">
        <v>0</v>
      </c>
      <c r="L13" s="28">
        <v>0.18459999999999999</v>
      </c>
      <c r="M13" s="27" t="s">
        <v>10</v>
      </c>
      <c r="O13" s="5" t="s">
        <v>11</v>
      </c>
      <c r="P13" s="14">
        <f t="shared" si="1"/>
        <v>15</v>
      </c>
      <c r="Q13" s="14">
        <f>COUNTIFS($M$4:M$127,$O13,$I$4:$I$127,"Yes")</f>
        <v>5</v>
      </c>
      <c r="R13" s="15">
        <f>COUNTIFS($M$4:M$127,$O13,$J$4:$J$127,"*Benign*")</f>
        <v>0</v>
      </c>
      <c r="S13" s="15">
        <f>COUNTIFS($M$4:M$127,$O13,$J$4:$J$127,"*Uncertain*")</f>
        <v>1</v>
      </c>
      <c r="T13" s="15">
        <f>COUNTIFS($M$4:M$127,$O13,$J$4:$J$127,"*Conflicting*")</f>
        <v>3</v>
      </c>
      <c r="U13" s="15">
        <f>COUNTIFS($M$4:M$127,$O13,$J$4:$J$127,"*Pathogenic*")</f>
        <v>4</v>
      </c>
    </row>
    <row r="14" spans="1:24" x14ac:dyDescent="0.2">
      <c r="A14">
        <f>VALUE(RIGHT(LEFT(B14,LEN(B14)-3),LEN(LEFT(B14,LEN(B14)-3))-5))</f>
        <v>18</v>
      </c>
      <c r="B14" s="16" t="s">
        <v>39</v>
      </c>
      <c r="C14" s="17"/>
      <c r="D14" s="18"/>
      <c r="E14" s="19" t="s">
        <v>33</v>
      </c>
      <c r="F14" s="17">
        <v>1.31399138021654E-5</v>
      </c>
      <c r="G14" s="18">
        <v>2</v>
      </c>
      <c r="H14" s="19" t="s">
        <v>21</v>
      </c>
      <c r="I14" s="20" t="s">
        <v>153</v>
      </c>
      <c r="J14" s="21"/>
      <c r="K14" s="17">
        <v>0</v>
      </c>
      <c r="L14" s="20">
        <v>0.18459999999999999</v>
      </c>
      <c r="M14" s="19" t="s">
        <v>10</v>
      </c>
    </row>
    <row r="15" spans="1:24" x14ac:dyDescent="0.2">
      <c r="A15">
        <f>VALUE(RIGHT(LEFT(B15,LEN(B15)-3),LEN(LEFT(B15,LEN(B15)-3))-5))</f>
        <v>21</v>
      </c>
      <c r="B15" s="24" t="s">
        <v>40</v>
      </c>
      <c r="C15" s="25">
        <v>3.9773134043416303E-6</v>
      </c>
      <c r="D15" s="26">
        <v>1</v>
      </c>
      <c r="E15" s="27" t="s">
        <v>21</v>
      </c>
      <c r="F15" s="25"/>
      <c r="G15" s="26"/>
      <c r="H15" s="27" t="s">
        <v>33</v>
      </c>
      <c r="I15" s="28" t="s">
        <v>153</v>
      </c>
      <c r="J15" s="29"/>
      <c r="K15" s="25">
        <v>0.68</v>
      </c>
      <c r="L15" s="28">
        <v>0.26229999999999998</v>
      </c>
      <c r="M15" s="27" t="s">
        <v>10</v>
      </c>
    </row>
    <row r="16" spans="1:24" x14ac:dyDescent="0.2">
      <c r="A16">
        <f>VALUE(RIGHT(LEFT(B16,LEN(B16)-3),LEN(LEFT(B16,LEN(B16)-3))-5))</f>
        <v>22</v>
      </c>
      <c r="B16" s="16" t="s">
        <v>41</v>
      </c>
      <c r="C16" s="17"/>
      <c r="D16" s="18"/>
      <c r="E16" s="19" t="s">
        <v>33</v>
      </c>
      <c r="F16" s="17">
        <v>1.9709870703248099E-5</v>
      </c>
      <c r="G16" s="18">
        <v>3</v>
      </c>
      <c r="H16" s="19" t="s">
        <v>21</v>
      </c>
      <c r="I16" s="20" t="s">
        <v>153</v>
      </c>
      <c r="J16" s="21"/>
      <c r="K16" s="17">
        <v>67.5</v>
      </c>
      <c r="L16" s="20">
        <v>0.69510000000000005</v>
      </c>
      <c r="M16" s="19" t="s">
        <v>9</v>
      </c>
    </row>
    <row r="17" spans="1:13" x14ac:dyDescent="0.2">
      <c r="A17">
        <f>VALUE(RIGHT(LEFT(B17,LEN(B17)-3),LEN(LEFT(B17,LEN(B17)-3))-5))</f>
        <v>26</v>
      </c>
      <c r="B17" s="24" t="s">
        <v>42</v>
      </c>
      <c r="C17" s="25">
        <v>3.1857279388340198E-5</v>
      </c>
      <c r="D17" s="26">
        <v>1</v>
      </c>
      <c r="E17" s="27" t="s">
        <v>21</v>
      </c>
      <c r="F17" s="25">
        <v>6.5707339509823204E-6</v>
      </c>
      <c r="G17" s="26">
        <v>1</v>
      </c>
      <c r="H17" s="27" t="s">
        <v>21</v>
      </c>
      <c r="I17" s="28" t="s">
        <v>153</v>
      </c>
      <c r="J17" s="29"/>
      <c r="K17" s="25">
        <v>2.46</v>
      </c>
      <c r="L17" s="28">
        <v>0.2276</v>
      </c>
      <c r="M17" s="27" t="s">
        <v>10</v>
      </c>
    </row>
    <row r="18" spans="1:13" x14ac:dyDescent="0.2">
      <c r="A18">
        <f>VALUE(RIGHT(LEFT(B18,LEN(B18)-3),LEN(LEFT(B18,LEN(B18)-3))-5))</f>
        <v>27</v>
      </c>
      <c r="B18" s="16" t="s">
        <v>43</v>
      </c>
      <c r="C18" s="17">
        <v>2.0506873338236101E-4</v>
      </c>
      <c r="D18" s="18">
        <v>58</v>
      </c>
      <c r="E18" s="19" t="s">
        <v>23</v>
      </c>
      <c r="F18" s="17">
        <v>1.9708316909735899E-5</v>
      </c>
      <c r="G18" s="18">
        <v>3</v>
      </c>
      <c r="H18" s="19" t="s">
        <v>21</v>
      </c>
      <c r="I18" s="20" t="s">
        <v>155</v>
      </c>
      <c r="J18" s="21" t="s">
        <v>8</v>
      </c>
      <c r="K18" s="17">
        <v>0.15</v>
      </c>
      <c r="L18" s="20">
        <v>0.1116</v>
      </c>
      <c r="M18" s="19" t="s">
        <v>11</v>
      </c>
    </row>
    <row r="19" spans="1:13" x14ac:dyDescent="0.2">
      <c r="A19">
        <f>VALUE(RIGHT(LEFT(B19,LEN(B19)-3),LEN(LEFT(B19,LEN(B19)-3))-5))</f>
        <v>30</v>
      </c>
      <c r="B19" s="24" t="s">
        <v>44</v>
      </c>
      <c r="C19" s="25">
        <v>7.9540573646617103E-6</v>
      </c>
      <c r="D19" s="26">
        <v>2</v>
      </c>
      <c r="E19" s="27" t="s">
        <v>21</v>
      </c>
      <c r="F19" s="25"/>
      <c r="G19" s="26"/>
      <c r="H19" s="27" t="s">
        <v>33</v>
      </c>
      <c r="I19" s="28" t="s">
        <v>153</v>
      </c>
      <c r="J19" s="29"/>
      <c r="K19" s="25">
        <v>0.95</v>
      </c>
      <c r="L19" s="28">
        <v>0.25580000000000003</v>
      </c>
      <c r="M19" s="27" t="s">
        <v>10</v>
      </c>
    </row>
    <row r="20" spans="1:13" x14ac:dyDescent="0.2">
      <c r="A20">
        <f>VALUE(RIGHT(LEFT(B20,LEN(B20)-3),LEN(LEFT(B20,LEN(B20)-3))-5))</f>
        <v>31</v>
      </c>
      <c r="B20" s="16" t="s">
        <v>45</v>
      </c>
      <c r="C20" s="17">
        <v>3.9771235851382797E-6</v>
      </c>
      <c r="D20" s="18">
        <v>1</v>
      </c>
      <c r="E20" s="19" t="s">
        <v>21</v>
      </c>
      <c r="F20" s="17"/>
      <c r="G20" s="18"/>
      <c r="H20" s="19" t="s">
        <v>33</v>
      </c>
      <c r="I20" s="20" t="s">
        <v>153</v>
      </c>
      <c r="J20" s="21"/>
      <c r="K20" s="17">
        <v>39.86</v>
      </c>
      <c r="L20" s="20">
        <v>0.51300000000000001</v>
      </c>
      <c r="M20" s="19" t="s">
        <v>9</v>
      </c>
    </row>
    <row r="21" spans="1:13" x14ac:dyDescent="0.2">
      <c r="A21">
        <f>VALUE(RIGHT(LEFT(B21,LEN(B21)-3),LEN(LEFT(B21,LEN(B21)-3))-5))</f>
        <v>31</v>
      </c>
      <c r="B21" s="24" t="s">
        <v>46</v>
      </c>
      <c r="C21" s="25">
        <v>1.1931560568578599E-5</v>
      </c>
      <c r="D21" s="26">
        <v>3</v>
      </c>
      <c r="E21" s="27" t="s">
        <v>21</v>
      </c>
      <c r="F21" s="25">
        <v>6.5709930084634298E-6</v>
      </c>
      <c r="G21" s="26">
        <v>1</v>
      </c>
      <c r="H21" s="27" t="s">
        <v>21</v>
      </c>
      <c r="I21" s="28" t="s">
        <v>153</v>
      </c>
      <c r="J21" s="29"/>
      <c r="K21" s="25">
        <v>39.86</v>
      </c>
      <c r="L21" s="28">
        <v>0.51300000000000001</v>
      </c>
      <c r="M21" s="27" t="s">
        <v>9</v>
      </c>
    </row>
    <row r="22" spans="1:13" x14ac:dyDescent="0.2">
      <c r="A22">
        <f>VALUE(RIGHT(LEFT(B22,LEN(B22)-3),LEN(LEFT(B22,LEN(B22)-3))-5))</f>
        <v>34</v>
      </c>
      <c r="B22" s="16" t="s">
        <v>47</v>
      </c>
      <c r="C22" s="17"/>
      <c r="D22" s="18"/>
      <c r="E22" s="19" t="s">
        <v>33</v>
      </c>
      <c r="F22" s="17"/>
      <c r="G22" s="18"/>
      <c r="H22" s="19" t="s">
        <v>33</v>
      </c>
      <c r="I22" s="20" t="s">
        <v>155</v>
      </c>
      <c r="J22" s="21" t="s">
        <v>156</v>
      </c>
      <c r="K22" s="17">
        <v>50.21</v>
      </c>
      <c r="L22" s="20">
        <v>0.77100000000000002</v>
      </c>
      <c r="M22" s="19" t="s">
        <v>9</v>
      </c>
    </row>
    <row r="23" spans="1:13" x14ac:dyDescent="0.2">
      <c r="A23">
        <f>VALUE(RIGHT(LEFT(B23,LEN(B23)-3),LEN(LEFT(B23,LEN(B23)-3))-5))</f>
        <v>34</v>
      </c>
      <c r="B23" s="24" t="s">
        <v>48</v>
      </c>
      <c r="C23" s="25">
        <v>2.3864639763262698E-5</v>
      </c>
      <c r="D23" s="26">
        <v>6</v>
      </c>
      <c r="E23" s="27" t="s">
        <v>21</v>
      </c>
      <c r="F23" s="25"/>
      <c r="G23" s="26"/>
      <c r="H23" s="27" t="s">
        <v>33</v>
      </c>
      <c r="I23" s="28" t="s">
        <v>153</v>
      </c>
      <c r="J23" s="29"/>
      <c r="K23" s="25">
        <v>50.21</v>
      </c>
      <c r="L23" s="28">
        <v>0.77100000000000002</v>
      </c>
      <c r="M23" s="27" t="s">
        <v>9</v>
      </c>
    </row>
    <row r="24" spans="1:13" x14ac:dyDescent="0.2">
      <c r="A24">
        <f>VALUE(RIGHT(LEFT(B24,LEN(B24)-3),LEN(LEFT(B24,LEN(B24)-3))-5))</f>
        <v>35</v>
      </c>
      <c r="B24" s="16" t="s">
        <v>49</v>
      </c>
      <c r="C24" s="17">
        <v>1.80333085817333E-4</v>
      </c>
      <c r="D24" s="18">
        <v>51</v>
      </c>
      <c r="E24" s="19" t="s">
        <v>23</v>
      </c>
      <c r="F24" s="17">
        <v>5.91412687773528E-5</v>
      </c>
      <c r="G24" s="18">
        <v>9</v>
      </c>
      <c r="H24" s="19" t="s">
        <v>21</v>
      </c>
      <c r="I24" s="20" t="s">
        <v>155</v>
      </c>
      <c r="J24" s="21" t="s">
        <v>8</v>
      </c>
      <c r="K24" s="17">
        <v>1.67</v>
      </c>
      <c r="L24" s="20">
        <v>0.74490000000000001</v>
      </c>
      <c r="M24" s="19" t="s">
        <v>10</v>
      </c>
    </row>
    <row r="25" spans="1:13" x14ac:dyDescent="0.2">
      <c r="A25">
        <f>VALUE(RIGHT(LEFT(B25,LEN(B25)-3),LEN(LEFT(B25,LEN(B25)-3))-5))</f>
        <v>39</v>
      </c>
      <c r="B25" s="24" t="s">
        <v>50</v>
      </c>
      <c r="C25" s="25">
        <v>7.9555127725757508E-6</v>
      </c>
      <c r="D25" s="26">
        <v>2</v>
      </c>
      <c r="E25" s="27" t="s">
        <v>21</v>
      </c>
      <c r="F25" s="25"/>
      <c r="G25" s="26"/>
      <c r="H25" s="27" t="s">
        <v>33</v>
      </c>
      <c r="I25" s="28" t="s">
        <v>153</v>
      </c>
      <c r="J25" s="29"/>
      <c r="K25" s="25">
        <v>0</v>
      </c>
      <c r="L25" s="28">
        <v>0.29959999999999998</v>
      </c>
      <c r="M25" s="27" t="s">
        <v>10</v>
      </c>
    </row>
    <row r="26" spans="1:13" x14ac:dyDescent="0.2">
      <c r="A26">
        <f>VALUE(RIGHT(LEFT(B26,LEN(B26)-3),LEN(LEFT(B26,LEN(B26)-3))-5))</f>
        <v>41</v>
      </c>
      <c r="B26" s="16" t="s">
        <v>51</v>
      </c>
      <c r="C26" s="17">
        <v>3.9866367934682898E-6</v>
      </c>
      <c r="D26" s="18">
        <v>1</v>
      </c>
      <c r="E26" s="19" t="s">
        <v>21</v>
      </c>
      <c r="F26" s="17">
        <v>6.5711657247995699E-6</v>
      </c>
      <c r="G26" s="18">
        <v>1</v>
      </c>
      <c r="H26" s="19" t="s">
        <v>21</v>
      </c>
      <c r="I26" s="20" t="s">
        <v>155</v>
      </c>
      <c r="J26" s="21" t="s">
        <v>156</v>
      </c>
      <c r="K26" s="17">
        <v>0</v>
      </c>
      <c r="L26" s="20">
        <v>0.37890000000000001</v>
      </c>
      <c r="M26" s="19" t="s">
        <v>10</v>
      </c>
    </row>
    <row r="27" spans="1:13" x14ac:dyDescent="0.2">
      <c r="A27">
        <f>VALUE(RIGHT(LEFT(B27,LEN(B27)-3),LEN(LEFT(B27,LEN(B27)-3))-5))</f>
        <v>42</v>
      </c>
      <c r="B27" s="24" t="s">
        <v>52</v>
      </c>
      <c r="C27" s="25">
        <v>3.9845399848587397E-6</v>
      </c>
      <c r="D27" s="26">
        <v>1</v>
      </c>
      <c r="E27" s="27" t="s">
        <v>21</v>
      </c>
      <c r="F27" s="25"/>
      <c r="G27" s="26"/>
      <c r="H27" s="27" t="s">
        <v>33</v>
      </c>
      <c r="I27" s="28" t="s">
        <v>153</v>
      </c>
      <c r="J27" s="29"/>
      <c r="K27" s="25">
        <v>0</v>
      </c>
      <c r="L27" s="28">
        <v>0.1255</v>
      </c>
      <c r="M27" s="27" t="s">
        <v>11</v>
      </c>
    </row>
    <row r="28" spans="1:13" x14ac:dyDescent="0.2">
      <c r="A28">
        <f>VALUE(RIGHT(LEFT(B28,LEN(B28)-3),LEN(LEFT(B28,LEN(B28)-3))-5))</f>
        <v>43</v>
      </c>
      <c r="B28" s="16" t="s">
        <v>53</v>
      </c>
      <c r="C28" s="17">
        <v>7.9664770645125292E-6</v>
      </c>
      <c r="D28" s="18">
        <v>2</v>
      </c>
      <c r="E28" s="19" t="s">
        <v>21</v>
      </c>
      <c r="F28" s="17"/>
      <c r="G28" s="18"/>
      <c r="H28" s="19" t="s">
        <v>33</v>
      </c>
      <c r="I28" s="20" t="s">
        <v>153</v>
      </c>
      <c r="J28" s="21"/>
      <c r="K28" s="17">
        <v>0</v>
      </c>
      <c r="L28" s="20">
        <v>0.19750000000000001</v>
      </c>
      <c r="M28" s="19" t="s">
        <v>10</v>
      </c>
    </row>
    <row r="29" spans="1:13" x14ac:dyDescent="0.2">
      <c r="A29">
        <f>VALUE(RIGHT(LEFT(B29,LEN(B29)-3),LEN(LEFT(B29,LEN(B29)-3))-5))</f>
        <v>44</v>
      </c>
      <c r="B29" s="24" t="s">
        <v>54</v>
      </c>
      <c r="C29" s="25">
        <v>1.5930796619484901E-5</v>
      </c>
      <c r="D29" s="26">
        <v>4</v>
      </c>
      <c r="E29" s="27" t="s">
        <v>21</v>
      </c>
      <c r="F29" s="25"/>
      <c r="G29" s="26"/>
      <c r="H29" s="27" t="s">
        <v>33</v>
      </c>
      <c r="I29" s="28" t="s">
        <v>153</v>
      </c>
      <c r="J29" s="29"/>
      <c r="K29" s="25">
        <v>9.58</v>
      </c>
      <c r="L29" s="28">
        <v>0.1739</v>
      </c>
      <c r="M29" s="27" t="s">
        <v>10</v>
      </c>
    </row>
    <row r="30" spans="1:13" x14ac:dyDescent="0.2">
      <c r="A30">
        <f>VALUE(RIGHT(LEFT(B30,LEN(B30)-3),LEN(LEFT(B30,LEN(B30)-3))-5))</f>
        <v>44</v>
      </c>
      <c r="B30" s="16" t="s">
        <v>55</v>
      </c>
      <c r="C30" s="17">
        <v>1.9913495774356099E-5</v>
      </c>
      <c r="D30" s="18">
        <v>5</v>
      </c>
      <c r="E30" s="19" t="s">
        <v>21</v>
      </c>
      <c r="F30" s="17">
        <v>2.6287426723798001E-5</v>
      </c>
      <c r="G30" s="18">
        <v>4</v>
      </c>
      <c r="H30" s="19" t="s">
        <v>21</v>
      </c>
      <c r="I30" s="20" t="s">
        <v>155</v>
      </c>
      <c r="J30" s="21" t="s">
        <v>156</v>
      </c>
      <c r="K30" s="17">
        <v>9.58</v>
      </c>
      <c r="L30" s="20">
        <v>0.1739</v>
      </c>
      <c r="M30" s="19" t="s">
        <v>10</v>
      </c>
    </row>
    <row r="31" spans="1:13" x14ac:dyDescent="0.2">
      <c r="A31">
        <f>VALUE(RIGHT(LEFT(B31,LEN(B31)-3),LEN(LEFT(B31,LEN(B31)-3))-5))</f>
        <v>45</v>
      </c>
      <c r="B31" s="24" t="s">
        <v>56</v>
      </c>
      <c r="C31" s="25">
        <v>3.9817476686867396E-6</v>
      </c>
      <c r="D31" s="26">
        <v>1</v>
      </c>
      <c r="E31" s="27" t="s">
        <v>21</v>
      </c>
      <c r="F31" s="25">
        <v>1.3151319077303401E-5</v>
      </c>
      <c r="G31" s="26">
        <v>2</v>
      </c>
      <c r="H31" s="27" t="s">
        <v>21</v>
      </c>
      <c r="I31" s="28" t="s">
        <v>153</v>
      </c>
      <c r="J31" s="29"/>
      <c r="K31" s="25">
        <v>3.23</v>
      </c>
      <c r="L31" s="28">
        <v>0.29289999999999999</v>
      </c>
      <c r="M31" s="27" t="s">
        <v>10</v>
      </c>
    </row>
    <row r="32" spans="1:13" x14ac:dyDescent="0.2">
      <c r="A32">
        <f>VALUE(RIGHT(LEFT(B32,LEN(B32)-3),LEN(LEFT(B32,LEN(B32)-3))-5))</f>
        <v>45</v>
      </c>
      <c r="B32" s="16" t="s">
        <v>57</v>
      </c>
      <c r="C32" s="17"/>
      <c r="D32" s="18"/>
      <c r="E32" s="19" t="s">
        <v>33</v>
      </c>
      <c r="F32" s="17">
        <v>6.5725477824223697E-6</v>
      </c>
      <c r="G32" s="18">
        <v>1</v>
      </c>
      <c r="H32" s="19" t="s">
        <v>21</v>
      </c>
      <c r="I32" s="20" t="s">
        <v>153</v>
      </c>
      <c r="J32" s="21"/>
      <c r="K32" s="17">
        <v>3.23</v>
      </c>
      <c r="L32" s="20">
        <v>0.29289999999999999</v>
      </c>
      <c r="M32" s="19" t="s">
        <v>10</v>
      </c>
    </row>
    <row r="33" spans="1:13" x14ac:dyDescent="0.2">
      <c r="A33">
        <f>VALUE(RIGHT(LEFT(B33,LEN(B33)-3),LEN(LEFT(B33,LEN(B33)-3))-5))</f>
        <v>46</v>
      </c>
      <c r="B33" s="24" t="s">
        <v>58</v>
      </c>
      <c r="C33" s="25"/>
      <c r="D33" s="26"/>
      <c r="E33" s="27" t="s">
        <v>33</v>
      </c>
      <c r="F33" s="25">
        <v>6.5731526154574204E-6</v>
      </c>
      <c r="G33" s="26">
        <v>1</v>
      </c>
      <c r="H33" s="27" t="s">
        <v>21</v>
      </c>
      <c r="I33" s="28" t="s">
        <v>153</v>
      </c>
      <c r="J33" s="29"/>
      <c r="K33" s="25">
        <v>46</v>
      </c>
      <c r="L33" s="28">
        <v>0.5857</v>
      </c>
      <c r="M33" s="27" t="s">
        <v>9</v>
      </c>
    </row>
    <row r="34" spans="1:13" x14ac:dyDescent="0.2">
      <c r="A34">
        <f>VALUE(RIGHT(LEFT(B34,LEN(B34)-3),LEN(LEFT(B34,LEN(B34)-3))-5))</f>
        <v>46</v>
      </c>
      <c r="B34" s="16" t="s">
        <v>59</v>
      </c>
      <c r="C34" s="17">
        <v>1.7345132743362801E-4</v>
      </c>
      <c r="D34" s="18">
        <v>49</v>
      </c>
      <c r="E34" s="19" t="s">
        <v>23</v>
      </c>
      <c r="F34" s="17">
        <v>3.8777012461222902E-4</v>
      </c>
      <c r="G34" s="18">
        <v>59</v>
      </c>
      <c r="H34" s="19" t="s">
        <v>23</v>
      </c>
      <c r="I34" s="20" t="s">
        <v>155</v>
      </c>
      <c r="J34" s="21" t="s">
        <v>156</v>
      </c>
      <c r="K34" s="17">
        <v>46</v>
      </c>
      <c r="L34" s="20">
        <v>0.5857</v>
      </c>
      <c r="M34" s="19" t="s">
        <v>9</v>
      </c>
    </row>
    <row r="35" spans="1:13" x14ac:dyDescent="0.2">
      <c r="A35">
        <f>VALUE(RIGHT(LEFT(B35,LEN(B35)-3),LEN(LEFT(B35,LEN(B35)-3))-5))</f>
        <v>47</v>
      </c>
      <c r="B35" s="24" t="s">
        <v>60</v>
      </c>
      <c r="C35" s="25"/>
      <c r="D35" s="26"/>
      <c r="E35" s="27" t="s">
        <v>33</v>
      </c>
      <c r="F35" s="25">
        <v>6.5708203012063996E-6</v>
      </c>
      <c r="G35" s="26">
        <v>1</v>
      </c>
      <c r="H35" s="27" t="s">
        <v>21</v>
      </c>
      <c r="I35" s="28" t="s">
        <v>153</v>
      </c>
      <c r="J35" s="29"/>
      <c r="K35" s="25">
        <v>0</v>
      </c>
      <c r="L35" s="28">
        <v>0.1585</v>
      </c>
      <c r="M35" s="27" t="s">
        <v>10</v>
      </c>
    </row>
    <row r="36" spans="1:13" x14ac:dyDescent="0.2">
      <c r="A36">
        <f>VALUE(RIGHT(LEFT(B36,LEN(B36)-3),LEN(LEFT(B36,LEN(B36)-3))-5))</f>
        <v>47</v>
      </c>
      <c r="B36" s="16" t="s">
        <v>61</v>
      </c>
      <c r="C36" s="17">
        <v>3.9810502010430301E-6</v>
      </c>
      <c r="D36" s="18">
        <v>1</v>
      </c>
      <c r="E36" s="19" t="s">
        <v>21</v>
      </c>
      <c r="F36" s="17">
        <v>1.3153913947094899E-5</v>
      </c>
      <c r="G36" s="18">
        <v>2</v>
      </c>
      <c r="H36" s="19" t="s">
        <v>21</v>
      </c>
      <c r="I36" s="20" t="s">
        <v>153</v>
      </c>
      <c r="J36" s="21"/>
      <c r="K36" s="17">
        <v>0</v>
      </c>
      <c r="L36" s="20">
        <v>0.1585</v>
      </c>
      <c r="M36" s="19" t="s">
        <v>10</v>
      </c>
    </row>
    <row r="37" spans="1:13" x14ac:dyDescent="0.2">
      <c r="A37">
        <f>VALUE(RIGHT(LEFT(B37,LEN(B37)-3),LEN(LEFT(B37,LEN(B37)-3))-5))</f>
        <v>47</v>
      </c>
      <c r="B37" s="24" t="s">
        <v>62</v>
      </c>
      <c r="C37" s="25">
        <v>4.6473927878693403E-3</v>
      </c>
      <c r="D37" s="26">
        <v>1313</v>
      </c>
      <c r="E37" s="27" t="s">
        <v>23</v>
      </c>
      <c r="F37" s="25">
        <v>2.3019349407416099E-3</v>
      </c>
      <c r="G37" s="26">
        <v>350</v>
      </c>
      <c r="H37" s="27" t="s">
        <v>23</v>
      </c>
      <c r="I37" s="28" t="s">
        <v>155</v>
      </c>
      <c r="J37" s="29" t="s">
        <v>5</v>
      </c>
      <c r="K37" s="25">
        <v>0</v>
      </c>
      <c r="L37" s="28">
        <v>0.1585</v>
      </c>
      <c r="M37" s="27" t="s">
        <v>10</v>
      </c>
    </row>
    <row r="38" spans="1:13" x14ac:dyDescent="0.2">
      <c r="A38">
        <f>VALUE(RIGHT(LEFT(B38,LEN(B38)-3),LEN(LEFT(B38,LEN(B38)-3))-5))</f>
        <v>47</v>
      </c>
      <c r="B38" s="16" t="s">
        <v>63</v>
      </c>
      <c r="C38" s="17"/>
      <c r="D38" s="18"/>
      <c r="E38" s="19" t="s">
        <v>33</v>
      </c>
      <c r="F38" s="17">
        <v>6.57695697354747E-6</v>
      </c>
      <c r="G38" s="18">
        <v>1</v>
      </c>
      <c r="H38" s="19" t="s">
        <v>21</v>
      </c>
      <c r="I38" s="20" t="s">
        <v>153</v>
      </c>
      <c r="J38" s="21"/>
      <c r="K38" s="17">
        <v>0</v>
      </c>
      <c r="L38" s="20">
        <v>0.1585</v>
      </c>
      <c r="M38" s="19" t="s">
        <v>10</v>
      </c>
    </row>
    <row r="39" spans="1:13" x14ac:dyDescent="0.2">
      <c r="A39">
        <f>VALUE(RIGHT(LEFT(B39,LEN(B39)-3),LEN(LEFT(B39,LEN(B39)-3))-5))</f>
        <v>48</v>
      </c>
      <c r="B39" s="24" t="s">
        <v>64</v>
      </c>
      <c r="C39" s="25">
        <v>3.9810818988168202E-6</v>
      </c>
      <c r="D39" s="26">
        <v>1</v>
      </c>
      <c r="E39" s="27" t="s">
        <v>21</v>
      </c>
      <c r="F39" s="25">
        <v>1.31480337115584E-5</v>
      </c>
      <c r="G39" s="26">
        <v>2</v>
      </c>
      <c r="H39" s="27" t="s">
        <v>21</v>
      </c>
      <c r="I39" s="28" t="s">
        <v>153</v>
      </c>
      <c r="J39" s="29"/>
      <c r="K39" s="25">
        <v>5.57</v>
      </c>
      <c r="L39" s="28">
        <v>0.52110000000000001</v>
      </c>
      <c r="M39" s="27" t="s">
        <v>10</v>
      </c>
    </row>
    <row r="40" spans="1:13" x14ac:dyDescent="0.2">
      <c r="A40">
        <f>VALUE(RIGHT(LEFT(B40,LEN(B40)-3),LEN(LEFT(B40,LEN(B40)-3))-5))</f>
        <v>48</v>
      </c>
      <c r="B40" s="16" t="s">
        <v>65</v>
      </c>
      <c r="C40" s="17">
        <v>2.54874474321396E-4</v>
      </c>
      <c r="D40" s="18">
        <v>72</v>
      </c>
      <c r="E40" s="19" t="s">
        <v>23</v>
      </c>
      <c r="F40" s="17">
        <v>9.8597289231861299E-5</v>
      </c>
      <c r="G40" s="18">
        <v>15</v>
      </c>
      <c r="H40" s="19" t="s">
        <v>21</v>
      </c>
      <c r="I40" s="20" t="s">
        <v>155</v>
      </c>
      <c r="J40" s="21" t="s">
        <v>156</v>
      </c>
      <c r="K40" s="17">
        <v>5.57</v>
      </c>
      <c r="L40" s="20">
        <v>0.52110000000000001</v>
      </c>
      <c r="M40" s="19" t="s">
        <v>10</v>
      </c>
    </row>
    <row r="41" spans="1:13" x14ac:dyDescent="0.2">
      <c r="A41">
        <f>VALUE(RIGHT(LEFT(B41,LEN(B41)-3),LEN(LEFT(B41,LEN(B41)-3))-5))</f>
        <v>51</v>
      </c>
      <c r="B41" s="24" t="s">
        <v>66</v>
      </c>
      <c r="C41" s="25">
        <v>6.3832503510787597E-5</v>
      </c>
      <c r="D41" s="26">
        <v>2</v>
      </c>
      <c r="E41" s="27" t="s">
        <v>21</v>
      </c>
      <c r="F41" s="25">
        <v>1.31509731720147E-5</v>
      </c>
      <c r="G41" s="26">
        <v>2</v>
      </c>
      <c r="H41" s="27" t="s">
        <v>21</v>
      </c>
      <c r="I41" s="28" t="s">
        <v>153</v>
      </c>
      <c r="J41" s="29"/>
      <c r="K41" s="25">
        <v>0</v>
      </c>
      <c r="L41" s="28">
        <v>0.96430000000000005</v>
      </c>
      <c r="M41" s="27" t="s">
        <v>10</v>
      </c>
    </row>
    <row r="42" spans="1:13" x14ac:dyDescent="0.2">
      <c r="A42">
        <f>VALUE(RIGHT(LEFT(B42,LEN(B42)-3),LEN(LEFT(B42,LEN(B42)-3))-5))</f>
        <v>52</v>
      </c>
      <c r="B42" s="16" t="s">
        <v>67</v>
      </c>
      <c r="C42" s="17">
        <v>3.980796637023E-6</v>
      </c>
      <c r="D42" s="18">
        <v>1</v>
      </c>
      <c r="E42" s="19" t="s">
        <v>21</v>
      </c>
      <c r="F42" s="17"/>
      <c r="G42" s="18"/>
      <c r="H42" s="19" t="s">
        <v>33</v>
      </c>
      <c r="I42" s="20" t="s">
        <v>153</v>
      </c>
      <c r="J42" s="21"/>
      <c r="K42" s="17">
        <v>2.25</v>
      </c>
      <c r="L42" s="20">
        <v>0.65610000000000002</v>
      </c>
      <c r="M42" s="19" t="s">
        <v>10</v>
      </c>
    </row>
    <row r="43" spans="1:13" x14ac:dyDescent="0.2">
      <c r="A43">
        <f>VALUE(RIGHT(LEFT(B43,LEN(B43)-3),LEN(LEFT(B43,LEN(B43)-3))-5))</f>
        <v>53</v>
      </c>
      <c r="B43" s="24" t="s">
        <v>68</v>
      </c>
      <c r="C43" s="25">
        <v>3.9797827038643599E-6</v>
      </c>
      <c r="D43" s="26">
        <v>1</v>
      </c>
      <c r="E43" s="27" t="s">
        <v>21</v>
      </c>
      <c r="F43" s="25"/>
      <c r="G43" s="26"/>
      <c r="H43" s="27" t="s">
        <v>33</v>
      </c>
      <c r="I43" s="28" t="s">
        <v>153</v>
      </c>
      <c r="J43" s="29"/>
      <c r="K43" s="25">
        <v>0</v>
      </c>
      <c r="L43" s="28">
        <v>0.6421</v>
      </c>
      <c r="M43" s="27" t="s">
        <v>10</v>
      </c>
    </row>
    <row r="44" spans="1:13" x14ac:dyDescent="0.2">
      <c r="A44">
        <f>VALUE(RIGHT(LEFT(B44,LEN(B44)-3),LEN(LEFT(B44,LEN(B44)-3))-5))</f>
        <v>54</v>
      </c>
      <c r="B44" s="16" t="s">
        <v>69</v>
      </c>
      <c r="C44" s="17">
        <v>3.9797827038643599E-6</v>
      </c>
      <c r="D44" s="18">
        <v>1</v>
      </c>
      <c r="E44" s="19" t="s">
        <v>21</v>
      </c>
      <c r="F44" s="17"/>
      <c r="G44" s="18"/>
      <c r="H44" s="19" t="s">
        <v>33</v>
      </c>
      <c r="I44" s="20" t="s">
        <v>153</v>
      </c>
      <c r="J44" s="21"/>
      <c r="K44" s="17">
        <v>0</v>
      </c>
      <c r="L44" s="20">
        <v>0.45240000000000002</v>
      </c>
      <c r="M44" s="19" t="s">
        <v>10</v>
      </c>
    </row>
    <row r="45" spans="1:13" x14ac:dyDescent="0.2">
      <c r="A45">
        <f>VALUE(RIGHT(LEFT(B45,LEN(B45)-3),LEN(LEFT(B45,LEN(B45)-3))-5))</f>
        <v>55</v>
      </c>
      <c r="B45" s="24" t="s">
        <v>70</v>
      </c>
      <c r="C45" s="25">
        <v>3.9794659556687402E-6</v>
      </c>
      <c r="D45" s="26">
        <v>1</v>
      </c>
      <c r="E45" s="27" t="s">
        <v>21</v>
      </c>
      <c r="F45" s="25"/>
      <c r="G45" s="26"/>
      <c r="H45" s="27" t="s">
        <v>33</v>
      </c>
      <c r="I45" s="28" t="s">
        <v>155</v>
      </c>
      <c r="J45" s="29" t="s">
        <v>156</v>
      </c>
      <c r="K45" s="25">
        <v>0</v>
      </c>
      <c r="L45" s="28">
        <v>0.35460000000000003</v>
      </c>
      <c r="M45" s="27" t="s">
        <v>10</v>
      </c>
    </row>
    <row r="46" spans="1:13" x14ac:dyDescent="0.2">
      <c r="A46">
        <f>VALUE(RIGHT(LEFT(B46,LEN(B46)-3),LEN(LEFT(B46,LEN(B46)-3))-5))</f>
        <v>56</v>
      </c>
      <c r="B46" s="16" t="s">
        <v>71</v>
      </c>
      <c r="C46" s="17">
        <v>3.9790859243814502E-6</v>
      </c>
      <c r="D46" s="18">
        <v>1</v>
      </c>
      <c r="E46" s="19" t="s">
        <v>21</v>
      </c>
      <c r="F46" s="17"/>
      <c r="G46" s="18"/>
      <c r="H46" s="19" t="s">
        <v>33</v>
      </c>
      <c r="I46" s="20" t="s">
        <v>153</v>
      </c>
      <c r="J46" s="21"/>
      <c r="K46" s="17">
        <v>0</v>
      </c>
      <c r="L46" s="20">
        <v>0.1205</v>
      </c>
      <c r="M46" s="19" t="s">
        <v>11</v>
      </c>
    </row>
    <row r="47" spans="1:13" x14ac:dyDescent="0.2">
      <c r="A47">
        <f>VALUE(RIGHT(LEFT(B47,LEN(B47)-3),LEN(LEFT(B47,LEN(B47)-3))-5))</f>
        <v>56</v>
      </c>
      <c r="B47" s="24" t="s">
        <v>72</v>
      </c>
      <c r="C47" s="25">
        <v>7.9581718487629004E-6</v>
      </c>
      <c r="D47" s="26">
        <v>2</v>
      </c>
      <c r="E47" s="27" t="s">
        <v>21</v>
      </c>
      <c r="F47" s="25"/>
      <c r="G47" s="26"/>
      <c r="H47" s="27" t="s">
        <v>33</v>
      </c>
      <c r="I47" s="28" t="s">
        <v>153</v>
      </c>
      <c r="J47" s="29"/>
      <c r="K47" s="25">
        <v>0</v>
      </c>
      <c r="L47" s="28">
        <v>0.1205</v>
      </c>
      <c r="M47" s="27" t="s">
        <v>11</v>
      </c>
    </row>
    <row r="48" spans="1:13" x14ac:dyDescent="0.2">
      <c r="A48">
        <f>VALUE(RIGHT(LEFT(B48,LEN(B48)-3),LEN(LEFT(B48,LEN(B48)-3))-5))</f>
        <v>57</v>
      </c>
      <c r="B48" s="16" t="s">
        <v>73</v>
      </c>
      <c r="C48" s="17">
        <v>5.3780180588185297E-4</v>
      </c>
      <c r="D48" s="18">
        <v>152</v>
      </c>
      <c r="E48" s="19" t="s">
        <v>23</v>
      </c>
      <c r="F48" s="17">
        <v>1.19643960609526E-3</v>
      </c>
      <c r="G48" s="18">
        <v>182</v>
      </c>
      <c r="H48" s="19" t="s">
        <v>23</v>
      </c>
      <c r="I48" s="20" t="s">
        <v>155</v>
      </c>
      <c r="J48" s="21" t="s">
        <v>157</v>
      </c>
      <c r="K48" s="17">
        <v>1.98</v>
      </c>
      <c r="L48" s="20">
        <v>9.01E-2</v>
      </c>
      <c r="M48" s="19" t="s">
        <v>11</v>
      </c>
    </row>
    <row r="49" spans="1:13" x14ac:dyDescent="0.2">
      <c r="A49">
        <f>VALUE(RIGHT(LEFT(B49,LEN(B49)-3),LEN(LEFT(B49,LEN(B49)-3))-5))</f>
        <v>58</v>
      </c>
      <c r="B49" s="24" t="s">
        <v>74</v>
      </c>
      <c r="C49" s="25">
        <v>7.9582985157773208E-6</v>
      </c>
      <c r="D49" s="26">
        <v>2</v>
      </c>
      <c r="E49" s="27" t="s">
        <v>21</v>
      </c>
      <c r="F49" s="25"/>
      <c r="G49" s="26"/>
      <c r="H49" s="27" t="s">
        <v>33</v>
      </c>
      <c r="I49" s="28" t="s">
        <v>153</v>
      </c>
      <c r="J49" s="29"/>
      <c r="K49" s="25">
        <v>0</v>
      </c>
      <c r="L49" s="28">
        <v>0.1159</v>
      </c>
      <c r="M49" s="27" t="s">
        <v>11</v>
      </c>
    </row>
    <row r="50" spans="1:13" x14ac:dyDescent="0.2">
      <c r="A50">
        <f>VALUE(RIGHT(LEFT(B50,LEN(B50)-3),LEN(LEFT(B50,LEN(B50)-3))-5))</f>
        <v>63</v>
      </c>
      <c r="B50" s="16" t="s">
        <v>75</v>
      </c>
      <c r="C50" s="17">
        <v>2.1226314970212401E-5</v>
      </c>
      <c r="D50" s="18">
        <v>6</v>
      </c>
      <c r="E50" s="19" t="s">
        <v>21</v>
      </c>
      <c r="F50" s="17">
        <v>2.6285353800862098E-5</v>
      </c>
      <c r="G50" s="18">
        <v>4</v>
      </c>
      <c r="H50" s="19" t="s">
        <v>21</v>
      </c>
      <c r="I50" s="20" t="s">
        <v>153</v>
      </c>
      <c r="J50" s="21"/>
      <c r="K50" s="17">
        <v>0</v>
      </c>
      <c r="L50" s="20">
        <v>0.47610000000000002</v>
      </c>
      <c r="M50" s="19" t="s">
        <v>10</v>
      </c>
    </row>
    <row r="51" spans="1:13" x14ac:dyDescent="0.2">
      <c r="A51">
        <f>VALUE(RIGHT(LEFT(B51,LEN(B51)-3),LEN(LEFT(B51,LEN(B51)-3))-5))</f>
        <v>64</v>
      </c>
      <c r="B51" s="24" t="s">
        <v>76</v>
      </c>
      <c r="C51" s="25">
        <v>3.1899961720045899E-5</v>
      </c>
      <c r="D51" s="26">
        <v>1</v>
      </c>
      <c r="E51" s="27" t="s">
        <v>21</v>
      </c>
      <c r="F51" s="25">
        <v>1.9714792666097099E-5</v>
      </c>
      <c r="G51" s="26">
        <v>3</v>
      </c>
      <c r="H51" s="27" t="s">
        <v>21</v>
      </c>
      <c r="I51" s="28" t="s">
        <v>153</v>
      </c>
      <c r="J51" s="29"/>
      <c r="K51" s="25">
        <v>0</v>
      </c>
      <c r="L51" s="28">
        <v>0.14899999999999999</v>
      </c>
      <c r="M51" s="27" t="s">
        <v>11</v>
      </c>
    </row>
    <row r="52" spans="1:13" x14ac:dyDescent="0.2">
      <c r="A52">
        <f>VALUE(RIGHT(LEFT(B52,LEN(B52)-3),LEN(LEFT(B52,LEN(B52)-3))-5))</f>
        <v>65</v>
      </c>
      <c r="B52" s="16" t="s">
        <v>77</v>
      </c>
      <c r="C52" s="17">
        <v>7.5596616454598196E-5</v>
      </c>
      <c r="D52" s="18">
        <v>19</v>
      </c>
      <c r="E52" s="19" t="s">
        <v>21</v>
      </c>
      <c r="F52" s="17">
        <v>6.5724613867893497E-6</v>
      </c>
      <c r="G52" s="18">
        <v>1</v>
      </c>
      <c r="H52" s="19" t="s">
        <v>21</v>
      </c>
      <c r="I52" s="20" t="s">
        <v>153</v>
      </c>
      <c r="J52" s="21"/>
      <c r="K52" s="17">
        <v>0</v>
      </c>
      <c r="L52" s="20">
        <v>0.28420000000000001</v>
      </c>
      <c r="M52" s="19" t="s">
        <v>10</v>
      </c>
    </row>
    <row r="53" spans="1:13" x14ac:dyDescent="0.2">
      <c r="A53">
        <f>VALUE(RIGHT(LEFT(B53,LEN(B53)-3),LEN(LEFT(B53,LEN(B53)-3))-5))</f>
        <v>66</v>
      </c>
      <c r="B53" s="24" t="s">
        <v>78</v>
      </c>
      <c r="C53" s="25"/>
      <c r="D53" s="26"/>
      <c r="E53" s="27" t="s">
        <v>33</v>
      </c>
      <c r="F53" s="25">
        <v>6.5720294426919003E-6</v>
      </c>
      <c r="G53" s="26">
        <v>1</v>
      </c>
      <c r="H53" s="27" t="s">
        <v>21</v>
      </c>
      <c r="I53" s="28" t="s">
        <v>153</v>
      </c>
      <c r="J53" s="29"/>
      <c r="K53" s="25">
        <v>0</v>
      </c>
      <c r="L53" s="28">
        <v>0.221</v>
      </c>
      <c r="M53" s="27" t="s">
        <v>10</v>
      </c>
    </row>
    <row r="54" spans="1:13" x14ac:dyDescent="0.2">
      <c r="A54">
        <f>VALUE(RIGHT(LEFT(B54,LEN(B54)-3),LEN(LEFT(B54,LEN(B54)-3))-5))</f>
        <v>67</v>
      </c>
      <c r="B54" s="16" t="s">
        <v>79</v>
      </c>
      <c r="C54" s="17">
        <v>7.9567154678548696E-6</v>
      </c>
      <c r="D54" s="18">
        <v>2</v>
      </c>
      <c r="E54" s="19" t="s">
        <v>21</v>
      </c>
      <c r="F54" s="17">
        <v>6.5728069829501297E-6</v>
      </c>
      <c r="G54" s="18">
        <v>1</v>
      </c>
      <c r="H54" s="19" t="s">
        <v>21</v>
      </c>
      <c r="I54" s="20" t="s">
        <v>155</v>
      </c>
      <c r="J54" s="21" t="s">
        <v>156</v>
      </c>
      <c r="K54" s="17">
        <v>0</v>
      </c>
      <c r="L54" s="20">
        <v>8.4500000000000006E-2</v>
      </c>
      <c r="M54" s="19" t="s">
        <v>11</v>
      </c>
    </row>
    <row r="55" spans="1:13" x14ac:dyDescent="0.2">
      <c r="A55">
        <f>VALUE(RIGHT(LEFT(B55,LEN(B55)-3),LEN(LEFT(B55,LEN(B55)-3))-5))</f>
        <v>70</v>
      </c>
      <c r="B55" s="24" t="s">
        <v>80</v>
      </c>
      <c r="C55" s="25">
        <v>3.9781994669212701E-6</v>
      </c>
      <c r="D55" s="26">
        <v>1</v>
      </c>
      <c r="E55" s="27" t="s">
        <v>21</v>
      </c>
      <c r="F55" s="25"/>
      <c r="G55" s="26"/>
      <c r="H55" s="27" t="s">
        <v>33</v>
      </c>
      <c r="I55" s="28" t="s">
        <v>153</v>
      </c>
      <c r="J55" s="29"/>
      <c r="K55" s="25">
        <v>0</v>
      </c>
      <c r="L55" s="28">
        <v>0.12889999999999999</v>
      </c>
      <c r="M55" s="27" t="s">
        <v>11</v>
      </c>
    </row>
    <row r="56" spans="1:13" x14ac:dyDescent="0.2">
      <c r="A56">
        <f>VALUE(RIGHT(LEFT(B56,LEN(B56)-3),LEN(LEFT(B56,LEN(B56)-3))-5))</f>
        <v>71</v>
      </c>
      <c r="B56" s="16" t="s">
        <v>81</v>
      </c>
      <c r="C56" s="17"/>
      <c r="D56" s="18"/>
      <c r="E56" s="19" t="s">
        <v>33</v>
      </c>
      <c r="F56" s="17">
        <v>6.5714248163286697E-6</v>
      </c>
      <c r="G56" s="18">
        <v>1</v>
      </c>
      <c r="H56" s="19" t="s">
        <v>21</v>
      </c>
      <c r="I56" s="20" t="s">
        <v>153</v>
      </c>
      <c r="J56" s="21"/>
      <c r="K56" s="17">
        <v>0</v>
      </c>
      <c r="L56" s="20">
        <v>0.27729999999999999</v>
      </c>
      <c r="M56" s="19" t="s">
        <v>10</v>
      </c>
    </row>
    <row r="57" spans="1:13" x14ac:dyDescent="0.2">
      <c r="A57">
        <f>VALUE(RIGHT(LEFT(B57,LEN(B57)-3),LEN(LEFT(B57,LEN(B57)-3))-5))</f>
        <v>73</v>
      </c>
      <c r="B57" s="24" t="s">
        <v>82</v>
      </c>
      <c r="C57" s="25">
        <v>3.9783260795187797E-6</v>
      </c>
      <c r="D57" s="26">
        <v>1</v>
      </c>
      <c r="E57" s="27" t="s">
        <v>21</v>
      </c>
      <c r="F57" s="25"/>
      <c r="G57" s="26"/>
      <c r="H57" s="27" t="s">
        <v>33</v>
      </c>
      <c r="I57" s="28" t="s">
        <v>153</v>
      </c>
      <c r="J57" s="29"/>
      <c r="K57" s="25">
        <v>0</v>
      </c>
      <c r="L57" s="28">
        <v>0.37390000000000001</v>
      </c>
      <c r="M57" s="27" t="s">
        <v>10</v>
      </c>
    </row>
    <row r="58" spans="1:13" x14ac:dyDescent="0.2">
      <c r="A58">
        <f>VALUE(RIGHT(LEFT(B58,LEN(B58)-3),LEN(LEFT(B58,LEN(B58)-3))-5))</f>
        <v>76</v>
      </c>
      <c r="B58" s="16" t="s">
        <v>83</v>
      </c>
      <c r="C58" s="17">
        <v>2.6538526864066102E-4</v>
      </c>
      <c r="D58" s="18">
        <v>75</v>
      </c>
      <c r="E58" s="19" t="s">
        <v>23</v>
      </c>
      <c r="F58" s="17">
        <v>1.71000881312234E-4</v>
      </c>
      <c r="G58" s="18">
        <v>26</v>
      </c>
      <c r="H58" s="19" t="s">
        <v>23</v>
      </c>
      <c r="I58" s="20" t="s">
        <v>155</v>
      </c>
      <c r="J58" s="21" t="s">
        <v>157</v>
      </c>
      <c r="K58" s="17">
        <v>0</v>
      </c>
      <c r="L58" s="20">
        <v>0.15479999999999999</v>
      </c>
      <c r="M58" s="19" t="s">
        <v>10</v>
      </c>
    </row>
    <row r="59" spans="1:13" x14ac:dyDescent="0.2">
      <c r="A59">
        <f>VALUE(RIGHT(LEFT(B59,LEN(B59)-3),LEN(LEFT(B59,LEN(B59)-3))-5))</f>
        <v>77</v>
      </c>
      <c r="B59" s="24" t="s">
        <v>84</v>
      </c>
      <c r="C59" s="25">
        <v>7.0781426953567301E-6</v>
      </c>
      <c r="D59" s="26">
        <v>2</v>
      </c>
      <c r="E59" s="27" t="s">
        <v>21</v>
      </c>
      <c r="F59" s="25">
        <v>1.31731478554115E-5</v>
      </c>
      <c r="G59" s="26">
        <v>2</v>
      </c>
      <c r="H59" s="27" t="s">
        <v>21</v>
      </c>
      <c r="I59" s="28" t="s">
        <v>153</v>
      </c>
      <c r="J59" s="29"/>
      <c r="K59" s="25">
        <v>0</v>
      </c>
      <c r="L59" s="28">
        <v>0.63890000000000002</v>
      </c>
      <c r="M59" s="27" t="s">
        <v>10</v>
      </c>
    </row>
    <row r="60" spans="1:13" x14ac:dyDescent="0.2">
      <c r="A60">
        <f>VALUE(RIGHT(LEFT(B60,LEN(B60)-3),LEN(LEFT(B60,LEN(B60)-3))-5))</f>
        <v>77</v>
      </c>
      <c r="B60" s="16" t="s">
        <v>85</v>
      </c>
      <c r="C60" s="17">
        <v>3.9795293012742397E-6</v>
      </c>
      <c r="D60" s="18">
        <v>1</v>
      </c>
      <c r="E60" s="19" t="s">
        <v>21</v>
      </c>
      <c r="F60" s="17"/>
      <c r="G60" s="18"/>
      <c r="H60" s="19" t="s">
        <v>33</v>
      </c>
      <c r="I60" s="20" t="s">
        <v>153</v>
      </c>
      <c r="J60" s="21"/>
      <c r="K60" s="17">
        <v>0</v>
      </c>
      <c r="L60" s="20">
        <v>0.63890000000000002</v>
      </c>
      <c r="M60" s="19" t="s">
        <v>10</v>
      </c>
    </row>
    <row r="61" spans="1:13" x14ac:dyDescent="0.2">
      <c r="A61">
        <f>VALUE(RIGHT(LEFT(B61,LEN(B61)-3),LEN(LEFT(B61,LEN(B61)-3))-5))</f>
        <v>77</v>
      </c>
      <c r="B61" s="24" t="s">
        <v>86</v>
      </c>
      <c r="C61" s="25">
        <v>5.66131200905809E-5</v>
      </c>
      <c r="D61" s="26">
        <v>16</v>
      </c>
      <c r="E61" s="27" t="s">
        <v>21</v>
      </c>
      <c r="F61" s="25">
        <v>6.5742761721934397E-5</v>
      </c>
      <c r="G61" s="26">
        <v>10</v>
      </c>
      <c r="H61" s="27" t="s">
        <v>21</v>
      </c>
      <c r="I61" s="28" t="s">
        <v>155</v>
      </c>
      <c r="J61" s="29" t="s">
        <v>156</v>
      </c>
      <c r="K61" s="25">
        <v>0</v>
      </c>
      <c r="L61" s="28">
        <v>0.63890000000000002</v>
      </c>
      <c r="M61" s="27" t="s">
        <v>10</v>
      </c>
    </row>
    <row r="62" spans="1:13" x14ac:dyDescent="0.2">
      <c r="A62">
        <f>VALUE(RIGHT(LEFT(B62,LEN(B62)-3),LEN(LEFT(B62,LEN(B62)-3))-5))</f>
        <v>77</v>
      </c>
      <c r="B62" s="16" t="s">
        <v>87</v>
      </c>
      <c r="C62" s="17">
        <v>3.9795293012742397E-6</v>
      </c>
      <c r="D62" s="18">
        <v>1</v>
      </c>
      <c r="E62" s="19" t="s">
        <v>21</v>
      </c>
      <c r="F62" s="17"/>
      <c r="G62" s="18"/>
      <c r="H62" s="19" t="s">
        <v>33</v>
      </c>
      <c r="I62" s="20" t="s">
        <v>153</v>
      </c>
      <c r="J62" s="21"/>
      <c r="K62" s="17">
        <v>0</v>
      </c>
      <c r="L62" s="20">
        <v>0.63890000000000002</v>
      </c>
      <c r="M62" s="19" t="s">
        <v>10</v>
      </c>
    </row>
    <row r="63" spans="1:13" x14ac:dyDescent="0.2">
      <c r="A63">
        <f>VALUE(RIGHT(LEFT(B63,LEN(B63)-3),LEN(LEFT(B63,LEN(B63)-3))-5))</f>
        <v>82</v>
      </c>
      <c r="B63" s="24" t="s">
        <v>88</v>
      </c>
      <c r="C63" s="25">
        <v>2.7015690428625202E-4</v>
      </c>
      <c r="D63" s="26">
        <v>76</v>
      </c>
      <c r="E63" s="27" t="s">
        <v>23</v>
      </c>
      <c r="F63" s="25">
        <v>2.0376237363446299E-4</v>
      </c>
      <c r="G63" s="26">
        <v>31</v>
      </c>
      <c r="H63" s="27" t="s">
        <v>23</v>
      </c>
      <c r="I63" s="28" t="s">
        <v>155</v>
      </c>
      <c r="J63" s="29" t="s">
        <v>158</v>
      </c>
      <c r="K63" s="25">
        <v>0</v>
      </c>
      <c r="L63" s="28">
        <v>0.72509999999999997</v>
      </c>
      <c r="M63" s="27" t="s">
        <v>10</v>
      </c>
    </row>
    <row r="64" spans="1:13" x14ac:dyDescent="0.2">
      <c r="A64">
        <f>VALUE(RIGHT(LEFT(B64,LEN(B64)-3),LEN(LEFT(B64,LEN(B64)-3))-5))</f>
        <v>82</v>
      </c>
      <c r="B64" s="16" t="s">
        <v>89</v>
      </c>
      <c r="C64" s="17">
        <v>1.7774870598942001E-5</v>
      </c>
      <c r="D64" s="18">
        <v>5</v>
      </c>
      <c r="E64" s="19" t="s">
        <v>21</v>
      </c>
      <c r="F64" s="17">
        <v>1.9722050567337601E-5</v>
      </c>
      <c r="G64" s="18">
        <v>3</v>
      </c>
      <c r="H64" s="19" t="s">
        <v>21</v>
      </c>
      <c r="I64" s="20" t="s">
        <v>153</v>
      </c>
      <c r="J64" s="21"/>
      <c r="K64" s="17">
        <v>0</v>
      </c>
      <c r="L64" s="20">
        <v>0.72509999999999997</v>
      </c>
      <c r="M64" s="19" t="s">
        <v>10</v>
      </c>
    </row>
    <row r="65" spans="1:13" x14ac:dyDescent="0.2">
      <c r="A65">
        <f>VALUE(RIGHT(LEFT(B65,LEN(B65)-3),LEN(LEFT(B65,LEN(B65)-3))-5))</f>
        <v>83</v>
      </c>
      <c r="B65" s="24" t="s">
        <v>90</v>
      </c>
      <c r="C65" s="25">
        <v>7.9988481658641096E-6</v>
      </c>
      <c r="D65" s="26">
        <v>2</v>
      </c>
      <c r="E65" s="27" t="s">
        <v>21</v>
      </c>
      <c r="F65" s="25">
        <v>1.9726459758022002E-5</v>
      </c>
      <c r="G65" s="26">
        <v>3</v>
      </c>
      <c r="H65" s="27" t="s">
        <v>21</v>
      </c>
      <c r="I65" s="28" t="s">
        <v>155</v>
      </c>
      <c r="J65" s="29" t="s">
        <v>156</v>
      </c>
      <c r="K65" s="25">
        <v>0</v>
      </c>
      <c r="L65" s="28">
        <v>0.2077</v>
      </c>
      <c r="M65" s="27" t="s">
        <v>10</v>
      </c>
    </row>
    <row r="66" spans="1:13" x14ac:dyDescent="0.2">
      <c r="A66">
        <f>VALUE(RIGHT(LEFT(B66,LEN(B66)-3),LEN(LEFT(B66,LEN(B66)-3))-5))</f>
        <v>84</v>
      </c>
      <c r="B66" s="16" t="s">
        <v>91</v>
      </c>
      <c r="C66" s="17">
        <v>1.9987527782663598E-5</v>
      </c>
      <c r="D66" s="18">
        <v>5</v>
      </c>
      <c r="E66" s="19" t="s">
        <v>21</v>
      </c>
      <c r="F66" s="17"/>
      <c r="G66" s="18"/>
      <c r="H66" s="19" t="s">
        <v>33</v>
      </c>
      <c r="I66" s="20" t="s">
        <v>153</v>
      </c>
      <c r="J66" s="21"/>
      <c r="K66" s="17">
        <v>0</v>
      </c>
      <c r="L66" s="20">
        <v>0.32519999999999999</v>
      </c>
      <c r="M66" s="19" t="s">
        <v>10</v>
      </c>
    </row>
    <row r="67" spans="1:13" x14ac:dyDescent="0.2">
      <c r="A67">
        <f>VALUE(RIGHT(LEFT(B67,LEN(B67)-3),LEN(LEFT(B67,LEN(B67)-3))-5))</f>
        <v>86</v>
      </c>
      <c r="B67" s="24" t="s">
        <v>92</v>
      </c>
      <c r="C67" s="25">
        <v>3.9960039960039904E-6</v>
      </c>
      <c r="D67" s="26">
        <v>1</v>
      </c>
      <c r="E67" s="27" t="s">
        <v>21</v>
      </c>
      <c r="F67" s="25">
        <v>1.3147687979068799E-5</v>
      </c>
      <c r="G67" s="26">
        <v>2</v>
      </c>
      <c r="H67" s="27" t="s">
        <v>21</v>
      </c>
      <c r="I67" s="28" t="s">
        <v>153</v>
      </c>
      <c r="J67" s="29"/>
      <c r="K67" s="25">
        <v>0</v>
      </c>
      <c r="L67" s="28">
        <v>0.42199999999999999</v>
      </c>
      <c r="M67" s="27" t="s">
        <v>10</v>
      </c>
    </row>
    <row r="68" spans="1:13" x14ac:dyDescent="0.2">
      <c r="A68">
        <f>VALUE(RIGHT(LEFT(B68,LEN(B68)-3),LEN(LEFT(B68,LEN(B68)-3))-5))</f>
        <v>86</v>
      </c>
      <c r="B68" s="16" t="s">
        <v>93</v>
      </c>
      <c r="C68" s="17">
        <v>3.9962595011069596E-6</v>
      </c>
      <c r="D68" s="18">
        <v>1</v>
      </c>
      <c r="E68" s="19" t="s">
        <v>21</v>
      </c>
      <c r="F68" s="17">
        <v>1.9744116253356499E-5</v>
      </c>
      <c r="G68" s="18">
        <v>3</v>
      </c>
      <c r="H68" s="19" t="s">
        <v>21</v>
      </c>
      <c r="I68" s="20" t="s">
        <v>153</v>
      </c>
      <c r="J68" s="21"/>
      <c r="K68" s="17">
        <v>0</v>
      </c>
      <c r="L68" s="20">
        <v>0.42199999999999999</v>
      </c>
      <c r="M68" s="19" t="s">
        <v>10</v>
      </c>
    </row>
    <row r="69" spans="1:13" x14ac:dyDescent="0.2">
      <c r="A69">
        <f>VALUE(RIGHT(LEFT(B69,LEN(B69)-3),LEN(LEFT(B69,LEN(B69)-3))-5))</f>
        <v>87</v>
      </c>
      <c r="B69" s="24" t="s">
        <v>94</v>
      </c>
      <c r="C69" s="25">
        <v>3.99581238861672E-6</v>
      </c>
      <c r="D69" s="26">
        <v>1</v>
      </c>
      <c r="E69" s="27" t="s">
        <v>21</v>
      </c>
      <c r="F69" s="25"/>
      <c r="G69" s="26"/>
      <c r="H69" s="27" t="s">
        <v>33</v>
      </c>
      <c r="I69" s="28" t="s">
        <v>153</v>
      </c>
      <c r="J69" s="29"/>
      <c r="K69" s="25">
        <v>0</v>
      </c>
      <c r="L69" s="28">
        <v>0.50880000000000003</v>
      </c>
      <c r="M69" s="27" t="s">
        <v>10</v>
      </c>
    </row>
    <row r="70" spans="1:13" x14ac:dyDescent="0.2">
      <c r="A70">
        <f>VALUE(RIGHT(LEFT(B70,LEN(B70)-3),LEN(LEFT(B70,LEN(B70)-3))-5))</f>
        <v>88</v>
      </c>
      <c r="B70" s="16" t="s">
        <v>95</v>
      </c>
      <c r="C70" s="17">
        <v>7.9904753533787701E-6</v>
      </c>
      <c r="D70" s="18">
        <v>2</v>
      </c>
      <c r="E70" s="19" t="s">
        <v>21</v>
      </c>
      <c r="F70" s="17">
        <v>1.9717902540980301E-5</v>
      </c>
      <c r="G70" s="18">
        <v>3</v>
      </c>
      <c r="H70" s="19" t="s">
        <v>21</v>
      </c>
      <c r="I70" s="20" t="s">
        <v>153</v>
      </c>
      <c r="J70" s="21"/>
      <c r="K70" s="17">
        <v>0</v>
      </c>
      <c r="L70" s="20">
        <v>0.1036</v>
      </c>
      <c r="M70" s="19" t="s">
        <v>11</v>
      </c>
    </row>
    <row r="71" spans="1:13" x14ac:dyDescent="0.2">
      <c r="A71">
        <f>VALUE(RIGHT(LEFT(B71,LEN(B71)-3),LEN(LEFT(B71,LEN(B71)-3))-5))</f>
        <v>89</v>
      </c>
      <c r="B71" s="24" t="s">
        <v>96</v>
      </c>
      <c r="C71" s="25">
        <v>3.9928448220788303E-6</v>
      </c>
      <c r="D71" s="26">
        <v>1</v>
      </c>
      <c r="E71" s="27" t="s">
        <v>21</v>
      </c>
      <c r="F71" s="25"/>
      <c r="G71" s="26"/>
      <c r="H71" s="27" t="s">
        <v>33</v>
      </c>
      <c r="I71" s="28" t="s">
        <v>153</v>
      </c>
      <c r="J71" s="29"/>
      <c r="K71" s="25">
        <v>6.52</v>
      </c>
      <c r="L71" s="28">
        <v>0.58260000000000001</v>
      </c>
      <c r="M71" s="27" t="s">
        <v>10</v>
      </c>
    </row>
    <row r="72" spans="1:13" x14ac:dyDescent="0.2">
      <c r="A72">
        <f>VALUE(RIGHT(LEFT(B72,LEN(B72)-3),LEN(LEFT(B72,LEN(B72)-3))-5))</f>
        <v>89</v>
      </c>
      <c r="B72" s="16" t="s">
        <v>97</v>
      </c>
      <c r="C72" s="17">
        <v>3.1897926634768703E-5</v>
      </c>
      <c r="D72" s="18">
        <v>1</v>
      </c>
      <c r="E72" s="19" t="s">
        <v>21</v>
      </c>
      <c r="F72" s="17"/>
      <c r="G72" s="18"/>
      <c r="H72" s="19" t="s">
        <v>33</v>
      </c>
      <c r="I72" s="20" t="s">
        <v>153</v>
      </c>
      <c r="J72" s="21"/>
      <c r="K72" s="17">
        <v>6.52</v>
      </c>
      <c r="L72" s="20">
        <v>0.58260000000000001</v>
      </c>
      <c r="M72" s="19" t="s">
        <v>10</v>
      </c>
    </row>
    <row r="73" spans="1:13" x14ac:dyDescent="0.2">
      <c r="A73">
        <f>VALUE(RIGHT(LEFT(B73,LEN(B73)-3),LEN(LEFT(B73,LEN(B73)-3))-5))</f>
        <v>89</v>
      </c>
      <c r="B73" s="24" t="s">
        <v>98</v>
      </c>
      <c r="C73" s="25">
        <v>3.9928448220788303E-6</v>
      </c>
      <c r="D73" s="26">
        <v>1</v>
      </c>
      <c r="E73" s="27" t="s">
        <v>21</v>
      </c>
      <c r="F73" s="25"/>
      <c r="G73" s="26"/>
      <c r="H73" s="27" t="s">
        <v>33</v>
      </c>
      <c r="I73" s="28" t="s">
        <v>153</v>
      </c>
      <c r="J73" s="29"/>
      <c r="K73" s="25">
        <v>6.52</v>
      </c>
      <c r="L73" s="28">
        <v>0.58260000000000001</v>
      </c>
      <c r="M73" s="27" t="s">
        <v>10</v>
      </c>
    </row>
    <row r="74" spans="1:13" x14ac:dyDescent="0.2">
      <c r="A74">
        <f>VALUE(RIGHT(LEFT(B74,LEN(B74)-3),LEN(LEFT(B74,LEN(B74)-3))-5))</f>
        <v>91</v>
      </c>
      <c r="B74" s="16" t="s">
        <v>99</v>
      </c>
      <c r="C74" s="17">
        <v>3.9911237408004596E-6</v>
      </c>
      <c r="D74" s="18">
        <v>1</v>
      </c>
      <c r="E74" s="19" t="s">
        <v>21</v>
      </c>
      <c r="F74" s="17"/>
      <c r="G74" s="18"/>
      <c r="H74" s="19" t="s">
        <v>33</v>
      </c>
      <c r="I74" s="20" t="s">
        <v>153</v>
      </c>
      <c r="J74" s="21"/>
      <c r="K74" s="17">
        <v>0</v>
      </c>
      <c r="L74" s="20">
        <v>0.33310000000000001</v>
      </c>
      <c r="M74" s="19" t="s">
        <v>10</v>
      </c>
    </row>
    <row r="75" spans="1:13" x14ac:dyDescent="0.2">
      <c r="A75">
        <f>VALUE(RIGHT(LEFT(B75,LEN(B75)-3),LEN(LEFT(B75,LEN(B75)-3))-5))</f>
        <v>92</v>
      </c>
      <c r="B75" s="24" t="s">
        <v>100</v>
      </c>
      <c r="C75" s="25"/>
      <c r="D75" s="26"/>
      <c r="E75" s="27" t="s">
        <v>33</v>
      </c>
      <c r="F75" s="25"/>
      <c r="G75" s="26"/>
      <c r="H75" s="27" t="s">
        <v>33</v>
      </c>
      <c r="I75" s="28" t="s">
        <v>155</v>
      </c>
      <c r="J75" s="21" t="s">
        <v>156</v>
      </c>
      <c r="K75" s="25">
        <v>0</v>
      </c>
      <c r="L75" s="28">
        <v>0.49130000000000001</v>
      </c>
      <c r="M75" s="27" t="s">
        <v>10</v>
      </c>
    </row>
    <row r="76" spans="1:13" x14ac:dyDescent="0.2">
      <c r="A76">
        <f>VALUE(RIGHT(LEFT(B76,LEN(B76)-3),LEN(LEFT(B76,LEN(B76)-3))-5))</f>
        <v>93</v>
      </c>
      <c r="B76" s="16" t="s">
        <v>101</v>
      </c>
      <c r="C76" s="17">
        <v>7.0899861036272304E-6</v>
      </c>
      <c r="D76" s="18">
        <v>2</v>
      </c>
      <c r="E76" s="19" t="s">
        <v>21</v>
      </c>
      <c r="F76" s="17">
        <v>6.5745355090662798E-6</v>
      </c>
      <c r="G76" s="18">
        <v>1</v>
      </c>
      <c r="H76" s="19" t="s">
        <v>21</v>
      </c>
      <c r="I76" s="20" t="s">
        <v>153</v>
      </c>
      <c r="J76" s="21"/>
      <c r="K76" s="17">
        <v>0</v>
      </c>
      <c r="L76" s="20">
        <v>0.54720000000000002</v>
      </c>
      <c r="M76" s="19" t="s">
        <v>10</v>
      </c>
    </row>
    <row r="77" spans="1:13" x14ac:dyDescent="0.2">
      <c r="A77">
        <f>VALUE(RIGHT(LEFT(B77,LEN(B77)-3),LEN(LEFT(B77,LEN(B77)-3))-5))</f>
        <v>94</v>
      </c>
      <c r="B77" s="24" t="s">
        <v>102</v>
      </c>
      <c r="C77" s="25">
        <v>3.9876224200082901E-6</v>
      </c>
      <c r="D77" s="26">
        <v>1</v>
      </c>
      <c r="E77" s="27" t="s">
        <v>21</v>
      </c>
      <c r="F77" s="25"/>
      <c r="G77" s="26"/>
      <c r="H77" s="27" t="s">
        <v>33</v>
      </c>
      <c r="I77" s="28" t="s">
        <v>153</v>
      </c>
      <c r="J77" s="29"/>
      <c r="K77" s="25">
        <v>0</v>
      </c>
      <c r="L77" s="28">
        <v>0.77380000000000004</v>
      </c>
      <c r="M77" s="27" t="s">
        <v>10</v>
      </c>
    </row>
    <row r="78" spans="1:13" x14ac:dyDescent="0.2">
      <c r="A78">
        <f>VALUE(RIGHT(LEFT(B78,LEN(B78)-3),LEN(LEFT(B78,LEN(B78)-3))-5))</f>
        <v>99</v>
      </c>
      <c r="B78" s="16" t="s">
        <v>103</v>
      </c>
      <c r="C78" s="17">
        <v>3.9829529613255196E-6</v>
      </c>
      <c r="D78" s="18">
        <v>1</v>
      </c>
      <c r="E78" s="19" t="s">
        <v>21</v>
      </c>
      <c r="F78" s="17"/>
      <c r="G78" s="18"/>
      <c r="H78" s="19" t="s">
        <v>33</v>
      </c>
      <c r="I78" s="20" t="s">
        <v>153</v>
      </c>
      <c r="J78" s="21"/>
      <c r="K78" s="17">
        <v>0</v>
      </c>
      <c r="L78" s="20">
        <v>9.1200000000000003E-2</v>
      </c>
      <c r="M78" s="19" t="s">
        <v>11</v>
      </c>
    </row>
    <row r="79" spans="1:13" x14ac:dyDescent="0.2">
      <c r="A79">
        <f>VALUE(RIGHT(LEFT(B79,LEN(B79)-3),LEN(LEFT(B79,LEN(B79)-3))-5))</f>
        <v>101</v>
      </c>
      <c r="B79" s="24" t="s">
        <v>104</v>
      </c>
      <c r="C79" s="25">
        <v>3.9833654658147502E-6</v>
      </c>
      <c r="D79" s="26">
        <v>1</v>
      </c>
      <c r="E79" s="27" t="s">
        <v>21</v>
      </c>
      <c r="F79" s="25"/>
      <c r="G79" s="26"/>
      <c r="H79" s="27" t="s">
        <v>33</v>
      </c>
      <c r="I79" s="28" t="s">
        <v>153</v>
      </c>
      <c r="J79" s="29"/>
      <c r="K79" s="25">
        <v>0</v>
      </c>
      <c r="L79" s="28">
        <v>0.29360000000000003</v>
      </c>
      <c r="M79" s="27" t="s">
        <v>10</v>
      </c>
    </row>
    <row r="80" spans="1:13" x14ac:dyDescent="0.2">
      <c r="A80">
        <f>VALUE(RIGHT(LEFT(B80,LEN(B80)-3),LEN(LEFT(B80,LEN(B80)-3))-5))</f>
        <v>101</v>
      </c>
      <c r="B80" s="16" t="s">
        <v>105</v>
      </c>
      <c r="C80" s="17">
        <v>1.7706887270872801E-5</v>
      </c>
      <c r="D80" s="18">
        <v>5</v>
      </c>
      <c r="E80" s="19" t="s">
        <v>21</v>
      </c>
      <c r="F80" s="17">
        <v>3.2936340640809401E-5</v>
      </c>
      <c r="G80" s="18">
        <v>5</v>
      </c>
      <c r="H80" s="19" t="s">
        <v>21</v>
      </c>
      <c r="I80" s="20" t="s">
        <v>153</v>
      </c>
      <c r="J80" s="21"/>
      <c r="K80" s="17">
        <v>0</v>
      </c>
      <c r="L80" s="20">
        <v>0.29360000000000003</v>
      </c>
      <c r="M80" s="19" t="s">
        <v>10</v>
      </c>
    </row>
    <row r="81" spans="1:13" x14ac:dyDescent="0.2">
      <c r="A81">
        <f>VALUE(RIGHT(LEFT(B81,LEN(B81)-3),LEN(LEFT(B81,LEN(B81)-3))-5))</f>
        <v>102</v>
      </c>
      <c r="B81" s="24" t="s">
        <v>106</v>
      </c>
      <c r="C81" s="25">
        <v>3.9831750685106101E-6</v>
      </c>
      <c r="D81" s="26">
        <v>1</v>
      </c>
      <c r="E81" s="27" t="s">
        <v>21</v>
      </c>
      <c r="F81" s="25">
        <v>1.31473422647611E-5</v>
      </c>
      <c r="G81" s="26">
        <v>2</v>
      </c>
      <c r="H81" s="27" t="s">
        <v>21</v>
      </c>
      <c r="I81" s="28" t="s">
        <v>153</v>
      </c>
      <c r="J81" s="29"/>
      <c r="K81" s="25">
        <v>15.83</v>
      </c>
      <c r="L81" s="28">
        <v>0.25650000000000001</v>
      </c>
      <c r="M81" s="27" t="s">
        <v>9</v>
      </c>
    </row>
    <row r="82" spans="1:13" x14ac:dyDescent="0.2">
      <c r="A82">
        <f>VALUE(RIGHT(LEFT(B82,LEN(B82)-3),LEN(LEFT(B82,LEN(B82)-3))-5))</f>
        <v>102</v>
      </c>
      <c r="B82" s="16" t="s">
        <v>107</v>
      </c>
      <c r="C82" s="17">
        <v>2.12443525429489E-5</v>
      </c>
      <c r="D82" s="18">
        <v>6</v>
      </c>
      <c r="E82" s="19" t="s">
        <v>21</v>
      </c>
      <c r="F82" s="17">
        <v>1.97168658070113E-5</v>
      </c>
      <c r="G82" s="18">
        <v>3</v>
      </c>
      <c r="H82" s="19" t="s">
        <v>21</v>
      </c>
      <c r="I82" s="20" t="s">
        <v>155</v>
      </c>
      <c r="J82" s="21" t="s">
        <v>156</v>
      </c>
      <c r="K82" s="17">
        <v>15.83</v>
      </c>
      <c r="L82" s="20">
        <v>0.25650000000000001</v>
      </c>
      <c r="M82" s="19" t="s">
        <v>9</v>
      </c>
    </row>
    <row r="83" spans="1:13" x14ac:dyDescent="0.2">
      <c r="A83">
        <f>VALUE(RIGHT(LEFT(B83,LEN(B83)-3),LEN(LEFT(B83,LEN(B83)-3))-5))</f>
        <v>103</v>
      </c>
      <c r="B83" s="24" t="s">
        <v>108</v>
      </c>
      <c r="C83" s="25">
        <v>4.60300824292553E-5</v>
      </c>
      <c r="D83" s="26">
        <v>13</v>
      </c>
      <c r="E83" s="27" t="s">
        <v>21</v>
      </c>
      <c r="F83" s="25">
        <v>7.8872646966032098E-5</v>
      </c>
      <c r="G83" s="26">
        <v>12</v>
      </c>
      <c r="H83" s="27" t="s">
        <v>21</v>
      </c>
      <c r="I83" s="28" t="s">
        <v>153</v>
      </c>
      <c r="J83" s="29"/>
      <c r="K83" s="25">
        <v>0</v>
      </c>
      <c r="L83" s="28">
        <v>0.4889</v>
      </c>
      <c r="M83" s="27" t="s">
        <v>10</v>
      </c>
    </row>
    <row r="84" spans="1:13" x14ac:dyDescent="0.2">
      <c r="A84">
        <f>VALUE(RIGHT(LEFT(B84,LEN(B84)-3),LEN(LEFT(B84,LEN(B84)-3))-5))</f>
        <v>103</v>
      </c>
      <c r="B84" s="16" t="s">
        <v>109</v>
      </c>
      <c r="C84" s="17">
        <v>4.6034320356376402E-5</v>
      </c>
      <c r="D84" s="18">
        <v>13</v>
      </c>
      <c r="E84" s="19" t="s">
        <v>21</v>
      </c>
      <c r="F84" s="17">
        <v>6.5718566809495007E-5</v>
      </c>
      <c r="G84" s="18">
        <v>10</v>
      </c>
      <c r="H84" s="19" t="s">
        <v>21</v>
      </c>
      <c r="I84" s="20" t="s">
        <v>155</v>
      </c>
      <c r="J84" s="21" t="s">
        <v>156</v>
      </c>
      <c r="K84" s="17">
        <v>0</v>
      </c>
      <c r="L84" s="20">
        <v>0.4889</v>
      </c>
      <c r="M84" s="19" t="s">
        <v>10</v>
      </c>
    </row>
    <row r="85" spans="1:13" x14ac:dyDescent="0.2">
      <c r="A85">
        <f>VALUE(RIGHT(LEFT(B85,LEN(B85)-3),LEN(LEFT(B85,LEN(B85)-3))-5))</f>
        <v>104</v>
      </c>
      <c r="B85" s="24" t="s">
        <v>110</v>
      </c>
      <c r="C85" s="25">
        <v>3.9824453807616004E-6</v>
      </c>
      <c r="D85" s="26">
        <v>1</v>
      </c>
      <c r="E85" s="27" t="s">
        <v>21</v>
      </c>
      <c r="F85" s="25">
        <v>6.5728933876692501E-6</v>
      </c>
      <c r="G85" s="26">
        <v>1</v>
      </c>
      <c r="H85" s="27" t="s">
        <v>21</v>
      </c>
      <c r="I85" s="28" t="s">
        <v>153</v>
      </c>
      <c r="J85" s="29"/>
      <c r="K85" s="25">
        <v>0.41</v>
      </c>
      <c r="L85" s="28">
        <v>0.71919999999999995</v>
      </c>
      <c r="M85" s="27" t="s">
        <v>10</v>
      </c>
    </row>
    <row r="86" spans="1:13" x14ac:dyDescent="0.2">
      <c r="A86">
        <f>VALUE(RIGHT(LEFT(B86,LEN(B86)-3),LEN(LEFT(B86,LEN(B86)-3))-5))</f>
        <v>105</v>
      </c>
      <c r="B86" s="16" t="s">
        <v>111</v>
      </c>
      <c r="C86" s="17">
        <v>2.38925789649734E-5</v>
      </c>
      <c r="D86" s="18">
        <v>6</v>
      </c>
      <c r="E86" s="19" t="s">
        <v>21</v>
      </c>
      <c r="F86" s="17">
        <v>3.9458627628930999E-5</v>
      </c>
      <c r="G86" s="18">
        <v>6</v>
      </c>
      <c r="H86" s="19" t="s">
        <v>21</v>
      </c>
      <c r="I86" s="20" t="s">
        <v>153</v>
      </c>
      <c r="J86" s="21"/>
      <c r="K86" s="17">
        <v>0</v>
      </c>
      <c r="L86" s="20">
        <v>0.60940000000000005</v>
      </c>
      <c r="M86" s="19" t="s">
        <v>10</v>
      </c>
    </row>
    <row r="87" spans="1:13" x14ac:dyDescent="0.2">
      <c r="A87">
        <f>VALUE(RIGHT(LEFT(B87,LEN(B87)-3),LEN(LEFT(B87,LEN(B87)-3))-5))</f>
        <v>106</v>
      </c>
      <c r="B87" s="24" t="s">
        <v>112</v>
      </c>
      <c r="C87" s="25">
        <v>7.9627344029939805E-6</v>
      </c>
      <c r="D87" s="26">
        <v>2</v>
      </c>
      <c r="E87" s="27" t="s">
        <v>21</v>
      </c>
      <c r="F87" s="25">
        <v>6.57323902926406E-6</v>
      </c>
      <c r="G87" s="26">
        <v>1</v>
      </c>
      <c r="H87" s="27" t="s">
        <v>21</v>
      </c>
      <c r="I87" s="28" t="s">
        <v>153</v>
      </c>
      <c r="J87" s="29"/>
      <c r="K87" s="25">
        <v>0</v>
      </c>
      <c r="L87" s="28">
        <v>0.5171</v>
      </c>
      <c r="M87" s="27" t="s">
        <v>10</v>
      </c>
    </row>
    <row r="88" spans="1:13" x14ac:dyDescent="0.2">
      <c r="A88">
        <f>VALUE(RIGHT(LEFT(B88,LEN(B88)-3),LEN(LEFT(B88,LEN(B88)-3))-5))</f>
        <v>107</v>
      </c>
      <c r="B88" s="16" t="s">
        <v>113</v>
      </c>
      <c r="C88" s="17">
        <v>7.9664770645125292E-6</v>
      </c>
      <c r="D88" s="18">
        <v>2</v>
      </c>
      <c r="E88" s="19" t="s">
        <v>21</v>
      </c>
      <c r="F88" s="17"/>
      <c r="G88" s="18"/>
      <c r="H88" s="19" t="s">
        <v>33</v>
      </c>
      <c r="I88" s="20" t="s">
        <v>153</v>
      </c>
      <c r="J88" s="21"/>
      <c r="K88" s="17">
        <v>31.29</v>
      </c>
      <c r="L88" s="20">
        <v>0.89239999999999997</v>
      </c>
      <c r="M88" s="19" t="s">
        <v>9</v>
      </c>
    </row>
    <row r="89" spans="1:13" x14ac:dyDescent="0.2">
      <c r="A89">
        <f>VALUE(RIGHT(LEFT(B89,LEN(B89)-3),LEN(LEFT(B89,LEN(B89)-3))-5))</f>
        <v>107</v>
      </c>
      <c r="B89" s="24" t="s">
        <v>114</v>
      </c>
      <c r="C89" s="25">
        <v>3.9825405422627203E-6</v>
      </c>
      <c r="D89" s="26">
        <v>1</v>
      </c>
      <c r="E89" s="27" t="s">
        <v>21</v>
      </c>
      <c r="F89" s="25"/>
      <c r="G89" s="26"/>
      <c r="H89" s="27" t="s">
        <v>33</v>
      </c>
      <c r="I89" s="28" t="s">
        <v>153</v>
      </c>
      <c r="J89" s="29"/>
      <c r="K89" s="25">
        <v>31.29</v>
      </c>
      <c r="L89" s="28">
        <v>0.89239999999999997</v>
      </c>
      <c r="M89" s="27" t="s">
        <v>9</v>
      </c>
    </row>
    <row r="90" spans="1:13" x14ac:dyDescent="0.2">
      <c r="A90">
        <f>VALUE(RIGHT(LEFT(B90,LEN(B90)-3),LEN(LEFT(B90,LEN(B90)-3))-5))</f>
        <v>109</v>
      </c>
      <c r="B90" s="16" t="s">
        <v>115</v>
      </c>
      <c r="C90" s="17"/>
      <c r="D90" s="18"/>
      <c r="E90" s="19" t="s">
        <v>33</v>
      </c>
      <c r="F90" s="17">
        <v>6.5712520863725303E-6</v>
      </c>
      <c r="G90" s="18">
        <v>1</v>
      </c>
      <c r="H90" s="19" t="s">
        <v>21</v>
      </c>
      <c r="I90" s="20" t="s">
        <v>153</v>
      </c>
      <c r="J90" s="21"/>
      <c r="K90" s="17">
        <v>0</v>
      </c>
      <c r="L90" s="20">
        <v>8.3900000000000002E-2</v>
      </c>
      <c r="M90" s="19" t="s">
        <v>11</v>
      </c>
    </row>
    <row r="91" spans="1:13" x14ac:dyDescent="0.2">
      <c r="A91">
        <f>VALUE(RIGHT(LEFT(B91,LEN(B91)-3),LEN(LEFT(B91,LEN(B91)-3))-5))</f>
        <v>110</v>
      </c>
      <c r="B91" s="24" t="s">
        <v>116</v>
      </c>
      <c r="C91" s="25">
        <v>7.9617200499995994E-6</v>
      </c>
      <c r="D91" s="26">
        <v>2</v>
      </c>
      <c r="E91" s="27" t="s">
        <v>21</v>
      </c>
      <c r="F91" s="25">
        <v>6.5715975553657001E-6</v>
      </c>
      <c r="G91" s="26">
        <v>1</v>
      </c>
      <c r="H91" s="27" t="s">
        <v>21</v>
      </c>
      <c r="I91" s="28" t="s">
        <v>153</v>
      </c>
      <c r="J91" s="29"/>
      <c r="K91" s="25">
        <v>0</v>
      </c>
      <c r="L91" s="28">
        <v>0.15559999999999999</v>
      </c>
      <c r="M91" s="27" t="s">
        <v>10</v>
      </c>
    </row>
    <row r="92" spans="1:13" x14ac:dyDescent="0.2">
      <c r="A92">
        <f>VALUE(RIGHT(LEFT(B92,LEN(B92)-3),LEN(LEFT(B92,LEN(B92)-3))-5))</f>
        <v>111</v>
      </c>
      <c r="B92" s="16" t="s">
        <v>117</v>
      </c>
      <c r="C92" s="17">
        <v>3.9805114161067399E-6</v>
      </c>
      <c r="D92" s="18">
        <v>1</v>
      </c>
      <c r="E92" s="19" t="s">
        <v>21</v>
      </c>
      <c r="F92" s="17"/>
      <c r="G92" s="18"/>
      <c r="H92" s="19" t="s">
        <v>33</v>
      </c>
      <c r="I92" s="20" t="s">
        <v>153</v>
      </c>
      <c r="J92" s="21"/>
      <c r="K92" s="17">
        <v>0</v>
      </c>
      <c r="L92" s="20">
        <v>9.3600000000000003E-2</v>
      </c>
      <c r="M92" s="19" t="s">
        <v>11</v>
      </c>
    </row>
    <row r="93" spans="1:13" x14ac:dyDescent="0.2">
      <c r="A93">
        <f>VALUE(RIGHT(LEFT(B93,LEN(B93)-3),LEN(LEFT(B93,LEN(B93)-3))-5))</f>
        <v>111</v>
      </c>
      <c r="B93" s="24" t="s">
        <v>118</v>
      </c>
      <c r="C93" s="25"/>
      <c r="D93" s="26"/>
      <c r="E93" s="27" t="s">
        <v>33</v>
      </c>
      <c r="F93" s="25">
        <v>6.57436261554442E-6</v>
      </c>
      <c r="G93" s="26">
        <v>1</v>
      </c>
      <c r="H93" s="27" t="s">
        <v>21</v>
      </c>
      <c r="I93" s="28" t="s">
        <v>153</v>
      </c>
      <c r="J93" s="29"/>
      <c r="K93" s="25">
        <v>0</v>
      </c>
      <c r="L93" s="28">
        <v>9.3600000000000003E-2</v>
      </c>
      <c r="M93" s="27" t="s">
        <v>11</v>
      </c>
    </row>
    <row r="94" spans="1:13" x14ac:dyDescent="0.2">
      <c r="A94">
        <f>VALUE(RIGHT(LEFT(B94,LEN(B94)-3),LEN(LEFT(B94,LEN(B94)-3))-5))</f>
        <v>112</v>
      </c>
      <c r="B94" s="16" t="s">
        <v>119</v>
      </c>
      <c r="C94" s="17">
        <v>2.1236532498973499E-5</v>
      </c>
      <c r="D94" s="18">
        <v>6</v>
      </c>
      <c r="E94" s="19" t="s">
        <v>21</v>
      </c>
      <c r="F94" s="17">
        <v>2.6299525293568399E-5</v>
      </c>
      <c r="G94" s="18">
        <v>4</v>
      </c>
      <c r="H94" s="19" t="s">
        <v>21</v>
      </c>
      <c r="I94" s="20" t="s">
        <v>153</v>
      </c>
      <c r="J94" s="21"/>
      <c r="K94" s="17">
        <v>0</v>
      </c>
      <c r="L94" s="20">
        <v>0.14860000000000001</v>
      </c>
      <c r="M94" s="19" t="s">
        <v>11</v>
      </c>
    </row>
    <row r="95" spans="1:13" x14ac:dyDescent="0.2">
      <c r="A95">
        <f>VALUE(RIGHT(LEFT(B95,LEN(B95)-3),LEN(LEFT(B95,LEN(B95)-3))-5))</f>
        <v>113</v>
      </c>
      <c r="B95" s="24" t="s">
        <v>120</v>
      </c>
      <c r="C95" s="25">
        <v>2.8842206588055399E-3</v>
      </c>
      <c r="D95" s="26">
        <v>815</v>
      </c>
      <c r="E95" s="27" t="s">
        <v>23</v>
      </c>
      <c r="F95" s="25">
        <v>2.5828075709779098E-3</v>
      </c>
      <c r="G95" s="26">
        <v>393</v>
      </c>
      <c r="H95" s="27" t="s">
        <v>23</v>
      </c>
      <c r="I95" s="28" t="s">
        <v>155</v>
      </c>
      <c r="J95" s="29" t="s">
        <v>157</v>
      </c>
      <c r="K95" s="25">
        <v>0</v>
      </c>
      <c r="L95" s="28">
        <v>9.4600000000000004E-2</v>
      </c>
      <c r="M95" s="27" t="s">
        <v>11</v>
      </c>
    </row>
    <row r="96" spans="1:13" x14ac:dyDescent="0.2">
      <c r="A96">
        <f>VALUE(RIGHT(LEFT(B96,LEN(B96)-3),LEN(LEFT(B96,LEN(B96)-3))-5))</f>
        <v>117</v>
      </c>
      <c r="B96" s="16" t="s">
        <v>121</v>
      </c>
      <c r="C96" s="17">
        <v>3.5823747163953299E-5</v>
      </c>
      <c r="D96" s="18">
        <v>9</v>
      </c>
      <c r="E96" s="19" t="s">
        <v>21</v>
      </c>
      <c r="F96" s="17"/>
      <c r="G96" s="18"/>
      <c r="H96" s="19" t="s">
        <v>33</v>
      </c>
      <c r="I96" s="20" t="s">
        <v>155</v>
      </c>
      <c r="J96" s="21" t="s">
        <v>156</v>
      </c>
      <c r="K96" s="17">
        <v>0</v>
      </c>
      <c r="L96" s="20">
        <v>0.57740000000000002</v>
      </c>
      <c r="M96" s="19" t="s">
        <v>10</v>
      </c>
    </row>
    <row r="97" spans="1:13" x14ac:dyDescent="0.2">
      <c r="A97">
        <f>VALUE(RIGHT(LEFT(B97,LEN(B97)-3),LEN(LEFT(B97,LEN(B97)-3))-5))</f>
        <v>117</v>
      </c>
      <c r="B97" s="24" t="s">
        <v>122</v>
      </c>
      <c r="C97" s="25">
        <v>2.12327749113531E-4</v>
      </c>
      <c r="D97" s="26">
        <v>60</v>
      </c>
      <c r="E97" s="27" t="s">
        <v>23</v>
      </c>
      <c r="F97" s="25">
        <v>3.2865331019613997E-4</v>
      </c>
      <c r="G97" s="26">
        <v>50</v>
      </c>
      <c r="H97" s="27" t="s">
        <v>23</v>
      </c>
      <c r="I97" s="28" t="s">
        <v>155</v>
      </c>
      <c r="J97" s="29" t="s">
        <v>156</v>
      </c>
      <c r="K97" s="25">
        <v>0</v>
      </c>
      <c r="L97" s="28">
        <v>0.57740000000000002</v>
      </c>
      <c r="M97" s="27" t="s">
        <v>10</v>
      </c>
    </row>
    <row r="98" spans="1:13" x14ac:dyDescent="0.2">
      <c r="A98">
        <f>VALUE(RIGHT(LEFT(B98,LEN(B98)-3),LEN(LEFT(B98,LEN(B98)-3))-5))</f>
        <v>120</v>
      </c>
      <c r="B98" s="16" t="s">
        <v>123</v>
      </c>
      <c r="C98" s="17"/>
      <c r="D98" s="18"/>
      <c r="E98" s="19" t="s">
        <v>33</v>
      </c>
      <c r="F98" s="17">
        <v>6.5759189846781001E-6</v>
      </c>
      <c r="G98" s="18">
        <v>1</v>
      </c>
      <c r="H98" s="19" t="s">
        <v>21</v>
      </c>
      <c r="I98" s="20" t="s">
        <v>153</v>
      </c>
      <c r="J98" s="21"/>
      <c r="K98" s="17">
        <v>0</v>
      </c>
      <c r="L98" s="20">
        <v>0.22770000000000001</v>
      </c>
      <c r="M98" s="19" t="s">
        <v>10</v>
      </c>
    </row>
    <row r="99" spans="1:13" x14ac:dyDescent="0.2">
      <c r="A99">
        <f>VALUE(RIGHT(LEFT(B99,LEN(B99)-3),LEN(LEFT(B99,LEN(B99)-3))-5))</f>
        <v>123</v>
      </c>
      <c r="B99" s="24" t="s">
        <v>124</v>
      </c>
      <c r="C99" s="25"/>
      <c r="D99" s="26"/>
      <c r="E99" s="27" t="s">
        <v>33</v>
      </c>
      <c r="F99" s="25"/>
      <c r="G99" s="26"/>
      <c r="H99" s="27" t="s">
        <v>33</v>
      </c>
      <c r="I99" s="28" t="s">
        <v>155</v>
      </c>
      <c r="J99" s="29" t="s">
        <v>8</v>
      </c>
      <c r="K99" s="25">
        <v>0</v>
      </c>
      <c r="L99" s="28">
        <v>0.1537</v>
      </c>
      <c r="M99" s="27" t="s">
        <v>10</v>
      </c>
    </row>
    <row r="100" spans="1:13" x14ac:dyDescent="0.2">
      <c r="A100">
        <f>VALUE(RIGHT(LEFT(B100,LEN(B100)-3),LEN(LEFT(B100,LEN(B100)-3))-5))</f>
        <v>123</v>
      </c>
      <c r="B100" s="16" t="s">
        <v>125</v>
      </c>
      <c r="C100" s="17">
        <v>3.89372261120117E-5</v>
      </c>
      <c r="D100" s="18">
        <v>11</v>
      </c>
      <c r="E100" s="19" t="s">
        <v>21</v>
      </c>
      <c r="F100" s="17">
        <v>2.6292956117056199E-5</v>
      </c>
      <c r="G100" s="18">
        <v>4</v>
      </c>
      <c r="H100" s="19" t="s">
        <v>21</v>
      </c>
      <c r="I100" s="20" t="s">
        <v>155</v>
      </c>
      <c r="J100" s="21" t="s">
        <v>156</v>
      </c>
      <c r="K100" s="17">
        <v>0</v>
      </c>
      <c r="L100" s="20">
        <v>0.1537</v>
      </c>
      <c r="M100" s="19" t="s">
        <v>10</v>
      </c>
    </row>
    <row r="101" spans="1:13" x14ac:dyDescent="0.2">
      <c r="A101">
        <f>VALUE(RIGHT(LEFT(B101,LEN(B101)-3),LEN(LEFT(B101,LEN(B101)-3))-5))</f>
        <v>124</v>
      </c>
      <c r="B101" s="24" t="s">
        <v>126</v>
      </c>
      <c r="C101" s="25">
        <v>3.9813037973675602E-6</v>
      </c>
      <c r="D101" s="26">
        <v>1</v>
      </c>
      <c r="E101" s="27" t="s">
        <v>21</v>
      </c>
      <c r="F101" s="25"/>
      <c r="G101" s="26"/>
      <c r="H101" s="27" t="s">
        <v>33</v>
      </c>
      <c r="I101" s="28" t="s">
        <v>153</v>
      </c>
      <c r="J101" s="29"/>
      <c r="K101" s="25">
        <v>0</v>
      </c>
      <c r="L101" s="28">
        <v>0.28620000000000001</v>
      </c>
      <c r="M101" s="27" t="s">
        <v>10</v>
      </c>
    </row>
    <row r="102" spans="1:13" x14ac:dyDescent="0.2">
      <c r="A102">
        <f>VALUE(RIGHT(LEFT(B102,LEN(B102)-3),LEN(LEFT(B102,LEN(B102)-3))-5))</f>
        <v>128</v>
      </c>
      <c r="B102" s="16" t="s">
        <v>127</v>
      </c>
      <c r="C102" s="17">
        <v>1.1948478162164701E-5</v>
      </c>
      <c r="D102" s="18">
        <v>3</v>
      </c>
      <c r="E102" s="19" t="s">
        <v>21</v>
      </c>
      <c r="F102" s="17">
        <v>1.9723865877712E-5</v>
      </c>
      <c r="G102" s="18">
        <v>3</v>
      </c>
      <c r="H102" s="19" t="s">
        <v>21</v>
      </c>
      <c r="I102" s="20" t="s">
        <v>153</v>
      </c>
      <c r="J102" s="21"/>
      <c r="K102" s="17">
        <v>6.47</v>
      </c>
      <c r="L102" s="20">
        <v>0.37309999999999999</v>
      </c>
      <c r="M102" s="19" t="s">
        <v>10</v>
      </c>
    </row>
    <row r="103" spans="1:13" x14ac:dyDescent="0.2">
      <c r="A103">
        <f>VALUE(RIGHT(LEFT(B103,LEN(B103)-3),LEN(LEFT(B103,LEN(B103)-3))-5))</f>
        <v>128</v>
      </c>
      <c r="B103" s="24" t="s">
        <v>128</v>
      </c>
      <c r="C103" s="25">
        <v>3.9828260540549098E-6</v>
      </c>
      <c r="D103" s="26">
        <v>1</v>
      </c>
      <c r="E103" s="27" t="s">
        <v>21</v>
      </c>
      <c r="F103" s="25"/>
      <c r="G103" s="26"/>
      <c r="H103" s="27" t="s">
        <v>33</v>
      </c>
      <c r="I103" s="28" t="s">
        <v>153</v>
      </c>
      <c r="J103" s="29"/>
      <c r="K103" s="25">
        <v>6.47</v>
      </c>
      <c r="L103" s="28">
        <v>0.37309999999999999</v>
      </c>
      <c r="M103" s="27" t="s">
        <v>10</v>
      </c>
    </row>
    <row r="104" spans="1:13" x14ac:dyDescent="0.2">
      <c r="A104">
        <f>VALUE(RIGHT(LEFT(B104,LEN(B104)-3),LEN(LEFT(B104,LEN(B104)-3))-5))</f>
        <v>129</v>
      </c>
      <c r="B104" s="16" t="s">
        <v>129</v>
      </c>
      <c r="C104" s="17">
        <v>9.5551291136821405E-5</v>
      </c>
      <c r="D104" s="18">
        <v>24</v>
      </c>
      <c r="E104" s="19" t="s">
        <v>21</v>
      </c>
      <c r="F104" s="17">
        <v>1.9720754121637601E-5</v>
      </c>
      <c r="G104" s="18">
        <v>3</v>
      </c>
      <c r="H104" s="19" t="s">
        <v>21</v>
      </c>
      <c r="I104" s="20" t="s">
        <v>155</v>
      </c>
      <c r="J104" s="21" t="s">
        <v>156</v>
      </c>
      <c r="K104" s="17">
        <v>18.47</v>
      </c>
      <c r="L104" s="20">
        <v>0.21890000000000001</v>
      </c>
      <c r="M104" s="19" t="s">
        <v>9</v>
      </c>
    </row>
    <row r="105" spans="1:13" x14ac:dyDescent="0.2">
      <c r="A105">
        <f>VALUE(RIGHT(LEFT(B105,LEN(B105)-3),LEN(LEFT(B105,LEN(B105)-3))-5))</f>
        <v>129</v>
      </c>
      <c r="B105" s="24" t="s">
        <v>130</v>
      </c>
      <c r="C105" s="25"/>
      <c r="D105" s="26"/>
      <c r="E105" s="27" t="s">
        <v>33</v>
      </c>
      <c r="F105" s="25">
        <v>6.5710793654965698E-6</v>
      </c>
      <c r="G105" s="26">
        <v>1</v>
      </c>
      <c r="H105" s="27" t="s">
        <v>21</v>
      </c>
      <c r="I105" s="28" t="s">
        <v>153</v>
      </c>
      <c r="J105" s="29"/>
      <c r="K105" s="25">
        <v>18.47</v>
      </c>
      <c r="L105" s="28">
        <v>0.21890000000000001</v>
      </c>
      <c r="M105" s="27" t="s">
        <v>9</v>
      </c>
    </row>
    <row r="106" spans="1:13" x14ac:dyDescent="0.2">
      <c r="A106">
        <f>VALUE(RIGHT(LEFT(B106,LEN(B106)-3),LEN(LEFT(B106,LEN(B106)-3))-5))</f>
        <v>129</v>
      </c>
      <c r="B106" s="16" t="s">
        <v>131</v>
      </c>
      <c r="C106" s="17">
        <v>3.98225507140183E-6</v>
      </c>
      <c r="D106" s="18">
        <v>1</v>
      </c>
      <c r="E106" s="19" t="s">
        <v>21</v>
      </c>
      <c r="F106" s="17"/>
      <c r="G106" s="18"/>
      <c r="H106" s="19" t="s">
        <v>33</v>
      </c>
      <c r="I106" s="20" t="s">
        <v>153</v>
      </c>
      <c r="J106" s="21"/>
      <c r="K106" s="17">
        <v>18.47</v>
      </c>
      <c r="L106" s="20">
        <v>0.21890000000000001</v>
      </c>
      <c r="M106" s="19" t="s">
        <v>9</v>
      </c>
    </row>
    <row r="107" spans="1:13" x14ac:dyDescent="0.2">
      <c r="A107">
        <f>VALUE(RIGHT(LEFT(B107,LEN(B107)-3),LEN(LEFT(B107,LEN(B107)-3))-5))</f>
        <v>132</v>
      </c>
      <c r="B107" s="24" t="s">
        <v>132</v>
      </c>
      <c r="C107" s="25"/>
      <c r="D107" s="26"/>
      <c r="E107" s="27" t="s">
        <v>33</v>
      </c>
      <c r="F107" s="25">
        <v>6.5736711323805797E-6</v>
      </c>
      <c r="G107" s="26">
        <v>1</v>
      </c>
      <c r="H107" s="27" t="s">
        <v>21</v>
      </c>
      <c r="I107" s="28" t="s">
        <v>153</v>
      </c>
      <c r="J107" s="29"/>
      <c r="K107" s="25">
        <v>7.21</v>
      </c>
      <c r="L107" s="28">
        <v>0.30680000000000002</v>
      </c>
      <c r="M107" s="27" t="s">
        <v>10</v>
      </c>
    </row>
    <row r="108" spans="1:13" x14ac:dyDescent="0.2">
      <c r="A108">
        <f>VALUE(RIGHT(LEFT(B108,LEN(B108)-3),LEN(LEFT(B108,LEN(B108)-3))-5))</f>
        <v>134</v>
      </c>
      <c r="B108" s="16" t="s">
        <v>133</v>
      </c>
      <c r="C108" s="17">
        <v>3.18593092901745E-5</v>
      </c>
      <c r="D108" s="18">
        <v>1</v>
      </c>
      <c r="E108" s="19" t="s">
        <v>21</v>
      </c>
      <c r="F108" s="17">
        <v>1.9719457846372199E-5</v>
      </c>
      <c r="G108" s="18">
        <v>3</v>
      </c>
      <c r="H108" s="19" t="s">
        <v>21</v>
      </c>
      <c r="I108" s="20" t="s">
        <v>153</v>
      </c>
      <c r="J108" s="21"/>
      <c r="K108" s="17">
        <v>6.24</v>
      </c>
      <c r="L108" s="20">
        <v>0.18540000000000001</v>
      </c>
      <c r="M108" s="19" t="s">
        <v>10</v>
      </c>
    </row>
    <row r="109" spans="1:13" x14ac:dyDescent="0.2">
      <c r="A109">
        <f>VALUE(RIGHT(LEFT(B109,LEN(B109)-3),LEN(LEFT(B109,LEN(B109)-3))-5))</f>
        <v>136</v>
      </c>
      <c r="B109" s="24" t="s">
        <v>134</v>
      </c>
      <c r="C109" s="25"/>
      <c r="D109" s="26"/>
      <c r="E109" s="27" t="s">
        <v>33</v>
      </c>
      <c r="F109" s="25">
        <v>6.5747084116819403E-6</v>
      </c>
      <c r="G109" s="26">
        <v>1</v>
      </c>
      <c r="H109" s="27" t="s">
        <v>21</v>
      </c>
      <c r="I109" s="28" t="s">
        <v>153</v>
      </c>
      <c r="J109" s="29"/>
      <c r="K109" s="25">
        <v>6.08</v>
      </c>
      <c r="L109" s="28">
        <v>0.49330000000000002</v>
      </c>
      <c r="M109" s="27" t="s">
        <v>10</v>
      </c>
    </row>
    <row r="110" spans="1:13" x14ac:dyDescent="0.2">
      <c r="A110">
        <f>VALUE(RIGHT(LEFT(B110,LEN(B110)-3),LEN(LEFT(B110,LEN(B110)-3))-5))</f>
        <v>138</v>
      </c>
      <c r="B110" s="16" t="s">
        <v>135</v>
      </c>
      <c r="C110" s="17">
        <v>1.5950616890108201E-5</v>
      </c>
      <c r="D110" s="18">
        <v>4</v>
      </c>
      <c r="E110" s="19" t="s">
        <v>21</v>
      </c>
      <c r="F110" s="17">
        <v>6.5737575598211903E-6</v>
      </c>
      <c r="G110" s="18">
        <v>1</v>
      </c>
      <c r="H110" s="19" t="s">
        <v>21</v>
      </c>
      <c r="I110" s="20" t="s">
        <v>153</v>
      </c>
      <c r="J110" s="21"/>
      <c r="K110" s="17">
        <v>0.04</v>
      </c>
      <c r="L110" s="20">
        <v>0.66249999999999998</v>
      </c>
      <c r="M110" s="19" t="s">
        <v>10</v>
      </c>
    </row>
    <row r="111" spans="1:13" x14ac:dyDescent="0.2">
      <c r="A111">
        <f>VALUE(RIGHT(LEFT(B111,LEN(B111)-3),LEN(LEFT(B111,LEN(B111)-3))-5))</f>
        <v>139</v>
      </c>
      <c r="B111" s="24" t="s">
        <v>136</v>
      </c>
      <c r="C111" s="25">
        <v>7.9742272973748799E-6</v>
      </c>
      <c r="D111" s="26">
        <v>2</v>
      </c>
      <c r="E111" s="27" t="s">
        <v>21</v>
      </c>
      <c r="F111" s="25"/>
      <c r="G111" s="26"/>
      <c r="H111" s="27" t="s">
        <v>33</v>
      </c>
      <c r="I111" s="28" t="s">
        <v>153</v>
      </c>
      <c r="J111" s="29"/>
      <c r="K111" s="25">
        <v>0</v>
      </c>
      <c r="L111" s="28">
        <v>1.099</v>
      </c>
      <c r="M111" s="27" t="s">
        <v>10</v>
      </c>
    </row>
    <row r="112" spans="1:13" x14ac:dyDescent="0.2">
      <c r="A112">
        <f>VALUE(RIGHT(LEFT(B112,LEN(B112)-3),LEN(LEFT(B112,LEN(B112)-3))-5))</f>
        <v>140</v>
      </c>
      <c r="B112" s="16" t="s">
        <v>137</v>
      </c>
      <c r="C112" s="17">
        <v>3.9888312724371704E-6</v>
      </c>
      <c r="D112" s="18">
        <v>1</v>
      </c>
      <c r="E112" s="19" t="s">
        <v>21</v>
      </c>
      <c r="F112" s="17"/>
      <c r="G112" s="18"/>
      <c r="H112" s="19" t="s">
        <v>33</v>
      </c>
      <c r="I112" s="20" t="s">
        <v>153</v>
      </c>
      <c r="J112" s="21"/>
      <c r="K112" s="17">
        <v>4.8099999999999996</v>
      </c>
      <c r="L112" s="20">
        <v>0.43070000000000003</v>
      </c>
      <c r="M112" s="19" t="s">
        <v>10</v>
      </c>
    </row>
    <row r="113" spans="1:13" x14ac:dyDescent="0.2">
      <c r="A113">
        <f>VALUE(RIGHT(LEFT(B113,LEN(B113)-3),LEN(LEFT(B113,LEN(B113)-3))-5))</f>
        <v>140</v>
      </c>
      <c r="B113" s="24" t="s">
        <v>138</v>
      </c>
      <c r="C113" s="25">
        <v>7.9776625448743493E-6</v>
      </c>
      <c r="D113" s="26">
        <v>2</v>
      </c>
      <c r="E113" s="27" t="s">
        <v>21</v>
      </c>
      <c r="F113" s="25"/>
      <c r="G113" s="26"/>
      <c r="H113" s="27" t="s">
        <v>33</v>
      </c>
      <c r="I113" s="28" t="s">
        <v>153</v>
      </c>
      <c r="J113" s="29"/>
      <c r="K113" s="25">
        <v>4.8099999999999996</v>
      </c>
      <c r="L113" s="28">
        <v>0.43070000000000003</v>
      </c>
      <c r="M113" s="27" t="s">
        <v>10</v>
      </c>
    </row>
    <row r="114" spans="1:13" x14ac:dyDescent="0.2">
      <c r="A114">
        <f>VALUE(RIGHT(LEFT(B114,LEN(B114)-3),LEN(LEFT(B114,LEN(B114)-3))-5))</f>
        <v>141</v>
      </c>
      <c r="B114" s="16" t="s">
        <v>139</v>
      </c>
      <c r="C114" s="17">
        <v>3.9909963123193998E-6</v>
      </c>
      <c r="D114" s="18">
        <v>1</v>
      </c>
      <c r="E114" s="19" t="s">
        <v>21</v>
      </c>
      <c r="F114" s="17"/>
      <c r="G114" s="18"/>
      <c r="H114" s="19" t="s">
        <v>33</v>
      </c>
      <c r="I114" s="20" t="s">
        <v>153</v>
      </c>
      <c r="J114" s="21"/>
      <c r="K114" s="17">
        <v>0</v>
      </c>
      <c r="L114" s="20">
        <v>0.58789999999999998</v>
      </c>
      <c r="M114" s="19" t="s">
        <v>10</v>
      </c>
    </row>
    <row r="115" spans="1:13" x14ac:dyDescent="0.2">
      <c r="A115">
        <f>VALUE(RIGHT(LEFT(B115,LEN(B115)-3),LEN(LEFT(B115,LEN(B115)-3))-5))</f>
        <v>141</v>
      </c>
      <c r="B115" s="24" t="s">
        <v>140</v>
      </c>
      <c r="C115" s="25">
        <v>3.9899771773305398E-6</v>
      </c>
      <c r="D115" s="26">
        <v>1</v>
      </c>
      <c r="E115" s="27" t="s">
        <v>21</v>
      </c>
      <c r="F115" s="25"/>
      <c r="G115" s="26"/>
      <c r="H115" s="27" t="s">
        <v>33</v>
      </c>
      <c r="I115" s="28" t="s">
        <v>155</v>
      </c>
      <c r="J115" s="29" t="s">
        <v>156</v>
      </c>
      <c r="K115" s="25">
        <v>0</v>
      </c>
      <c r="L115" s="28">
        <v>0.58789999999999998</v>
      </c>
      <c r="M115" s="27" t="s">
        <v>10</v>
      </c>
    </row>
    <row r="116" spans="1:13" x14ac:dyDescent="0.2">
      <c r="A116">
        <f>VALUE(RIGHT(LEFT(B116,LEN(B116)-3),LEN(LEFT(B116,LEN(B116)-3))-5))</f>
        <v>144</v>
      </c>
      <c r="B116" s="16" t="s">
        <v>141</v>
      </c>
      <c r="C116" s="17">
        <v>1.5979163171224701E-5</v>
      </c>
      <c r="D116" s="18">
        <v>4</v>
      </c>
      <c r="E116" s="19" t="s">
        <v>21</v>
      </c>
      <c r="F116" s="17"/>
      <c r="G116" s="18"/>
      <c r="H116" s="19" t="s">
        <v>33</v>
      </c>
      <c r="I116" s="20" t="s">
        <v>153</v>
      </c>
      <c r="J116" s="21"/>
      <c r="K116" s="17">
        <v>0.55000000000000004</v>
      </c>
      <c r="L116" s="20">
        <v>0.45140000000000002</v>
      </c>
      <c r="M116" s="19" t="s">
        <v>10</v>
      </c>
    </row>
    <row r="117" spans="1:13" x14ac:dyDescent="0.2">
      <c r="A117">
        <f>VALUE(RIGHT(LEFT(B117,LEN(B117)-3),LEN(LEFT(B117,LEN(B117)-3))-5))</f>
        <v>145</v>
      </c>
      <c r="B117" s="24" t="s">
        <v>142</v>
      </c>
      <c r="C117" s="25">
        <v>3.9969942603162397E-6</v>
      </c>
      <c r="D117" s="26">
        <v>1</v>
      </c>
      <c r="E117" s="27" t="s">
        <v>21</v>
      </c>
      <c r="F117" s="25"/>
      <c r="G117" s="26"/>
      <c r="H117" s="27" t="s">
        <v>33</v>
      </c>
      <c r="I117" s="28" t="s">
        <v>153</v>
      </c>
      <c r="J117" s="29"/>
      <c r="K117" s="25">
        <v>0.14000000000000001</v>
      </c>
      <c r="L117" s="28">
        <v>0.35510000000000003</v>
      </c>
      <c r="M117" s="27" t="s">
        <v>10</v>
      </c>
    </row>
    <row r="118" spans="1:13" x14ac:dyDescent="0.2">
      <c r="A118">
        <f>VALUE(RIGHT(LEFT(B118,LEN(B118)-3),LEN(LEFT(B118,LEN(B118)-3))-5))</f>
        <v>146</v>
      </c>
      <c r="B118" s="16" t="s">
        <v>143</v>
      </c>
      <c r="C118" s="17">
        <v>1.4786869260097001E-4</v>
      </c>
      <c r="D118" s="18">
        <v>37</v>
      </c>
      <c r="E118" s="19" t="s">
        <v>23</v>
      </c>
      <c r="F118" s="17">
        <v>7.2327498915087494E-5</v>
      </c>
      <c r="G118" s="18">
        <v>11</v>
      </c>
      <c r="H118" s="19" t="s">
        <v>21</v>
      </c>
      <c r="I118" s="20" t="s">
        <v>155</v>
      </c>
      <c r="J118" s="21" t="s">
        <v>157</v>
      </c>
      <c r="K118" s="17">
        <v>0.26</v>
      </c>
      <c r="L118" s="20">
        <v>0.1424</v>
      </c>
      <c r="M118" s="19" t="s">
        <v>11</v>
      </c>
    </row>
    <row r="119" spans="1:13" x14ac:dyDescent="0.2">
      <c r="A119">
        <f>VALUE(RIGHT(LEFT(B119,LEN(B119)-3),LEN(LEFT(B119,LEN(B119)-3))-5))</f>
        <v>148</v>
      </c>
      <c r="B119" s="24" t="s">
        <v>144</v>
      </c>
      <c r="C119" s="25">
        <v>4.0015686148970399E-6</v>
      </c>
      <c r="D119" s="26">
        <v>1</v>
      </c>
      <c r="E119" s="27" t="s">
        <v>21</v>
      </c>
      <c r="F119" s="25"/>
      <c r="G119" s="26"/>
      <c r="H119" s="27" t="s">
        <v>33</v>
      </c>
      <c r="I119" s="28" t="s">
        <v>153</v>
      </c>
      <c r="J119" s="29"/>
      <c r="K119" s="25">
        <v>0</v>
      </c>
      <c r="L119" s="28">
        <v>0.37419999999999998</v>
      </c>
      <c r="M119" s="27" t="s">
        <v>10</v>
      </c>
    </row>
    <row r="120" spans="1:13" x14ac:dyDescent="0.2">
      <c r="A120">
        <f>VALUE(RIGHT(LEFT(B120,LEN(B120)-3),LEN(LEFT(B120,LEN(B120)-3))-5))</f>
        <v>150</v>
      </c>
      <c r="B120" s="16" t="s">
        <v>145</v>
      </c>
      <c r="C120" s="17">
        <v>4.0074378045652703E-6</v>
      </c>
      <c r="D120" s="18">
        <v>1</v>
      </c>
      <c r="E120" s="19" t="s">
        <v>21</v>
      </c>
      <c r="F120" s="17"/>
      <c r="G120" s="18"/>
      <c r="H120" s="19" t="s">
        <v>33</v>
      </c>
      <c r="I120" s="20" t="s">
        <v>153</v>
      </c>
      <c r="J120" s="21"/>
      <c r="K120" s="17">
        <v>12.39</v>
      </c>
      <c r="L120" s="20">
        <v>0.36259999999999998</v>
      </c>
      <c r="M120" s="19" t="s">
        <v>10</v>
      </c>
    </row>
    <row r="121" spans="1:13" x14ac:dyDescent="0.2">
      <c r="A121">
        <f>VALUE(RIGHT(LEFT(B121,LEN(B121)-3),LEN(LEFT(B121,LEN(B121)-3))-5))</f>
        <v>150</v>
      </c>
      <c r="B121" s="24" t="s">
        <v>146</v>
      </c>
      <c r="C121" s="25">
        <v>4.0093337289209199E-6</v>
      </c>
      <c r="D121" s="26">
        <v>1</v>
      </c>
      <c r="E121" s="27" t="s">
        <v>21</v>
      </c>
      <c r="F121" s="25"/>
      <c r="G121" s="26"/>
      <c r="H121" s="27" t="s">
        <v>33</v>
      </c>
      <c r="I121" s="28" t="s">
        <v>153</v>
      </c>
      <c r="J121" s="29"/>
      <c r="K121" s="25">
        <v>12.39</v>
      </c>
      <c r="L121" s="28">
        <v>0.36259999999999998</v>
      </c>
      <c r="M121" s="27" t="s">
        <v>10</v>
      </c>
    </row>
    <row r="122" spans="1:13" x14ac:dyDescent="0.2">
      <c r="A122">
        <f>VALUE(RIGHT(LEFT(B122,LEN(B122)-3),LEN(LEFT(B122,LEN(B122)-3))-5))</f>
        <v>150</v>
      </c>
      <c r="B122" s="16" t="s">
        <v>147</v>
      </c>
      <c r="C122" s="17">
        <v>4.0093337289209199E-6</v>
      </c>
      <c r="D122" s="18">
        <v>1</v>
      </c>
      <c r="E122" s="19" t="s">
        <v>21</v>
      </c>
      <c r="F122" s="17"/>
      <c r="G122" s="18"/>
      <c r="H122" s="19" t="s">
        <v>33</v>
      </c>
      <c r="I122" s="20" t="s">
        <v>153</v>
      </c>
      <c r="J122" s="21"/>
      <c r="K122" s="17">
        <v>12.39</v>
      </c>
      <c r="L122" s="20">
        <v>0.36259999999999998</v>
      </c>
      <c r="M122" s="19" t="s">
        <v>10</v>
      </c>
    </row>
    <row r="123" spans="1:13" x14ac:dyDescent="0.2">
      <c r="A123">
        <f>VALUE(RIGHT(LEFT(B123,LEN(B123)-3),LEN(LEFT(B123,LEN(B123)-3))-5))</f>
        <v>150</v>
      </c>
      <c r="B123" s="24" t="s">
        <v>148</v>
      </c>
      <c r="C123" s="25">
        <v>2.4930728190955099E-5</v>
      </c>
      <c r="D123" s="26">
        <v>7</v>
      </c>
      <c r="E123" s="27" t="s">
        <v>21</v>
      </c>
      <c r="F123" s="25">
        <v>6.57687046195938E-6</v>
      </c>
      <c r="G123" s="26">
        <v>1</v>
      </c>
      <c r="H123" s="27" t="s">
        <v>21</v>
      </c>
      <c r="I123" s="28" t="s">
        <v>153</v>
      </c>
      <c r="J123" s="29"/>
      <c r="K123" s="25">
        <v>12.39</v>
      </c>
      <c r="L123" s="28">
        <v>0.36259999999999998</v>
      </c>
      <c r="M123" s="27" t="s">
        <v>10</v>
      </c>
    </row>
    <row r="124" spans="1:13" x14ac:dyDescent="0.2">
      <c r="A124">
        <f>VALUE(RIGHT(LEFT(B124,LEN(B124)-3),LEN(LEFT(B124,LEN(B124)-3))-5))</f>
        <v>151</v>
      </c>
      <c r="B124" s="16" t="s">
        <v>149</v>
      </c>
      <c r="C124" s="17">
        <v>1.08313676406874E-4</v>
      </c>
      <c r="D124" s="18">
        <v>27</v>
      </c>
      <c r="E124" s="19" t="s">
        <v>23</v>
      </c>
      <c r="F124" s="17">
        <v>6.5747948664001603E-6</v>
      </c>
      <c r="G124" s="18">
        <v>1</v>
      </c>
      <c r="H124" s="19" t="s">
        <v>21</v>
      </c>
      <c r="I124" s="20" t="s">
        <v>153</v>
      </c>
      <c r="J124" s="21"/>
      <c r="K124" s="17">
        <v>0.37</v>
      </c>
      <c r="L124" s="20">
        <v>0.32919999999999999</v>
      </c>
      <c r="M124" s="19" t="s">
        <v>10</v>
      </c>
    </row>
    <row r="125" spans="1:13" x14ac:dyDescent="0.2">
      <c r="A125">
        <f>VALUE(RIGHT(LEFT(B125,LEN(B125)-3),LEN(LEFT(B125,LEN(B125)-3))-5))</f>
        <v>153</v>
      </c>
      <c r="B125" s="24" t="s">
        <v>150</v>
      </c>
      <c r="C125" s="25">
        <v>2.5005179644354899E-5</v>
      </c>
      <c r="D125" s="26">
        <v>7</v>
      </c>
      <c r="E125" s="27" t="s">
        <v>21</v>
      </c>
      <c r="F125" s="25">
        <v>1.3144058885383801E-5</v>
      </c>
      <c r="G125" s="26">
        <v>2</v>
      </c>
      <c r="H125" s="27" t="s">
        <v>21</v>
      </c>
      <c r="I125" s="28" t="s">
        <v>153</v>
      </c>
      <c r="J125" s="29"/>
      <c r="K125" s="25">
        <v>1.62</v>
      </c>
      <c r="L125" s="28">
        <v>0.55820000000000003</v>
      </c>
      <c r="M125" s="27" t="s">
        <v>10</v>
      </c>
    </row>
    <row r="126" spans="1:13" x14ac:dyDescent="0.2">
      <c r="A126">
        <f>VALUE(RIGHT(LEFT(B126,LEN(B126)-3),LEN(LEFT(B126,LEN(B126)-3))-5))</f>
        <v>154</v>
      </c>
      <c r="B126" s="16" t="s">
        <v>151</v>
      </c>
      <c r="C126" s="17">
        <v>4.0293984913931999E-6</v>
      </c>
      <c r="D126" s="18">
        <v>1</v>
      </c>
      <c r="E126" s="19" t="s">
        <v>21</v>
      </c>
      <c r="F126" s="17"/>
      <c r="G126" s="18"/>
      <c r="H126" s="19" t="s">
        <v>33</v>
      </c>
      <c r="I126" s="20" t="s">
        <v>153</v>
      </c>
      <c r="J126" s="21"/>
      <c r="K126" s="17">
        <v>1.26</v>
      </c>
      <c r="L126" s="20">
        <v>0.75529999999999997</v>
      </c>
      <c r="M126" s="19" t="s">
        <v>10</v>
      </c>
    </row>
    <row r="127" spans="1:13" ht="17" thickBot="1" x14ac:dyDescent="0.25">
      <c r="A127">
        <f>VALUE(RIGHT(LEFT(B127,LEN(B127)-3),LEN(LEFT(B127,LEN(B127)-3))-5))</f>
        <v>155</v>
      </c>
      <c r="B127" s="31" t="s">
        <v>152</v>
      </c>
      <c r="C127" s="32">
        <v>4.0343077531326302E-6</v>
      </c>
      <c r="D127" s="33">
        <v>1</v>
      </c>
      <c r="E127" s="34" t="s">
        <v>21</v>
      </c>
      <c r="F127" s="32"/>
      <c r="G127" s="33"/>
      <c r="H127" s="34" t="s">
        <v>33</v>
      </c>
      <c r="I127" s="35" t="s">
        <v>153</v>
      </c>
      <c r="J127" s="36"/>
      <c r="K127" s="32">
        <v>0</v>
      </c>
      <c r="L127" s="35">
        <v>0.70620000000000005</v>
      </c>
      <c r="M127" s="34" t="s">
        <v>10</v>
      </c>
    </row>
  </sheetData>
  <mergeCells count="4">
    <mergeCell ref="C2:E2"/>
    <mergeCell ref="F2:H2"/>
    <mergeCell ref="I2:J2"/>
    <mergeCell ref="K2:M2"/>
  </mergeCells>
  <conditionalFormatting sqref="H4:H127 E4:E127">
    <cfRule type="containsText" dxfId="9" priority="5" operator="containsText" text="Rare">
      <formula>NOT(ISERROR(SEARCH("Rare",E4)))</formula>
    </cfRule>
    <cfRule type="containsText" dxfId="8" priority="6" operator="containsText" text="Common">
      <formula>NOT(ISERROR(SEARCH("Common",E4)))</formula>
    </cfRule>
  </conditionalFormatting>
  <conditionalFormatting sqref="J4:J127">
    <cfRule type="containsText" dxfId="7" priority="7" operator="containsText" text="Conflicting">
      <formula>NOT(ISERROR(SEARCH("Conflicting",J4)))</formula>
    </cfRule>
    <cfRule type="containsText" dxfId="6" priority="8" operator="containsText" text="Pathogenic">
      <formula>NOT(ISERROR(SEARCH("Pathogenic",J4)))</formula>
    </cfRule>
    <cfRule type="containsText" dxfId="5" priority="9" operator="containsText" text="Uncertain">
      <formula>NOT(ISERROR(SEARCH("Uncertain",J4)))</formula>
    </cfRule>
    <cfRule type="containsText" dxfId="4" priority="10" operator="containsText" text="Benign">
      <formula>NOT(ISERROR(SEARCH("Benign",J4)))</formula>
    </cfRule>
  </conditionalFormatting>
  <conditionalFormatting sqref="K4:K127">
    <cfRule type="cellIs" dxfId="3" priority="4" operator="greaterThan">
      <formula>15</formula>
    </cfRule>
  </conditionalFormatting>
  <conditionalFormatting sqref="M4:M127">
    <cfRule type="containsText" dxfId="0" priority="1" operator="containsText" text="Interface">
      <formula>NOT(ISERROR(SEARCH("Interface",M4)))</formula>
    </cfRule>
    <cfRule type="containsText" dxfId="1" priority="2" operator="containsText" text="Core">
      <formula>NOT(ISERROR(SEARCH("Core",M4)))</formula>
    </cfRule>
    <cfRule type="containsText" dxfId="2" priority="3" operator="containsText" text="Surface">
      <formula>NOT(ISERROR(SEARCH("Surface",M4)))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E1BED-B0B8-BE48-88F4-C5D079D9BCAB}">
  <dimension ref="A3:H17"/>
  <sheetViews>
    <sheetView tabSelected="1" workbookViewId="0">
      <selection activeCell="E13" sqref="E13"/>
    </sheetView>
  </sheetViews>
  <sheetFormatPr baseColWidth="10" defaultRowHeight="16" x14ac:dyDescent="0.2"/>
  <cols>
    <col min="1" max="1" width="18" bestFit="1" customWidth="1"/>
    <col min="2" max="2" width="15.5" bestFit="1" customWidth="1"/>
    <col min="3" max="3" width="18.6640625" bestFit="1" customWidth="1"/>
    <col min="4" max="4" width="37.1640625" bestFit="1" customWidth="1"/>
    <col min="5" max="5" width="10.1640625" bestFit="1" customWidth="1"/>
    <col min="6" max="6" width="19.5" bestFit="1" customWidth="1"/>
    <col min="7" max="7" width="7" bestFit="1" customWidth="1"/>
    <col min="8" max="8" width="10.83203125" bestFit="1" customWidth="1"/>
    <col min="9" max="9" width="13.5" bestFit="1" customWidth="1"/>
    <col min="10" max="10" width="19.5" bestFit="1" customWidth="1"/>
    <col min="11" max="11" width="13.5" bestFit="1" customWidth="1"/>
    <col min="12" max="12" width="18" bestFit="1" customWidth="1"/>
    <col min="13" max="13" width="13.5" bestFit="1" customWidth="1"/>
    <col min="14" max="14" width="22.83203125" bestFit="1" customWidth="1"/>
    <col min="15" max="15" width="18.33203125" bestFit="1" customWidth="1"/>
    <col min="16" max="16" width="12" bestFit="1" customWidth="1"/>
    <col min="17" max="17" width="10.83203125" bestFit="1" customWidth="1"/>
    <col min="18" max="18" width="45.1640625" bestFit="1" customWidth="1"/>
    <col min="19" max="19" width="45" bestFit="1" customWidth="1"/>
    <col min="20" max="20" width="12" bestFit="1" customWidth="1"/>
  </cols>
  <sheetData>
    <row r="3" spans="1:8" x14ac:dyDescent="0.2">
      <c r="A3" s="45" t="s">
        <v>161</v>
      </c>
      <c r="B3" s="45" t="s">
        <v>160</v>
      </c>
    </row>
    <row r="4" spans="1:8" x14ac:dyDescent="0.2">
      <c r="A4" s="45" t="s">
        <v>12</v>
      </c>
      <c r="B4" t="s">
        <v>5</v>
      </c>
      <c r="C4" t="s">
        <v>158</v>
      </c>
      <c r="D4" t="s">
        <v>157</v>
      </c>
      <c r="E4" t="s">
        <v>8</v>
      </c>
      <c r="F4" t="s">
        <v>156</v>
      </c>
      <c r="G4" t="s">
        <v>162</v>
      </c>
      <c r="H4" t="s">
        <v>159</v>
      </c>
    </row>
    <row r="5" spans="1:8" x14ac:dyDescent="0.2">
      <c r="A5" s="46" t="s">
        <v>23</v>
      </c>
      <c r="B5" s="44">
        <v>1</v>
      </c>
      <c r="C5" s="44">
        <v>1</v>
      </c>
      <c r="D5" s="44">
        <v>4</v>
      </c>
      <c r="E5" s="44">
        <v>2</v>
      </c>
      <c r="F5" s="44">
        <v>3</v>
      </c>
      <c r="G5" s="44">
        <v>1</v>
      </c>
      <c r="H5" s="44">
        <v>12</v>
      </c>
    </row>
    <row r="6" spans="1:8" x14ac:dyDescent="0.2">
      <c r="A6" s="47" t="s">
        <v>11</v>
      </c>
      <c r="B6" s="44"/>
      <c r="C6" s="44"/>
      <c r="D6" s="44">
        <v>3</v>
      </c>
      <c r="E6" s="44">
        <v>1</v>
      </c>
      <c r="F6" s="44"/>
      <c r="G6" s="44"/>
      <c r="H6" s="44">
        <v>4</v>
      </c>
    </row>
    <row r="7" spans="1:8" x14ac:dyDescent="0.2">
      <c r="A7" s="47" t="s">
        <v>9</v>
      </c>
      <c r="B7" s="44"/>
      <c r="C7" s="44"/>
      <c r="D7" s="44"/>
      <c r="E7" s="44"/>
      <c r="F7" s="44">
        <v>1</v>
      </c>
      <c r="G7" s="44"/>
      <c r="H7" s="44">
        <v>1</v>
      </c>
    </row>
    <row r="8" spans="1:8" x14ac:dyDescent="0.2">
      <c r="A8" s="47" t="s">
        <v>10</v>
      </c>
      <c r="B8" s="44">
        <v>1</v>
      </c>
      <c r="C8" s="44">
        <v>1</v>
      </c>
      <c r="D8" s="44">
        <v>1</v>
      </c>
      <c r="E8" s="44">
        <v>1</v>
      </c>
      <c r="F8" s="44">
        <v>2</v>
      </c>
      <c r="G8" s="44">
        <v>1</v>
      </c>
      <c r="H8" s="44">
        <v>7</v>
      </c>
    </row>
    <row r="9" spans="1:8" x14ac:dyDescent="0.2">
      <c r="A9" s="46" t="s">
        <v>33</v>
      </c>
      <c r="B9" s="44"/>
      <c r="C9" s="44"/>
      <c r="D9" s="44"/>
      <c r="E9" s="44">
        <v>1</v>
      </c>
      <c r="F9" s="44">
        <v>2</v>
      </c>
      <c r="G9" s="44">
        <v>14</v>
      </c>
      <c r="H9" s="44">
        <v>17</v>
      </c>
    </row>
    <row r="10" spans="1:8" x14ac:dyDescent="0.2">
      <c r="A10" s="47" t="s">
        <v>11</v>
      </c>
      <c r="B10" s="44"/>
      <c r="C10" s="44"/>
      <c r="D10" s="44"/>
      <c r="E10" s="44"/>
      <c r="F10" s="44"/>
      <c r="G10" s="44">
        <v>2</v>
      </c>
      <c r="H10" s="44">
        <v>2</v>
      </c>
    </row>
    <row r="11" spans="1:8" x14ac:dyDescent="0.2">
      <c r="A11" s="47" t="s">
        <v>9</v>
      </c>
      <c r="B11" s="44"/>
      <c r="C11" s="44"/>
      <c r="D11" s="44"/>
      <c r="E11" s="44"/>
      <c r="F11" s="44">
        <v>1</v>
      </c>
      <c r="G11" s="44">
        <v>3</v>
      </c>
      <c r="H11" s="44">
        <v>4</v>
      </c>
    </row>
    <row r="12" spans="1:8" x14ac:dyDescent="0.2">
      <c r="A12" s="47" t="s">
        <v>10</v>
      </c>
      <c r="B12" s="44"/>
      <c r="C12" s="44"/>
      <c r="D12" s="44"/>
      <c r="E12" s="44">
        <v>1</v>
      </c>
      <c r="F12" s="44">
        <v>1</v>
      </c>
      <c r="G12" s="44">
        <v>9</v>
      </c>
      <c r="H12" s="44">
        <v>11</v>
      </c>
    </row>
    <row r="13" spans="1:8" x14ac:dyDescent="0.2">
      <c r="A13" s="46" t="s">
        <v>21</v>
      </c>
      <c r="B13" s="44"/>
      <c r="C13" s="44"/>
      <c r="D13" s="44"/>
      <c r="E13" s="44"/>
      <c r="F13" s="44">
        <v>12</v>
      </c>
      <c r="G13" s="44">
        <v>83</v>
      </c>
      <c r="H13" s="44">
        <v>95</v>
      </c>
    </row>
    <row r="14" spans="1:8" x14ac:dyDescent="0.2">
      <c r="A14" s="47" t="s">
        <v>11</v>
      </c>
      <c r="B14" s="44"/>
      <c r="C14" s="44"/>
      <c r="D14" s="44"/>
      <c r="E14" s="44"/>
      <c r="F14" s="44">
        <v>1</v>
      </c>
      <c r="G14" s="44">
        <v>10</v>
      </c>
      <c r="H14" s="44">
        <v>11</v>
      </c>
    </row>
    <row r="15" spans="1:8" x14ac:dyDescent="0.2">
      <c r="A15" s="47" t="s">
        <v>9</v>
      </c>
      <c r="B15" s="44"/>
      <c r="C15" s="44"/>
      <c r="D15" s="44"/>
      <c r="E15" s="44"/>
      <c r="F15" s="44">
        <v>2</v>
      </c>
      <c r="G15" s="44">
        <v>7</v>
      </c>
      <c r="H15" s="44">
        <v>9</v>
      </c>
    </row>
    <row r="16" spans="1:8" x14ac:dyDescent="0.2">
      <c r="A16" s="47" t="s">
        <v>10</v>
      </c>
      <c r="B16" s="44"/>
      <c r="C16" s="44"/>
      <c r="D16" s="44"/>
      <c r="E16" s="44"/>
      <c r="F16" s="44">
        <v>9</v>
      </c>
      <c r="G16" s="44">
        <v>66</v>
      </c>
      <c r="H16" s="44">
        <v>75</v>
      </c>
    </row>
    <row r="17" spans="1:8" x14ac:dyDescent="0.2">
      <c r="A17" s="46" t="s">
        <v>159</v>
      </c>
      <c r="B17" s="44">
        <v>1</v>
      </c>
      <c r="C17" s="44">
        <v>1</v>
      </c>
      <c r="D17" s="44">
        <v>4</v>
      </c>
      <c r="E17" s="44">
        <v>3</v>
      </c>
      <c r="F17" s="44">
        <v>17</v>
      </c>
      <c r="G17" s="44">
        <v>98</v>
      </c>
      <c r="H17" s="44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Table</vt:lpstr>
      <vt:lpstr>Collated Table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2021-03-10T19:51:16Z</dcterms:created>
  <dcterms:modified xsi:type="dcterms:W3CDTF">2021-03-10T20:22:19Z</dcterms:modified>
</cp:coreProperties>
</file>