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isc\Documents\GitHub\CW-Tracker\Transmitter\KiCAD\220MHz Oscillator\Oscillator Designs\"/>
    </mc:Choice>
  </mc:AlternateContent>
  <xr:revisionPtr revIDLastSave="0" documentId="13_ncr:1_{55A7109A-ABE0-46DE-AA10-97036D34DEE2}" xr6:coauthVersionLast="47" xr6:coauthVersionMax="47" xr10:uidLastSave="{00000000-0000-0000-0000-000000000000}"/>
  <bookViews>
    <workbookView xWindow="-110" yWindow="-110" windowWidth="19420" windowHeight="10420" activeTab="2" xr2:uid="{307E7E96-C5F5-4DB1-9882-6188447C26FD}"/>
  </bookViews>
  <sheets>
    <sheet name="Sheet1" sheetId="1" r:id="rId1"/>
    <sheet name="Colpitts Calculator" sheetId="2" r:id="rId2"/>
    <sheet name="Common Emitter Calculator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A13" i="3"/>
  <c r="B13" i="3" s="1"/>
  <c r="E13" i="3" s="1"/>
  <c r="F9" i="3"/>
  <c r="G9" i="3" s="1"/>
  <c r="D9" i="3"/>
  <c r="C28" i="2"/>
  <c r="A17" i="2"/>
  <c r="B23" i="2" s="1"/>
  <c r="C5" i="2"/>
  <c r="C8" i="2"/>
  <c r="D2" i="2"/>
  <c r="C2" i="2"/>
  <c r="G4" i="1"/>
  <c r="H4" i="1" s="1"/>
  <c r="D5" i="2"/>
  <c r="D3" i="1"/>
  <c r="D4" i="1"/>
  <c r="D6" i="1"/>
  <c r="D7" i="1"/>
  <c r="D8" i="1"/>
  <c r="D9" i="1"/>
  <c r="D10" i="1"/>
  <c r="D11" i="1"/>
  <c r="D12" i="1"/>
  <c r="D13" i="1"/>
  <c r="D14" i="1"/>
  <c r="D15" i="1"/>
  <c r="H15" i="1" s="1"/>
  <c r="A15" i="1" s="1"/>
  <c r="D16" i="1"/>
  <c r="D17" i="1"/>
  <c r="D18" i="1"/>
  <c r="D2" i="1"/>
  <c r="G3" i="1"/>
  <c r="G5" i="1"/>
  <c r="H5" i="1" s="1"/>
  <c r="G6" i="1"/>
  <c r="G7" i="1"/>
  <c r="G8" i="1"/>
  <c r="G9" i="1"/>
  <c r="H9" i="1" s="1"/>
  <c r="G10" i="1"/>
  <c r="G11" i="1"/>
  <c r="G12" i="1"/>
  <c r="G13" i="1"/>
  <c r="H13" i="1" s="1"/>
  <c r="A13" i="1" s="1"/>
  <c r="G14" i="1"/>
  <c r="G15" i="1"/>
  <c r="G16" i="1"/>
  <c r="G17" i="1"/>
  <c r="H17" i="1" s="1"/>
  <c r="G18" i="1"/>
  <c r="H16" i="1"/>
  <c r="H12" i="1"/>
  <c r="A12" i="1" s="1"/>
  <c r="H11" i="1"/>
  <c r="A11" i="1" s="1"/>
  <c r="H8" i="1"/>
  <c r="H7" i="1"/>
  <c r="H3" i="1"/>
  <c r="G2" i="1"/>
  <c r="A16" i="1"/>
  <c r="I13" i="3" l="1"/>
  <c r="I9" i="3"/>
  <c r="J9" i="3" s="1"/>
  <c r="H9" i="3"/>
  <c r="C13" i="3" s="1"/>
  <c r="B19" i="2"/>
  <c r="B21" i="2" s="1"/>
  <c r="D8" i="2"/>
  <c r="E5" i="2"/>
  <c r="H18" i="1"/>
  <c r="H14" i="1"/>
  <c r="A14" i="1" s="1"/>
  <c r="H10" i="1"/>
  <c r="H6" i="1"/>
  <c r="A6" i="1" s="1"/>
  <c r="H2" i="1"/>
  <c r="A4" i="1"/>
  <c r="A3" i="1"/>
  <c r="A9" i="1"/>
  <c r="A7" i="1"/>
  <c r="A5" i="1"/>
  <c r="A8" i="1"/>
  <c r="A10" i="1"/>
  <c r="A2" i="1"/>
  <c r="H13" i="3" l="1"/>
  <c r="D13" i="3" s="1"/>
  <c r="E8" i="2"/>
  <c r="B12" i="2" s="1"/>
  <c r="C12" i="2" s="1"/>
  <c r="B14" i="2" s="1"/>
  <c r="A28" i="2"/>
  <c r="C23" i="2"/>
  <c r="B25" i="2" s="1"/>
  <c r="G13" i="3" l="1"/>
  <c r="B10" i="2"/>
  <c r="D12" i="2" s="1"/>
  <c r="D23" i="2"/>
</calcChain>
</file>

<file path=xl/sharedStrings.xml><?xml version="1.0" encoding="utf-8"?>
<sst xmlns="http://schemas.openxmlformats.org/spreadsheetml/2006/main" count="97" uniqueCount="90">
  <si>
    <t>frequency</t>
  </si>
  <si>
    <t>C_t</t>
  </si>
  <si>
    <t>C_2</t>
  </si>
  <si>
    <t>C_1</t>
  </si>
  <si>
    <t>L</t>
  </si>
  <si>
    <t>C_d1</t>
  </si>
  <si>
    <t>C_d2</t>
  </si>
  <si>
    <t>C_dt</t>
  </si>
  <si>
    <t>C_#t</t>
  </si>
  <si>
    <t>Supply Voltage</t>
  </si>
  <si>
    <t>Voltage Steps</t>
  </si>
  <si>
    <t>Inductor Fixed</t>
  </si>
  <si>
    <t>Q Factor</t>
  </si>
  <si>
    <t>1x Capacitor Capacitance (F)</t>
  </si>
  <si>
    <t>2x Series Capacitor Capacitance (F)</t>
  </si>
  <si>
    <t>Lower Frequency (Hz)</t>
  </si>
  <si>
    <t>Center Frequency (Hz)</t>
  </si>
  <si>
    <t>Upper Frequency (Hz)</t>
  </si>
  <si>
    <t>Bandwidth (Hz)</t>
  </si>
  <si>
    <t>DAC Resolution (bits)</t>
  </si>
  <si>
    <t>1x Varicap Min Capacitance (F)</t>
  </si>
  <si>
    <t>1x Varicap Max Capacitance</t>
  </si>
  <si>
    <t>2x Series Varicap Max (F)</t>
  </si>
  <si>
    <t>2x Series Varicap Min Cap (F)</t>
  </si>
  <si>
    <t>2x Series Varicap DAC ΔC Steps (F)</t>
  </si>
  <si>
    <t>ΔF Tuning Steps (Hz)</t>
  </si>
  <si>
    <t>LC Total Req'd Capacitance (F)</t>
  </si>
  <si>
    <t>Varicap: SMV1413</t>
  </si>
  <si>
    <t>DAC Resolution (points)</t>
  </si>
  <si>
    <t>Inductor Nominal (H)</t>
  </si>
  <si>
    <t>Inductor Tolerance (+/- nH)</t>
  </si>
  <si>
    <t>Capacitor Nominal (F)</t>
  </si>
  <si>
    <t>Capacitor Tolerance (+/- %)</t>
  </si>
  <si>
    <t>Top Capacitor (F)</t>
  </si>
  <si>
    <t>Bottom Capacitor (F)</t>
  </si>
  <si>
    <t>Target Capacitance (F)</t>
  </si>
  <si>
    <t>Transistor Parameters</t>
  </si>
  <si>
    <t>Name</t>
  </si>
  <si>
    <t>BFR193</t>
  </si>
  <si>
    <t>DC Current Gain</t>
  </si>
  <si>
    <t>h_FE</t>
  </si>
  <si>
    <t>V_BR(CEO)</t>
  </si>
  <si>
    <t>I_CES</t>
  </si>
  <si>
    <t>I_CBO</t>
  </si>
  <si>
    <t>I_EBO</t>
  </si>
  <si>
    <t>Collector-Emitter Breakdown Voltage (V)</t>
  </si>
  <si>
    <t>Collector-Emitter Cutoff Current (A)</t>
  </si>
  <si>
    <t>Collector-Base Cutoff Current (A)</t>
  </si>
  <si>
    <t>Emitter-Base Cutoff Current (A)</t>
  </si>
  <si>
    <t>DC Operating Point Current (A)</t>
  </si>
  <si>
    <t>Supply Voltage (V)</t>
  </si>
  <si>
    <t>V_RE</t>
  </si>
  <si>
    <t>Emitter Resistor Voltage Drop (V)</t>
  </si>
  <si>
    <t>Emitter Resistor Resistance (Ω)</t>
  </si>
  <si>
    <t>RE</t>
  </si>
  <si>
    <t>V_E_cap</t>
  </si>
  <si>
    <t>Output Capacitor Voltage Drop (V)</t>
  </si>
  <si>
    <t>Vc_out</t>
  </si>
  <si>
    <t>Minimum Collector-Emitter Voltage (V)</t>
  </si>
  <si>
    <t>Vce_min</t>
  </si>
  <si>
    <t>Emitter Bypass-Capacitor Voltage (V)</t>
  </si>
  <si>
    <t>Static Collector-Emitter Voltage (V)</t>
  </si>
  <si>
    <t>V_CE</t>
  </si>
  <si>
    <t>V_RC</t>
  </si>
  <si>
    <t>Collector-Resistor Voltage (V)</t>
  </si>
  <si>
    <t>Collector Resistor Resistance (Ω)</t>
  </si>
  <si>
    <t>RC</t>
  </si>
  <si>
    <t>I_C</t>
  </si>
  <si>
    <t>Amplifier Parameters @ DC</t>
  </si>
  <si>
    <t>I_R2</t>
  </si>
  <si>
    <t>I_E</t>
  </si>
  <si>
    <t>I_B</t>
  </si>
  <si>
    <t>V_B</t>
  </si>
  <si>
    <t>V_E</t>
  </si>
  <si>
    <t>V_C</t>
  </si>
  <si>
    <t>V_BE</t>
  </si>
  <si>
    <t>Base Biasing Resistor 2 (Ω)</t>
  </si>
  <si>
    <t>R2</t>
  </si>
  <si>
    <t>I_R1</t>
  </si>
  <si>
    <t>R1</t>
  </si>
  <si>
    <t>Base Biasing Resistor 1 (Ω)</t>
  </si>
  <si>
    <t>Base-Emitter Current (A)</t>
  </si>
  <si>
    <t>Emitter Current (A)</t>
  </si>
  <si>
    <t>Collector Current (A)</t>
  </si>
  <si>
    <t>Base Resistor 2 Current (A)</t>
  </si>
  <si>
    <t>Base Resistor 1 Current (A)</t>
  </si>
  <si>
    <t>Collector Voltage (V)</t>
  </si>
  <si>
    <t>Base Voltage (V)</t>
  </si>
  <si>
    <t>Emitter Voltage (V)</t>
  </si>
  <si>
    <t>Amplifier Parameters @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</si>
</sst>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0.00E+0"/>
    <numFmt numFmtId="166" formatCode="##0E+0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24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48" fontId="0" fillId="0" borderId="0" xfId="0" applyNumberFormat="1"/>
    <xf numFmtId="0" fontId="0" fillId="0" borderId="1" xfId="0" applyBorder="1"/>
    <xf numFmtId="48" fontId="0" fillId="0" borderId="1" xfId="0" applyNumberFormat="1" applyBorder="1"/>
    <xf numFmtId="164" fontId="0" fillId="0" borderId="0" xfId="0" applyNumberFormat="1"/>
    <xf numFmtId="48" fontId="0" fillId="2" borderId="0" xfId="0" applyNumberFormat="1" applyFill="1"/>
    <xf numFmtId="2" fontId="0" fillId="0" borderId="0" xfId="0" applyNumberFormat="1"/>
    <xf numFmtId="48" fontId="0" fillId="0" borderId="0" xfId="0" applyNumberFormat="1" applyAlignment="1">
      <alignment wrapText="1"/>
    </xf>
    <xf numFmtId="0" fontId="0" fillId="0" borderId="0" xfId="0" applyAlignment="1">
      <alignment wrapText="1"/>
    </xf>
    <xf numFmtId="48" fontId="0" fillId="3" borderId="0" xfId="0" applyNumberFormat="1" applyFill="1"/>
    <xf numFmtId="0" fontId="0" fillId="3" borderId="0" xfId="0" applyFill="1"/>
    <xf numFmtId="0" fontId="0" fillId="2" borderId="0" xfId="0" applyFill="1"/>
    <xf numFmtId="9" fontId="0" fillId="0" borderId="0" xfId="2" applyFont="1"/>
    <xf numFmtId="0" fontId="0" fillId="0" borderId="0" xfId="2" applyNumberFormat="1" applyFont="1"/>
    <xf numFmtId="0" fontId="1" fillId="0" borderId="0" xfId="1"/>
    <xf numFmtId="0" fontId="4" fillId="0" borderId="0" xfId="0" applyFont="1" applyAlignment="1">
      <alignment wrapText="1"/>
    </xf>
    <xf numFmtId="164" fontId="0" fillId="2" borderId="0" xfId="0" applyNumberFormat="1" applyFill="1"/>
    <xf numFmtId="165" fontId="0" fillId="0" borderId="0" xfId="0" applyNumberFormat="1"/>
    <xf numFmtId="0" fontId="5" fillId="0" borderId="0" xfId="0" applyFont="1"/>
    <xf numFmtId="166" fontId="0" fillId="0" borderId="0" xfId="0" applyNumberFormat="1"/>
    <xf numFmtId="0" fontId="2" fillId="0" borderId="0" xfId="1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510808</xdr:colOff>
      <xdr:row>0</xdr:row>
      <xdr:rowOff>107950</xdr:rowOff>
    </xdr:from>
    <xdr:to>
      <xdr:col>12</xdr:col>
      <xdr:colOff>153254</xdr:colOff>
      <xdr:row>12</xdr:row>
      <xdr:rowOff>16665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12AB9C-4F51-A7C3-66B7-62615C3BB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1108" y="107950"/>
          <a:ext cx="2868246" cy="2658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273050</xdr:colOff>
      <xdr:row>0</xdr:row>
      <xdr:rowOff>190500</xdr:rowOff>
    </xdr:from>
    <xdr:to>
      <xdr:col>11</xdr:col>
      <xdr:colOff>18143</xdr:colOff>
      <xdr:row>3</xdr:row>
      <xdr:rowOff>120756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B946A8-6EA1-9274-30A8-BECE7CC8C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2246993" cy="1320906"/>
        </a:xfrm>
        <a:prstGeom prst="rect">
          <a:avLst/>
        </a:prstGeom>
      </xdr:spPr>
    </xdr:pic>
    <xdr:clientData/>
  </xdr:twoCellAnchor>
  <xdr:twoCellAnchor>
    <xdr:from>
      <xdr:col>15</xdr:col>
      <xdr:colOff>463549</xdr:colOff>
      <xdr:row>1</xdr:row>
      <xdr:rowOff>476250</xdr:rowOff>
    </xdr:from>
    <xdr:to>
      <xdr:col>20</xdr:col>
      <xdr:colOff>584200</xdr:colOff>
      <xdr:row>8</xdr:row>
      <xdr:rowOff>178733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28330AD-60B5-2028-CD41-4C90F81C672B}"/>
            </a:ext>
          </a:extLst>
        </xdr:cNvPr>
        <xdr:cNvGrpSpPr/>
      </xdr:nvGrpSpPr>
      <xdr:grpSpPr>
        <a:xfrm>
          <a:off x="10039349" y="762000"/>
          <a:ext cx="3168651" cy="2579033"/>
          <a:chOff x="6324599" y="1968500"/>
          <a:chExt cx="3168651" cy="258538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D841DA8-1A2D-3D4C-A0DE-C5E1E70B4F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324599" y="2448522"/>
            <a:ext cx="3116055" cy="2105361"/>
          </a:xfrm>
          <a:prstGeom prst="rect">
            <a:avLst/>
          </a:prstGeom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" name="Rectangle: Rounded Corners 4">
                <a:extLst>
                  <a:ext uri="{FF2B5EF4-FFF2-40B4-BE49-F238E27FC236}">
                    <a16:creationId xmlns:a16="http://schemas.microsoft.com/office/drawing/2014/main" id="{EB3F822F-B6BE-45BA-11F4-582CA8609633}"/>
                  </a:ext>
                </a:extLst>
              </xdr:cNvPr>
              <xdr:cNvSpPr/>
            </xdr:nvSpPr>
            <xdr:spPr>
              <a:xfrm>
                <a:off x="6343650" y="1968500"/>
                <a:ext cx="3149600" cy="47625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𝐿𝑜𝑎𝑑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𝑀𝑎𝑥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𝑠𝑢𝑝𝑝𝑙𝑦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𝑉</m:t>
                              </m:r>
                            </m:e>
                            <m:sub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𝑜𝑢𝑡</m:t>
                                  </m:r>
                                </m:sub>
                              </m:sSub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𝑙𝑜𝑎𝑑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𝐶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𝑙𝑜𝑎𝑑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en-US" sz="1100"/>
              </a:p>
            </xdr:txBody>
          </xdr:sp>
        </mc:Choice>
        <mc:Fallback xmlns="">
          <xdr:sp macro="" textlink="">
            <xdr:nvSpPr>
              <xdr:cNvPr id="5" name="Rectangle: Rounded Corners 4">
                <a:extLst>
                  <a:ext uri="{FF2B5EF4-FFF2-40B4-BE49-F238E27FC236}">
                    <a16:creationId xmlns:a16="http://schemas.microsoft.com/office/drawing/2014/main" id="{EB3F822F-B6BE-45BA-11F4-582CA8609633}"/>
                  </a:ext>
                </a:extLst>
              </xdr:cNvPr>
              <xdr:cNvSpPr/>
            </xdr:nvSpPr>
            <xdr:spPr>
              <a:xfrm>
                <a:off x="6343650" y="1968500"/>
                <a:ext cx="3149600" cy="47625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 b="0" i="0">
                    <a:latin typeface="Cambria Math" panose="02040503050406030204" pitchFamily="18" charset="0"/>
                  </a:rPr>
                  <a:t>𝑉_(𝑅_𝐿𝑜𝑎𝑑_𝑀𝑎𝑥)=(𝑉_𝑠𝑢𝑝𝑝𝑙𝑦−𝑉_(𝐶_𝑜𝑢𝑡 )  )−𝑅_𝑙𝑜𝑎𝑑/(𝑅_𝐶+𝑅_𝑙𝑜𝑎𝑑 )</a:t>
                </a:r>
                <a:endParaRPr lang="en-US" sz="1100"/>
              </a:p>
            </xdr:txBody>
          </xdr:sp>
        </mc:Fallback>
      </mc:AlternateContent>
    </xdr:grpSp>
    <xdr:clientData/>
  </xdr:twoCellAnchor>
  <xdr:twoCellAnchor>
    <xdr:from>
      <xdr:col>13</xdr:col>
      <xdr:colOff>126394</xdr:colOff>
      <xdr:row>3</xdr:row>
      <xdr:rowOff>0</xdr:rowOff>
    </xdr:from>
    <xdr:to>
      <xdr:col>15</xdr:col>
      <xdr:colOff>482600</xdr:colOff>
      <xdr:row>6</xdr:row>
      <xdr:rowOff>759087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84BDD2-C08A-6F09-E0A2-AB3A5AE4F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51244" y="1390650"/>
          <a:ext cx="1575406" cy="1425837"/>
        </a:xfrm>
        <a:prstGeom prst="rect">
          <a:avLst/>
        </a:prstGeom>
      </xdr:spPr>
    </xdr:pic>
    <xdr:clientData/>
  </xdr:twoCellAnchor>
  <xdr:twoCellAnchor>
    <xdr:from>
      <xdr:col>15</xdr:col>
      <xdr:colOff>527050</xdr:colOff>
      <xdr:row>6</xdr:row>
      <xdr:rowOff>520700</xdr:rowOff>
    </xdr:from>
    <xdr:to>
      <xdr:col>19</xdr:col>
      <xdr:colOff>419100</xdr:colOff>
      <xdr:row>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4CADAD12-40F9-406B-8BCD-E8AF8B6B6756}"/>
                </a:ext>
              </a:extLst>
            </xdr:cNvPr>
            <xdr:cNvSpPr/>
          </xdr:nvSpPr>
          <xdr:spPr>
            <a:xfrm>
              <a:off x="10071100" y="2578100"/>
              <a:ext cx="2330450" cy="47625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𝑀𝑖𝑛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𝑀𝑖𝑛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𝑐𝑎𝑝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4CADAD12-40F9-406B-8BCD-E8AF8B6B6756}"/>
                </a:ext>
              </a:extLst>
            </xdr:cNvPr>
            <xdr:cNvSpPr/>
          </xdr:nvSpPr>
          <xdr:spPr>
            <a:xfrm>
              <a:off x="10071100" y="2578100"/>
              <a:ext cx="2330450" cy="47625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𝑉_(𝑅_𝐿𝑜𝑎𝑑_𝑀𝑖𝑛)=𝑉_(𝐶_2 )−𝑉_(𝐶𝐸_𝑀𝑖𝑛 )−𝑉_(𝐸_𝑐𝑎𝑝 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565150</xdr:colOff>
      <xdr:row>24</xdr:row>
      <xdr:rowOff>76200</xdr:rowOff>
    </xdr:from>
    <xdr:to>
      <xdr:col>10</xdr:col>
      <xdr:colOff>101600</xdr:colOff>
      <xdr:row>26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angle: Rounded Corners 6">
              <a:extLst>
                <a:ext uri="{FF2B5EF4-FFF2-40B4-BE49-F238E27FC236}">
                  <a16:creationId xmlns:a16="http://schemas.microsoft.com/office/drawing/2014/main" id="{02AFBC65-43B7-4008-8510-62A09711A4A9}"/>
                </a:ext>
              </a:extLst>
            </xdr:cNvPr>
            <xdr:cNvSpPr/>
          </xdr:nvSpPr>
          <xdr:spPr>
            <a:xfrm>
              <a:off x="4559300" y="5784850"/>
              <a:ext cx="1974850" cy="29210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𝐿𝑜𝑎𝑑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𝑀𝑎𝑥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𝐿𝑜𝑎𝑑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en-US" sz="1100" b="0" i="1">
                            <a:solidFill>
                              <a:schemeClr val="lt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𝑀𝑖𝑛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Rectangle: Rounded Corners 6">
              <a:extLst>
                <a:ext uri="{FF2B5EF4-FFF2-40B4-BE49-F238E27FC236}">
                  <a16:creationId xmlns:a16="http://schemas.microsoft.com/office/drawing/2014/main" id="{02AFBC65-43B7-4008-8510-62A09711A4A9}"/>
                </a:ext>
              </a:extLst>
            </xdr:cNvPr>
            <xdr:cNvSpPr/>
          </xdr:nvSpPr>
          <xdr:spPr>
            <a:xfrm>
              <a:off x="4559300" y="5784850"/>
              <a:ext cx="1974850" cy="29210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𝑉_(𝑅_𝐿𝑜𝑎𝑑_𝑀𝑎𝑥)=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𝑉_(𝑅_𝐿𝑜𝑎𝑑_𝑀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𝑖𝑛</a:t>
              </a:r>
              <a:r>
                <a:rPr lang="en-US" sz="1100" b="0" i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577850</xdr:colOff>
      <xdr:row>26</xdr:row>
      <xdr:rowOff>44450</xdr:rowOff>
    </xdr:from>
    <xdr:to>
      <xdr:col>9</xdr:col>
      <xdr:colOff>285750</xdr:colOff>
      <xdr:row>27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0A847A4-6630-40EF-A378-F4E05D756793}"/>
                </a:ext>
              </a:extLst>
            </xdr:cNvPr>
            <xdr:cNvSpPr/>
          </xdr:nvSpPr>
          <xdr:spPr>
            <a:xfrm>
              <a:off x="4572000" y="6121400"/>
              <a:ext cx="1536700" cy="29210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𝑙𝑜𝑎𝑑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 for</a:t>
              </a:r>
              <a:r>
                <a:rPr lang="en-US" sz="1100" baseline="0"/>
                <a:t> max power transfer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0A847A4-6630-40EF-A378-F4E05D756793}"/>
                </a:ext>
              </a:extLst>
            </xdr:cNvPr>
            <xdr:cNvSpPr/>
          </xdr:nvSpPr>
          <xdr:spPr>
            <a:xfrm>
              <a:off x="4572000" y="6121400"/>
              <a:ext cx="1536700" cy="29210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𝑅_𝑙𝑜𝑎𝑑=𝑅_𝑐</a:t>
              </a:r>
              <a:r>
                <a:rPr lang="en-US" sz="1100"/>
                <a:t> for</a:t>
              </a:r>
              <a:r>
                <a:rPr lang="en-US" sz="1100" baseline="0"/>
                <a:t> max power transfer</a:t>
              </a:r>
              <a:endParaRPr lang="en-US" sz="1100"/>
            </a:p>
          </xdr:txBody>
        </xdr:sp>
      </mc:Fallback>
    </mc:AlternateContent>
    <xdr:clientData/>
  </xdr:twoCellAnchor>
  <xdr:twoCellAnchor editAs="oneCell">
    <xdr:from>
      <xdr:col>11</xdr:col>
      <xdr:colOff>58538</xdr:colOff>
      <xdr:row>6</xdr:row>
      <xdr:rowOff>317500</xdr:rowOff>
    </xdr:from>
    <xdr:to>
      <xdr:col>13</xdr:col>
      <xdr:colOff>352829</xdr:colOff>
      <xdr:row>11</xdr:row>
      <xdr:rowOff>172003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9C6637-392D-6773-3E62-70F6E6037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5938" y="2374900"/>
          <a:ext cx="1513491" cy="2064303"/>
        </a:xfrm>
        <a:prstGeom prst="rect">
          <a:avLst/>
        </a:prstGeom>
      </xdr:spPr>
    </xdr:pic>
    <xdr:clientData/>
  </xdr:twoCellAnchor>
  <xdr:twoCellAnchor editAs="oneCell">
    <xdr:from>
      <xdr:col>20</xdr:col>
      <xdr:colOff>590550</xdr:colOff>
      <xdr:row>5</xdr:row>
      <xdr:rowOff>50800</xdr:rowOff>
    </xdr:from>
    <xdr:to>
      <xdr:col>25</xdr:col>
      <xdr:colOff>23548</xdr:colOff>
      <xdr:row>10</xdr:row>
      <xdr:rowOff>568881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6AF86D7-BCF4-4E88-6359-23BC00A0B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14350" y="1809750"/>
          <a:ext cx="2480998" cy="2289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igikey.com/en/products/detail/skyworks-solutions-inc/SMV1413-004LF/1040960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futurlec.com/Datasheet/Transistor/BFR19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F99C-6659-48B6-B751-837E87A13B42}">
  <dimension ref="A1:M22"/>
  <sheetViews>
    <sheetView workbookViewId="0">
      <selection activeCell="H5" sqref="H5"/>
    </sheetView>
  </sheetViews>
  <sheetFormatPr defaultRowHeight="14.5" x14ac:dyDescent="0.35"/>
  <cols>
    <col min="1" max="1" width="8.81640625" bestFit="1" customWidth="1"/>
    <col min="2" max="2" width="9" style="2" bestFit="1" customWidth="1"/>
    <col min="4" max="4" width="9" bestFit="1" customWidth="1"/>
    <col min="5" max="5" width="8.7265625" style="2"/>
    <col min="7" max="7" width="9" bestFit="1" customWidth="1"/>
    <col min="8" max="8" width="9" style="2" bestFit="1" customWidth="1"/>
  </cols>
  <sheetData>
    <row r="1" spans="1:13" x14ac:dyDescent="0.35">
      <c r="A1" t="s">
        <v>0</v>
      </c>
      <c r="B1" s="2" t="s">
        <v>3</v>
      </c>
      <c r="C1" t="s">
        <v>2</v>
      </c>
      <c r="D1" t="s">
        <v>8</v>
      </c>
      <c r="E1" s="2" t="s">
        <v>5</v>
      </c>
      <c r="F1" t="s">
        <v>6</v>
      </c>
      <c r="G1" t="s">
        <v>7</v>
      </c>
      <c r="H1" s="2" t="s">
        <v>1</v>
      </c>
      <c r="I1" t="s">
        <v>4</v>
      </c>
    </row>
    <row r="2" spans="1:13" s="1" customFormat="1" x14ac:dyDescent="0.35">
      <c r="A2" s="1">
        <f>POWER(2*PI()*SQRT(I2*H2),-1)</f>
        <v>640120.915756442</v>
      </c>
      <c r="B2" s="3">
        <v>1E-10</v>
      </c>
      <c r="C2" s="1">
        <v>1.0000000000000001E-9</v>
      </c>
      <c r="D2" s="1">
        <f>IF(ISNUMBER((B2*C2)/(B2+C2)),(B2*C2)/(B2+C2),0)</f>
        <v>9.090909090909091E-11</v>
      </c>
      <c r="E2" s="3"/>
      <c r="G2" s="1">
        <f>IF(ISNUMBER((E2*F2)/(E2+F2)),(E2*F2)/(E2+F2),0)</f>
        <v>0</v>
      </c>
      <c r="H2" s="3">
        <f>G2+D2</f>
        <v>9.090909090909091E-11</v>
      </c>
      <c r="I2" s="1">
        <v>6.8000000000000005E-4</v>
      </c>
    </row>
    <row r="3" spans="1:13" x14ac:dyDescent="0.35">
      <c r="A3" s="1">
        <f t="shared" ref="A3:A16" si="0">POWER(2*PI()*SQRT(I3*H3),-1)</f>
        <v>110265779.08435841</v>
      </c>
      <c r="B3" s="3">
        <v>5.0000000000000002E-11</v>
      </c>
      <c r="C3" s="1">
        <v>9.9999999999999994E-12</v>
      </c>
      <c r="D3" s="1">
        <f t="shared" ref="D3:D18" si="1">IF(ISNUMBER((B3*C3)/(B3+C3)),(B3*C3)/(B3+C3),0)</f>
        <v>8.333333333333332E-12</v>
      </c>
      <c r="E3" s="3"/>
      <c r="F3" s="1"/>
      <c r="G3" s="1">
        <f t="shared" ref="G3:G18" si="2">IF(ISNUMBER((E3*F3)/(E3+F3)),(E3*F3)/(E3+F3),0)</f>
        <v>0</v>
      </c>
      <c r="H3" s="3">
        <f t="shared" ref="H3:H18" si="3">G3+D3</f>
        <v>8.333333333333332E-12</v>
      </c>
      <c r="I3" s="1">
        <v>2.4999999999999999E-7</v>
      </c>
      <c r="J3" s="1"/>
      <c r="K3" s="1"/>
      <c r="L3" s="1"/>
      <c r="M3" s="1"/>
    </row>
    <row r="4" spans="1:13" x14ac:dyDescent="0.35">
      <c r="A4" s="1" t="e">
        <f t="shared" si="0"/>
        <v>#DIV/0!</v>
      </c>
      <c r="B4" s="3"/>
      <c r="C4" s="1"/>
      <c r="D4" s="1">
        <f t="shared" si="1"/>
        <v>0</v>
      </c>
      <c r="E4" s="3">
        <v>9.9999999999999998E-13</v>
      </c>
      <c r="F4" s="1">
        <v>9.9999999999999998E-13</v>
      </c>
      <c r="G4" s="1">
        <f>IF(ISNUMBER('Colpitts Calculator'!#REF!),(E4*F4)/(E4+F4),0)</f>
        <v>0</v>
      </c>
      <c r="H4" s="3">
        <f t="shared" si="3"/>
        <v>0</v>
      </c>
      <c r="I4" s="1">
        <v>9.9999999999999995E-8</v>
      </c>
      <c r="J4" s="1"/>
      <c r="K4" s="1"/>
      <c r="L4" s="1"/>
      <c r="M4" s="1"/>
    </row>
    <row r="5" spans="1:13" x14ac:dyDescent="0.35">
      <c r="A5" s="1">
        <f t="shared" si="0"/>
        <v>221777006.47965419</v>
      </c>
      <c r="B5" s="3"/>
      <c r="C5" s="1"/>
      <c r="D5" s="1">
        <v>5.0000000000000002E-11</v>
      </c>
      <c r="E5" s="3">
        <v>3.0000000000000001E-12</v>
      </c>
      <c r="F5" s="1">
        <v>3.0000000000000001E-12</v>
      </c>
      <c r="G5" s="1">
        <f t="shared" si="2"/>
        <v>1.5000000000000001E-12</v>
      </c>
      <c r="H5" s="3">
        <f t="shared" si="3"/>
        <v>5.1500000000000003E-11</v>
      </c>
      <c r="I5" s="1">
        <v>1E-8</v>
      </c>
      <c r="J5" s="1"/>
      <c r="K5" s="1"/>
      <c r="L5" s="1"/>
      <c r="M5" s="1"/>
    </row>
    <row r="6" spans="1:13" x14ac:dyDescent="0.35">
      <c r="A6" s="1" t="e">
        <f t="shared" si="0"/>
        <v>#DIV/0!</v>
      </c>
      <c r="B6" s="3"/>
      <c r="C6" s="1"/>
      <c r="D6" s="1">
        <f t="shared" si="1"/>
        <v>0</v>
      </c>
      <c r="E6" s="3"/>
      <c r="F6" s="1"/>
      <c r="G6" s="1">
        <f t="shared" si="2"/>
        <v>0</v>
      </c>
      <c r="H6" s="3">
        <f t="shared" si="3"/>
        <v>0</v>
      </c>
      <c r="I6" s="1"/>
      <c r="J6" s="1"/>
      <c r="K6" s="1"/>
      <c r="L6" s="1"/>
      <c r="M6" s="1"/>
    </row>
    <row r="7" spans="1:13" x14ac:dyDescent="0.35">
      <c r="A7" s="1" t="e">
        <f t="shared" si="0"/>
        <v>#DIV/0!</v>
      </c>
      <c r="B7" s="3"/>
      <c r="C7" s="1"/>
      <c r="D7" s="1">
        <f t="shared" si="1"/>
        <v>0</v>
      </c>
      <c r="E7" s="3"/>
      <c r="F7" s="1"/>
      <c r="G7" s="1">
        <f t="shared" si="2"/>
        <v>0</v>
      </c>
      <c r="H7" s="3">
        <f t="shared" si="3"/>
        <v>0</v>
      </c>
      <c r="I7" s="1"/>
      <c r="J7" s="1"/>
      <c r="K7" s="1"/>
      <c r="L7" s="1"/>
      <c r="M7" s="1"/>
    </row>
    <row r="8" spans="1:13" x14ac:dyDescent="0.35">
      <c r="A8" s="1" t="e">
        <f t="shared" si="0"/>
        <v>#DIV/0!</v>
      </c>
      <c r="B8" s="3"/>
      <c r="C8" s="1"/>
      <c r="D8" s="1">
        <f t="shared" si="1"/>
        <v>0</v>
      </c>
      <c r="E8" s="3"/>
      <c r="F8" s="1"/>
      <c r="G8" s="1">
        <f t="shared" si="2"/>
        <v>0</v>
      </c>
      <c r="H8" s="3">
        <f t="shared" si="3"/>
        <v>0</v>
      </c>
      <c r="I8" s="1"/>
      <c r="J8" s="1"/>
      <c r="K8" s="1"/>
      <c r="L8" s="1"/>
      <c r="M8" s="1"/>
    </row>
    <row r="9" spans="1:13" x14ac:dyDescent="0.35">
      <c r="A9" s="1" t="e">
        <f t="shared" si="0"/>
        <v>#DIV/0!</v>
      </c>
      <c r="B9" s="3"/>
      <c r="C9" s="1"/>
      <c r="D9" s="1">
        <f t="shared" si="1"/>
        <v>0</v>
      </c>
      <c r="E9" s="3"/>
      <c r="F9" s="1"/>
      <c r="G9" s="1">
        <f t="shared" si="2"/>
        <v>0</v>
      </c>
      <c r="H9" s="3">
        <f t="shared" si="3"/>
        <v>0</v>
      </c>
      <c r="I9" s="1"/>
      <c r="J9" s="1"/>
      <c r="K9" s="1"/>
      <c r="L9" s="1"/>
      <c r="M9" s="1"/>
    </row>
    <row r="10" spans="1:13" x14ac:dyDescent="0.35">
      <c r="A10" s="1" t="e">
        <f t="shared" si="0"/>
        <v>#DIV/0!</v>
      </c>
      <c r="B10" s="3"/>
      <c r="C10" s="1"/>
      <c r="D10" s="1">
        <f t="shared" si="1"/>
        <v>0</v>
      </c>
      <c r="E10" s="3"/>
      <c r="F10" s="1"/>
      <c r="G10" s="1">
        <f t="shared" si="2"/>
        <v>0</v>
      </c>
      <c r="H10" s="3">
        <f t="shared" si="3"/>
        <v>0</v>
      </c>
      <c r="I10" s="1"/>
      <c r="J10" s="1"/>
      <c r="K10" s="1"/>
      <c r="L10" s="1"/>
      <c r="M10" s="1"/>
    </row>
    <row r="11" spans="1:13" x14ac:dyDescent="0.35">
      <c r="A11" s="1" t="e">
        <f t="shared" si="0"/>
        <v>#DIV/0!</v>
      </c>
      <c r="B11" s="3"/>
      <c r="C11" s="1"/>
      <c r="D11" s="1">
        <f t="shared" si="1"/>
        <v>0</v>
      </c>
      <c r="E11" s="3"/>
      <c r="F11" s="1"/>
      <c r="G11" s="1">
        <f t="shared" si="2"/>
        <v>0</v>
      </c>
      <c r="H11" s="3">
        <f t="shared" si="3"/>
        <v>0</v>
      </c>
      <c r="I11" s="1"/>
      <c r="J11" s="1"/>
      <c r="K11" s="1"/>
      <c r="L11" s="1"/>
      <c r="M11" s="1"/>
    </row>
    <row r="12" spans="1:13" x14ac:dyDescent="0.35">
      <c r="A12" s="1" t="e">
        <f t="shared" si="0"/>
        <v>#DIV/0!</v>
      </c>
      <c r="B12" s="3"/>
      <c r="C12" s="1"/>
      <c r="D12" s="1">
        <f t="shared" si="1"/>
        <v>0</v>
      </c>
      <c r="E12" s="3"/>
      <c r="F12" s="1"/>
      <c r="G12" s="1">
        <f t="shared" si="2"/>
        <v>0</v>
      </c>
      <c r="H12" s="3">
        <f t="shared" si="3"/>
        <v>0</v>
      </c>
      <c r="I12" s="1"/>
      <c r="J12" s="1"/>
      <c r="K12" s="1"/>
      <c r="L12" s="1"/>
      <c r="M12" s="1"/>
    </row>
    <row r="13" spans="1:13" x14ac:dyDescent="0.35">
      <c r="A13" s="1" t="e">
        <f t="shared" si="0"/>
        <v>#DIV/0!</v>
      </c>
      <c r="B13" s="3"/>
      <c r="C13" s="1"/>
      <c r="D13" s="1">
        <f t="shared" si="1"/>
        <v>0</v>
      </c>
      <c r="E13" s="3"/>
      <c r="F13" s="1"/>
      <c r="G13" s="1">
        <f t="shared" si="2"/>
        <v>0</v>
      </c>
      <c r="H13" s="3">
        <f t="shared" si="3"/>
        <v>0</v>
      </c>
      <c r="I13" s="1"/>
      <c r="J13" s="1"/>
      <c r="K13" s="1"/>
      <c r="L13" s="1"/>
      <c r="M13" s="1"/>
    </row>
    <row r="14" spans="1:13" x14ac:dyDescent="0.35">
      <c r="A14" s="1" t="e">
        <f t="shared" si="0"/>
        <v>#DIV/0!</v>
      </c>
      <c r="B14" s="3"/>
      <c r="C14" s="1"/>
      <c r="D14" s="1">
        <f t="shared" si="1"/>
        <v>0</v>
      </c>
      <c r="E14" s="3"/>
      <c r="F14" s="1"/>
      <c r="G14" s="1">
        <f t="shared" si="2"/>
        <v>0</v>
      </c>
      <c r="H14" s="3">
        <f t="shared" si="3"/>
        <v>0</v>
      </c>
      <c r="I14" s="1"/>
      <c r="J14" s="1"/>
      <c r="K14" s="1"/>
      <c r="L14" s="1"/>
      <c r="M14" s="1"/>
    </row>
    <row r="15" spans="1:13" x14ac:dyDescent="0.35">
      <c r="A15" s="1" t="e">
        <f t="shared" si="0"/>
        <v>#DIV/0!</v>
      </c>
      <c r="B15" s="3"/>
      <c r="C15" s="1"/>
      <c r="D15" s="1">
        <f t="shared" si="1"/>
        <v>0</v>
      </c>
      <c r="E15" s="3"/>
      <c r="F15" s="1"/>
      <c r="G15" s="1">
        <f t="shared" si="2"/>
        <v>0</v>
      </c>
      <c r="H15" s="3">
        <f t="shared" si="3"/>
        <v>0</v>
      </c>
      <c r="I15" s="1"/>
      <c r="J15" s="1"/>
      <c r="K15" s="1"/>
      <c r="L15" s="1"/>
      <c r="M15" s="1"/>
    </row>
    <row r="16" spans="1:13" x14ac:dyDescent="0.35">
      <c r="A16" s="1" t="e">
        <f t="shared" si="0"/>
        <v>#DIV/0!</v>
      </c>
      <c r="B16" s="3"/>
      <c r="C16" s="1"/>
      <c r="D16" s="1">
        <f t="shared" si="1"/>
        <v>0</v>
      </c>
      <c r="E16" s="3"/>
      <c r="F16" s="1"/>
      <c r="G16" s="1">
        <f t="shared" si="2"/>
        <v>0</v>
      </c>
      <c r="H16" s="3">
        <f t="shared" si="3"/>
        <v>0</v>
      </c>
      <c r="I16" s="1"/>
      <c r="J16" s="1"/>
      <c r="K16" s="1"/>
      <c r="L16" s="1"/>
      <c r="M16" s="1"/>
    </row>
    <row r="17" spans="1:13" x14ac:dyDescent="0.35">
      <c r="A17" s="1"/>
      <c r="B17" s="3"/>
      <c r="C17" s="1"/>
      <c r="D17" s="1">
        <f t="shared" si="1"/>
        <v>0</v>
      </c>
      <c r="E17" s="3"/>
      <c r="F17" s="1"/>
      <c r="G17" s="1">
        <f t="shared" si="2"/>
        <v>0</v>
      </c>
      <c r="H17" s="3">
        <f t="shared" si="3"/>
        <v>0</v>
      </c>
      <c r="I17" s="1"/>
      <c r="J17" s="1"/>
      <c r="K17" s="1"/>
      <c r="L17" s="1"/>
      <c r="M17" s="1"/>
    </row>
    <row r="18" spans="1:13" x14ac:dyDescent="0.35">
      <c r="A18" s="1"/>
      <c r="B18" s="3"/>
      <c r="C18" s="1"/>
      <c r="D18" s="1">
        <f t="shared" si="1"/>
        <v>0</v>
      </c>
      <c r="E18" s="3"/>
      <c r="F18" s="1"/>
      <c r="G18" s="1">
        <f t="shared" si="2"/>
        <v>0</v>
      </c>
      <c r="H18" s="3">
        <f t="shared" si="3"/>
        <v>0</v>
      </c>
      <c r="I18" s="1"/>
      <c r="J18" s="1"/>
      <c r="K18" s="1"/>
      <c r="L18" s="1"/>
      <c r="M18" s="1"/>
    </row>
    <row r="19" spans="1:13" x14ac:dyDescent="0.35">
      <c r="A19" s="1"/>
      <c r="B19" s="3"/>
      <c r="C19" s="1"/>
      <c r="D19" s="1"/>
      <c r="E19" s="3"/>
      <c r="F19" s="1"/>
      <c r="G19" s="1"/>
      <c r="H19" s="3"/>
      <c r="I19" s="1"/>
      <c r="J19" s="1"/>
      <c r="K19" s="1"/>
      <c r="L19" s="1"/>
      <c r="M19" s="1"/>
    </row>
    <row r="20" spans="1:13" x14ac:dyDescent="0.35">
      <c r="A20" s="1"/>
      <c r="B20" s="3"/>
      <c r="C20" s="1"/>
      <c r="D20" s="1"/>
      <c r="E20" s="3"/>
      <c r="F20" s="1"/>
      <c r="G20" s="1"/>
      <c r="H20" s="3"/>
      <c r="I20" s="1"/>
      <c r="J20" s="1"/>
      <c r="K20" s="1"/>
      <c r="L20" s="1"/>
      <c r="M20" s="1"/>
    </row>
    <row r="21" spans="1:13" x14ac:dyDescent="0.35">
      <c r="A21" s="1"/>
      <c r="B21" s="3"/>
      <c r="C21" s="1"/>
      <c r="D21" s="1"/>
      <c r="E21" s="3"/>
      <c r="F21" s="1"/>
      <c r="G21" s="1"/>
      <c r="H21" s="3"/>
      <c r="I21" s="1"/>
      <c r="J21" s="1"/>
      <c r="K21" s="1"/>
      <c r="L21" s="1"/>
      <c r="M21" s="1"/>
    </row>
    <row r="22" spans="1:13" x14ac:dyDescent="0.35">
      <c r="A22" s="1"/>
      <c r="B22" s="3"/>
      <c r="C22" s="1"/>
      <c r="D22" s="1"/>
      <c r="E22" s="3"/>
      <c r="F22" s="1"/>
      <c r="G22" s="1"/>
      <c r="H22" s="3"/>
      <c r="I22" s="1"/>
      <c r="J22" s="1"/>
      <c r="K22" s="1"/>
      <c r="L22" s="1"/>
      <c r="M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9EE6-E2AF-4D16-871C-E616E2D0D82C}">
  <dimension ref="A1:G32"/>
  <sheetViews>
    <sheetView topLeftCell="A7" zoomScaleNormal="100" workbookViewId="0">
      <selection activeCell="B8" sqref="B8"/>
    </sheetView>
  </sheetViews>
  <sheetFormatPr defaultRowHeight="14.5" x14ac:dyDescent="0.35"/>
  <cols>
    <col min="1" max="1" width="12.54296875" bestFit="1" customWidth="1"/>
    <col min="2" max="2" width="18.90625" customWidth="1"/>
    <col min="3" max="3" width="15.453125" customWidth="1"/>
    <col min="4" max="4" width="16.453125" bestFit="1" customWidth="1"/>
    <col min="5" max="5" width="15.7265625" bestFit="1" customWidth="1"/>
    <col min="6" max="6" width="8.7265625" customWidth="1"/>
    <col min="7" max="7" width="9.90625" bestFit="1" customWidth="1"/>
    <col min="11" max="11" width="11.26953125" bestFit="1" customWidth="1"/>
  </cols>
  <sheetData>
    <row r="1" spans="1:7" ht="28.5" customHeight="1" x14ac:dyDescent="0.35">
      <c r="A1" s="8" t="s">
        <v>20</v>
      </c>
      <c r="B1" s="8" t="s">
        <v>21</v>
      </c>
      <c r="C1" s="8" t="s">
        <v>23</v>
      </c>
      <c r="D1" s="8" t="s">
        <v>22</v>
      </c>
      <c r="E1" s="20" t="s">
        <v>27</v>
      </c>
      <c r="F1" s="20"/>
      <c r="G1" s="20"/>
    </row>
    <row r="2" spans="1:7" x14ac:dyDescent="0.35">
      <c r="A2" s="5">
        <v>5.7099999999999997E-12</v>
      </c>
      <c r="B2" s="5">
        <v>9.2400000000000002E-12</v>
      </c>
      <c r="C2" s="1">
        <f>A2/2</f>
        <v>2.8549999999999999E-12</v>
      </c>
      <c r="D2" s="1">
        <f>B2/2</f>
        <v>4.6200000000000001E-12</v>
      </c>
    </row>
    <row r="3" spans="1:7" s="10" customFormat="1" x14ac:dyDescent="0.35">
      <c r="A3" s="9"/>
      <c r="C3" s="9"/>
      <c r="D3" s="9"/>
    </row>
    <row r="4" spans="1:7" s="8" customFormat="1" ht="29" customHeight="1" x14ac:dyDescent="0.35">
      <c r="A4" s="8" t="s">
        <v>9</v>
      </c>
      <c r="B4" s="7" t="s">
        <v>19</v>
      </c>
      <c r="C4" s="8" t="s">
        <v>28</v>
      </c>
      <c r="D4" s="7" t="s">
        <v>10</v>
      </c>
      <c r="E4" s="7" t="s">
        <v>24</v>
      </c>
    </row>
    <row r="5" spans="1:7" x14ac:dyDescent="0.35">
      <c r="A5" s="5">
        <v>1.5</v>
      </c>
      <c r="B5" s="11">
        <v>8</v>
      </c>
      <c r="C5">
        <f>POWER(2,B5)</f>
        <v>256</v>
      </c>
      <c r="D5" s="1">
        <f>A5/POWER(2,B5)</f>
        <v>5.859375E-3</v>
      </c>
      <c r="E5" s="1">
        <f>(D2-C2)/POWER(2,B5)</f>
        <v>6.894531250000001E-15</v>
      </c>
    </row>
    <row r="6" spans="1:7" s="10" customFormat="1" x14ac:dyDescent="0.35">
      <c r="A6" s="9"/>
      <c r="B6" s="9"/>
      <c r="C6" s="9"/>
      <c r="D6" s="9"/>
    </row>
    <row r="7" spans="1:7" s="8" customFormat="1" ht="28.5" customHeight="1" x14ac:dyDescent="0.35">
      <c r="A7" s="7" t="s">
        <v>11</v>
      </c>
      <c r="B7" s="7" t="s">
        <v>17</v>
      </c>
      <c r="C7" s="7" t="s">
        <v>26</v>
      </c>
      <c r="D7" s="7" t="s">
        <v>14</v>
      </c>
      <c r="E7" s="7" t="s">
        <v>13</v>
      </c>
      <c r="F7" s="7"/>
      <c r="G7" s="7"/>
    </row>
    <row r="8" spans="1:7" x14ac:dyDescent="0.35">
      <c r="A8" s="5">
        <v>5.5999999999999997E-9</v>
      </c>
      <c r="B8" s="5">
        <v>224000000</v>
      </c>
      <c r="C8" s="1">
        <f>POWER(4*POWER(PI(),2)*POWER($B8,2)*$A$8,-1)</f>
        <v>9.014802150211415E-11</v>
      </c>
      <c r="D8" s="1">
        <f>C8-$C$2</f>
        <v>8.729302150211415E-11</v>
      </c>
      <c r="E8" s="1">
        <f>D8*2</f>
        <v>1.745860430042283E-10</v>
      </c>
    </row>
    <row r="9" spans="1:7" x14ac:dyDescent="0.35">
      <c r="A9" s="1"/>
      <c r="B9" t="s">
        <v>16</v>
      </c>
      <c r="C9" s="1"/>
      <c r="D9" s="1"/>
    </row>
    <row r="10" spans="1:7" x14ac:dyDescent="0.35">
      <c r="A10" s="1"/>
      <c r="B10" s="1">
        <f>SQRT(B8*B12)</f>
        <v>222916803.78968406</v>
      </c>
      <c r="C10" s="1"/>
      <c r="D10" s="1"/>
    </row>
    <row r="11" spans="1:7" x14ac:dyDescent="0.35">
      <c r="A11" s="1"/>
      <c r="B11" s="1" t="s">
        <v>15</v>
      </c>
      <c r="C11" s="1" t="s">
        <v>18</v>
      </c>
      <c r="D11" s="1" t="s">
        <v>12</v>
      </c>
    </row>
    <row r="12" spans="1:7" x14ac:dyDescent="0.35">
      <c r="A12" s="1"/>
      <c r="B12" s="1">
        <f>POWER(2*PI()*SQRT(A8*((E8/2)+D2)),-1)</f>
        <v>221838845.58843082</v>
      </c>
      <c r="C12" s="1">
        <f>B8-B12</f>
        <v>2161154.4115691781</v>
      </c>
      <c r="D12" s="6">
        <f>B10/C12</f>
        <v>103.14709703127038</v>
      </c>
    </row>
    <row r="13" spans="1:7" x14ac:dyDescent="0.35">
      <c r="B13" s="7" t="s">
        <v>25</v>
      </c>
    </row>
    <row r="14" spans="1:7" x14ac:dyDescent="0.35">
      <c r="B14" s="1">
        <f>C12/POWER(2,$B$5)</f>
        <v>8442.009420192102</v>
      </c>
    </row>
    <row r="15" spans="1:7" s="10" customFormat="1" x14ac:dyDescent="0.35"/>
    <row r="16" spans="1:7" ht="30" customHeight="1" x14ac:dyDescent="0.35">
      <c r="A16" s="8" t="s">
        <v>29</v>
      </c>
      <c r="B16" s="7" t="s">
        <v>30</v>
      </c>
      <c r="C16" s="7" t="s">
        <v>31</v>
      </c>
      <c r="D16" s="7" t="s">
        <v>32</v>
      </c>
    </row>
    <row r="17" spans="1:4" x14ac:dyDescent="0.35">
      <c r="A17" s="1">
        <f>A8</f>
        <v>5.5999999999999997E-9</v>
      </c>
      <c r="B17" s="13">
        <v>0.1</v>
      </c>
      <c r="C17" s="1">
        <v>1.746E-10</v>
      </c>
      <c r="D17" s="12">
        <v>0.01</v>
      </c>
    </row>
    <row r="18" spans="1:4" x14ac:dyDescent="0.35">
      <c r="B18" s="1" t="s">
        <v>17</v>
      </c>
      <c r="C18" s="4"/>
      <c r="D18" s="4"/>
    </row>
    <row r="19" spans="1:4" x14ac:dyDescent="0.35">
      <c r="B19" s="1">
        <f>POWER(2*PI()*SQRT(((C17-C17*D17)/2+C2)*(A17-A17*B17)),-1)</f>
        <v>237259116.18000054</v>
      </c>
    </row>
    <row r="20" spans="1:4" x14ac:dyDescent="0.35">
      <c r="B20" s="1" t="s">
        <v>16</v>
      </c>
    </row>
    <row r="21" spans="1:4" x14ac:dyDescent="0.35">
      <c r="B21" s="1">
        <f>SQRT(B19*B23)</f>
        <v>224560099.3172662</v>
      </c>
    </row>
    <row r="22" spans="1:4" x14ac:dyDescent="0.35">
      <c r="B22" s="1" t="s">
        <v>15</v>
      </c>
      <c r="C22" s="1" t="s">
        <v>18</v>
      </c>
      <c r="D22" s="1" t="s">
        <v>12</v>
      </c>
    </row>
    <row r="23" spans="1:4" x14ac:dyDescent="0.35">
      <c r="B23" s="1">
        <f>POWER(2*PI()*SQRT(((C17+C17*D17)/2+C2)*(A17+A17*B17)),-1)</f>
        <v>212540782.48830283</v>
      </c>
      <c r="C23" s="1">
        <f>B19-B23</f>
        <v>24718333.691697717</v>
      </c>
      <c r="D23" s="1">
        <f>B21/C23</f>
        <v>9.0847587915155632</v>
      </c>
    </row>
    <row r="24" spans="1:4" x14ac:dyDescent="0.35">
      <c r="B24" s="1" t="s">
        <v>25</v>
      </c>
    </row>
    <row r="25" spans="1:4" x14ac:dyDescent="0.35">
      <c r="B25" s="1">
        <f>C23/POWER(2,$B$5)</f>
        <v>96555.990983194206</v>
      </c>
    </row>
    <row r="26" spans="1:4" s="10" customFormat="1" x14ac:dyDescent="0.35">
      <c r="B26" s="9"/>
    </row>
    <row r="27" spans="1:4" s="8" customFormat="1" ht="43.5" x14ac:dyDescent="0.35">
      <c r="A27" s="8" t="s">
        <v>35</v>
      </c>
      <c r="B27" s="8" t="s">
        <v>34</v>
      </c>
      <c r="C27" s="8" t="s">
        <v>33</v>
      </c>
    </row>
    <row r="28" spans="1:4" x14ac:dyDescent="0.35">
      <c r="A28" s="1">
        <f>D8</f>
        <v>8.729302150211415E-11</v>
      </c>
      <c r="B28" s="1">
        <v>1.0000000000000001E-9</v>
      </c>
      <c r="C28" s="1">
        <f>(B28*A28)/(B28-A28)</f>
        <v>9.5641891163995683E-11</v>
      </c>
    </row>
    <row r="29" spans="1:4" x14ac:dyDescent="0.35">
      <c r="A29" s="1"/>
      <c r="B29" s="1"/>
      <c r="C29" s="1"/>
    </row>
    <row r="30" spans="1:4" x14ac:dyDescent="0.35">
      <c r="A30" s="1"/>
      <c r="B30" s="1"/>
      <c r="C30" s="1"/>
    </row>
    <row r="31" spans="1:4" x14ac:dyDescent="0.35">
      <c r="A31" s="1"/>
      <c r="B31" s="1"/>
      <c r="C31" s="1"/>
    </row>
    <row r="32" spans="1:4" x14ac:dyDescent="0.35">
      <c r="A32" s="1"/>
      <c r="B32" s="1"/>
      <c r="C32" s="1"/>
    </row>
  </sheetData>
  <mergeCells count="1">
    <mergeCell ref="E1:G1"/>
  </mergeCells>
  <hyperlinks>
    <hyperlink ref="E1:G1" r:id="rId1" display="Varicap: SMV1413" xr:uid="{9876EA74-7A03-4F8B-92D6-A208BBE2A79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8916-CF32-483F-8FAF-6D12BD6639B4}">
  <dimension ref="A1:K15"/>
  <sheetViews>
    <sheetView tabSelected="1" topLeftCell="A6" zoomScaleNormal="100" workbookViewId="0">
      <selection activeCell="J11" sqref="J11"/>
    </sheetView>
  </sheetViews>
  <sheetFormatPr defaultRowHeight="14.5" x14ac:dyDescent="0.35"/>
  <cols>
    <col min="2" max="2" width="10.36328125" customWidth="1"/>
    <col min="3" max="3" width="10.81640625" customWidth="1"/>
    <col min="4" max="4" width="9.81640625" customWidth="1"/>
    <col min="5" max="5" width="9.08984375" customWidth="1"/>
    <col min="6" max="6" width="8.81640625" customWidth="1"/>
    <col min="10" max="10" width="9.6328125" customWidth="1"/>
  </cols>
  <sheetData>
    <row r="1" spans="1:11" ht="22.5" customHeight="1" x14ac:dyDescent="0.55000000000000004">
      <c r="A1" s="18" t="s">
        <v>36</v>
      </c>
    </row>
    <row r="2" spans="1:11" s="15" customFormat="1" ht="72.5" x14ac:dyDescent="0.35">
      <c r="A2" s="15" t="s">
        <v>37</v>
      </c>
      <c r="B2" s="15" t="s">
        <v>45</v>
      </c>
      <c r="C2" s="15" t="s">
        <v>46</v>
      </c>
      <c r="D2" s="15" t="s">
        <v>47</v>
      </c>
      <c r="E2" s="15" t="s">
        <v>48</v>
      </c>
      <c r="F2" s="15" t="s">
        <v>39</v>
      </c>
    </row>
    <row r="3" spans="1:11" x14ac:dyDescent="0.35">
      <c r="B3" t="s">
        <v>41</v>
      </c>
      <c r="C3" t="s">
        <v>42</v>
      </c>
      <c r="D3" t="s">
        <v>43</v>
      </c>
      <c r="E3" t="s">
        <v>44</v>
      </c>
      <c r="F3" t="s">
        <v>40</v>
      </c>
      <c r="G3" t="s">
        <v>75</v>
      </c>
    </row>
    <row r="4" spans="1:11" x14ac:dyDescent="0.35">
      <c r="A4" s="14" t="s">
        <v>38</v>
      </c>
      <c r="B4" s="4">
        <v>12</v>
      </c>
      <c r="C4" s="1">
        <v>1E-4</v>
      </c>
      <c r="D4" s="1">
        <v>9.9999999999999995E-8</v>
      </c>
      <c r="E4" s="1">
        <v>9.9999999999999995E-7</v>
      </c>
      <c r="F4">
        <v>100</v>
      </c>
      <c r="G4">
        <v>0.7</v>
      </c>
    </row>
    <row r="5" spans="1:11" s="10" customFormat="1" x14ac:dyDescent="0.35"/>
    <row r="6" spans="1:11" ht="23.5" x14ac:dyDescent="0.55000000000000004">
      <c r="A6" s="18" t="s">
        <v>68</v>
      </c>
    </row>
    <row r="7" spans="1:11" s="8" customFormat="1" ht="72.5" x14ac:dyDescent="0.35">
      <c r="A7" s="8" t="s">
        <v>50</v>
      </c>
      <c r="B7" s="8" t="s">
        <v>49</v>
      </c>
      <c r="C7" s="8" t="s">
        <v>52</v>
      </c>
      <c r="D7" s="8" t="s">
        <v>53</v>
      </c>
      <c r="E7" s="8" t="s">
        <v>58</v>
      </c>
      <c r="F7" s="8" t="s">
        <v>60</v>
      </c>
      <c r="G7" s="8" t="s">
        <v>56</v>
      </c>
      <c r="H7" s="8" t="s">
        <v>61</v>
      </c>
      <c r="I7" s="8" t="s">
        <v>64</v>
      </c>
      <c r="J7" s="8" t="s">
        <v>65</v>
      </c>
      <c r="K7" s="8" t="s">
        <v>76</v>
      </c>
    </row>
    <row r="8" spans="1:11" s="8" customFormat="1" x14ac:dyDescent="0.35">
      <c r="B8" s="8" t="s">
        <v>67</v>
      </c>
      <c r="C8" s="8" t="s">
        <v>51</v>
      </c>
      <c r="D8" s="8" t="s">
        <v>54</v>
      </c>
      <c r="E8" s="8" t="s">
        <v>59</v>
      </c>
      <c r="F8" t="s">
        <v>55</v>
      </c>
      <c r="G8" s="8" t="s">
        <v>57</v>
      </c>
      <c r="H8" s="8" t="s">
        <v>62</v>
      </c>
      <c r="I8" s="8" t="s">
        <v>63</v>
      </c>
      <c r="J8" s="8" t="s">
        <v>66</v>
      </c>
      <c r="K8" s="8" t="s">
        <v>77</v>
      </c>
    </row>
    <row r="9" spans="1:11" x14ac:dyDescent="0.35">
      <c r="A9" s="16">
        <v>10</v>
      </c>
      <c r="B9" s="5">
        <v>0.01</v>
      </c>
      <c r="C9" s="16">
        <v>1</v>
      </c>
      <c r="D9" s="1">
        <f>C9/B9</f>
        <v>100</v>
      </c>
      <c r="E9" s="5">
        <v>1</v>
      </c>
      <c r="F9" s="4">
        <f>C9</f>
        <v>1</v>
      </c>
      <c r="G9" s="17">
        <f>(1/3)*(A9+2*(E9+F9))</f>
        <v>4.6666666666666661</v>
      </c>
      <c r="H9" s="1">
        <f>G9-C9</f>
        <v>3.6666666666666661</v>
      </c>
      <c r="I9" s="1">
        <f>A9-G9</f>
        <v>5.3333333333333339</v>
      </c>
      <c r="J9" s="1">
        <f>I9/B9</f>
        <v>533.33333333333337</v>
      </c>
      <c r="K9" s="5">
        <v>15000</v>
      </c>
    </row>
    <row r="11" spans="1:11" ht="58" x14ac:dyDescent="0.35">
      <c r="A11" s="8" t="s">
        <v>88</v>
      </c>
      <c r="B11" s="8" t="s">
        <v>87</v>
      </c>
      <c r="C11" s="8" t="s">
        <v>86</v>
      </c>
      <c r="D11" s="8" t="s">
        <v>85</v>
      </c>
      <c r="E11" s="8" t="s">
        <v>84</v>
      </c>
      <c r="F11" s="8" t="s">
        <v>83</v>
      </c>
      <c r="G11" s="8" t="s">
        <v>82</v>
      </c>
      <c r="H11" s="8" t="s">
        <v>81</v>
      </c>
      <c r="I11" s="8" t="s">
        <v>80</v>
      </c>
    </row>
    <row r="12" spans="1:11" x14ac:dyDescent="0.35">
      <c r="A12" t="s">
        <v>73</v>
      </c>
      <c r="B12" t="s">
        <v>72</v>
      </c>
      <c r="C12" t="s">
        <v>74</v>
      </c>
      <c r="D12" t="s">
        <v>78</v>
      </c>
      <c r="E12" t="s">
        <v>69</v>
      </c>
      <c r="F12" t="s">
        <v>67</v>
      </c>
      <c r="G12" t="s">
        <v>70</v>
      </c>
      <c r="H12" t="s">
        <v>71</v>
      </c>
      <c r="I12" t="s">
        <v>79</v>
      </c>
    </row>
    <row r="13" spans="1:11" x14ac:dyDescent="0.35">
      <c r="A13" s="1">
        <f>C9</f>
        <v>1</v>
      </c>
      <c r="B13" s="17">
        <f>A13+G4</f>
        <v>1.7</v>
      </c>
      <c r="C13" s="1">
        <f>H9+A13</f>
        <v>4.6666666666666661</v>
      </c>
      <c r="D13" s="19">
        <f>H13+B13/K9</f>
        <v>2.1333333333333333E-4</v>
      </c>
      <c r="E13" s="17">
        <f>B13/K9</f>
        <v>1.1333333333333333E-4</v>
      </c>
      <c r="F13" s="1">
        <f>-(-A9+A13+H9)/J9</f>
        <v>0.01</v>
      </c>
      <c r="G13" s="1">
        <f>F13+H13</f>
        <v>1.01E-2</v>
      </c>
      <c r="H13" s="1">
        <f>F13/F4</f>
        <v>1E-4</v>
      </c>
      <c r="I13" s="1">
        <f>K9*((A9/B13)-1)</f>
        <v>73235.294117647063</v>
      </c>
    </row>
    <row r="14" spans="1:11" s="10" customFormat="1" x14ac:dyDescent="0.35"/>
    <row r="15" spans="1:11" ht="23.5" x14ac:dyDescent="0.55000000000000004">
      <c r="A15" s="18" t="s">
        <v>89</v>
      </c>
    </row>
  </sheetData>
  <hyperlinks>
    <hyperlink ref="A4" r:id="rId1" xr:uid="{2147FA4E-E4E2-4B5A-812F-C2A81678C8F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Colpitts Calculator</vt:lpstr>
      <vt:lpstr>Common Emitter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Francois, Thomas (S&amp;T-Student)</dc:creator>
  <cp:lastModifiedBy>Francois, Thomas (S&amp;T-Student)</cp:lastModifiedBy>
  <dcterms:created xsi:type="dcterms:W3CDTF">2024-07-12T19:41:12Z</dcterms:created>
  <dcterms:modified xsi:type="dcterms:W3CDTF">2024-07-14T18:03:06Z</dcterms:modified>
</cp:coreProperties>
</file>