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00" firstSheet="2" activeTab="2"/>
  </bookViews>
  <sheets>
    <sheet name="Key-Items" sheetId="1" r:id="rId1"/>
    <sheet name="Scenes Sources" sheetId="2" r:id="rId2"/>
    <sheet name="综合打分" sheetId="3" r:id="rId3"/>
    <sheet name="Response Time " sheetId="4" r:id="rId4"/>
    <sheet name="App Sources" sheetId="5" r:id="rId5"/>
    <sheet name="Baidu App" sheetId="6" r:id="rId6"/>
    <sheet name="地图性能" sheetId="7" r:id="rId7"/>
    <sheet name="Partition Status" sheetId="8" r:id="rId8"/>
    <sheet name="内存泄漏" sheetId="9" r:id="rId9"/>
  </sheets>
  <definedNames>
    <definedName name="_xlnm._FilterDatabase" localSheetId="2" hidden="1">综合打分!$A$1:$AT$157</definedName>
    <definedName name="_xlnm._FilterDatabase" localSheetId="3" hidden="1">'Response Time '!$A$1:$S$87</definedName>
    <definedName name="_xlnm._FilterDatabase" localSheetId="4" hidden="1">'App Sources'!$A$1:$CD$143</definedName>
    <definedName name="Z_B0B1D487_08B5_4EE3_B1A5_0E537BA44F6F_.wvu.FilterData" localSheetId="3">'Response Time '!$H$1:$H$87</definedName>
    <definedName name="Z_B5D2B878_5867_45CF_B11F_45A1564167C2_.wvu.FilterData" localSheetId="3">'Response Time '!$A$1:$K$87</definedName>
    <definedName name="Z_50D2B5B7_80D0_4780_BB59_F4E52620A863_.wvu.FilterData" localSheetId="3">'Response Time '!$H$1:$H$87</definedName>
    <definedName name="Z_B5D2B878_5867_45CF_B11F_45A1564167C2_.wvu.Cols" localSheetId="3">'Response Time '!#REF!</definedName>
    <definedName name="Z_9905B039_5D9C_4BC1_BCAD_85093189CE48_.wvu.FilterData" localSheetId="3">'Response Time '!$A$1:$K$87</definedName>
    <definedName name="Z_CCD93499_75F8_45A7_B5CB_5B9935727470_.wvu.FilterData" localSheetId="3">'Response Time '!$A$1:$K$87</definedName>
    <definedName name="Z_F2292B89_B249_407C_9F60_58BD83C5901D_.wvu.FilterData" localSheetId="3">'Response Time '!$A$1:$K$87</definedName>
    <definedName name="Z_81868EC3_D2C9_49E1_A7C4_56AD2CFDD907_.wvu.FilterData" localSheetId="3">'Response Time '!$A$1:$K$87</definedName>
    <definedName name="Z_82B7589E_14AC_4428_B990_D113B4B9C8B2_.wvu.FilterData" localSheetId="3">'Response Time '!$A$1:$K$87</definedName>
    <definedName name="Z_CB05707F_24A9_4357_8065_43BE4DD90B2D_.wvu.FilterData" localSheetId="3">'Response Time '!$A$1:$K$87</definedName>
    <definedName name="Z_A1C2E0EA_0798_4EE9_BA53_3DA16A20F391_.wvu.FilterData" localSheetId="3">'Response Time '!$A$1:$K$87</definedName>
    <definedName name="Z_E3F0DD2F_B4B7_440E_B6E2_120742CBE6C3_.wvu.FilterData" localSheetId="3">'Response Time '!$A$1:$K$87</definedName>
    <definedName name="Z_5DF7DF2B_59CB_4835_ACC6_BFF42CC29E31_.wvu.Cols" localSheetId="3">'Response Time '!#REF!</definedName>
    <definedName name="Z_5DF7DF2B_59CB_4835_ACC6_BFF42CC29E31_.wvu.FilterData" localSheetId="3">'Response Time '!$A$1:$K$87</definedName>
    <definedName name="Z_A17A2F87_19DB_4AF8_AC37_28F784855FD7_.wvu.FilterData" localSheetId="3">'Response Time '!$A$1:$K$87</definedName>
    <definedName name="Z_4E56EFD8_82B0_433B_87B4_FAE95366C90A_.wvu.FilterData" localSheetId="3">'Response Time '!$A$1:$K$87</definedName>
    <definedName name="Z_BFE5DC58_F040_475A_8F39_87308C22B1B1_.wvu.FilterData" localSheetId="3">'Response Time '!$A$1:$K$87</definedName>
    <definedName name="Z_16DC14A2_7903_4025_B903_380A1366D4B8_.wvu.FilterData" localSheetId="3">'Response Time '!$A$1:$K$87</definedName>
    <definedName name="Z_F5DE3CB0_C52E_433A_B531_B98B1F605089_.wvu.FilterData" localSheetId="3">'Response Time '!$A$1:$K$87</definedName>
    <definedName name="Z_0EA55DCA_7FF2_4F36_8A7E_F0EACCC29DBE_.wvu.FilterData" localSheetId="3">'Response Time '!$A$1:$K$87</definedName>
    <definedName name="Z_C88AFADA_BEE4_42DA_8940_4B736B9F39D4_.wvu.Cols" localSheetId="3">'Response Time '!#REF!</definedName>
    <definedName name="Z_75A5D5D5_3DF6_4DF0_A35D_F3AEF19FA0C8_.wvu.FilterData" localSheetId="3">'Response Time '!$H$1:$H$87</definedName>
    <definedName name="Z_16A41CC9_C03A_4F0A_B03A_44E212E13660_.wvu.FilterData" localSheetId="3">'Response Time '!$A$1:$K$87</definedName>
    <definedName name="Z_C88AFADA_BEE4_42DA_8940_4B736B9F39D4_.wvu.FilterData" localSheetId="3">'Response Time '!$A$1:$K$87</definedName>
    <definedName name="Z_67627A8C_5C40_462C_B63D_E064A913FD1B_.wvu.FilterData" localSheetId="3">'Response Time '!$A$1:$K$87</definedName>
    <definedName name="Z_6A1708EE_78D5_4730_9EC1_32494DD84064_.wvu.FilterData" localSheetId="3">'Response Time '!$A$1:$K$87</definedName>
    <definedName name="Z_64728F9F_AAFE_4C17_A15F_C96F3AE04D0C_.wvu.FilterData" localSheetId="3">'Response Time '!$A$1:$K$87</definedName>
    <definedName name="Z_2F5A4DEB_972B_44A6_8415_B3AF8AAB8DD1_.wvu.FilterData" localSheetId="3">'Response Time '!$A$1:$K$87</definedName>
    <definedName name="Z_2A4FABCB_C3B4_4B1C_B5DB_0968E349E3E5_.wvu.Cols" localSheetId="3">'Response Time '!#REF!</definedName>
    <definedName name="Z_CCD93499_75F8_45A7_B5CB_5B9935727470_.wvu.Cols" localSheetId="3">'Response Time '!#REF!</definedName>
    <definedName name="Z_CE1C8A90_39F2_40DB_9797_BE22406C3947_.wvu.FilterData" localSheetId="3">'Response Time '!$A$1:$K$87</definedName>
    <definedName name="Z_CE1C8A90_39F2_40DB_9797_BE22406C3947_.wvu.Cols" localSheetId="3">'Response Time '!#REF!</definedName>
    <definedName name="Z_2A4FABCB_C3B4_4B1C_B5DB_0968E349E3E5_.wvu.FilterData" localSheetId="3">'Response Time '!$A$1:$K$87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<sst xmlns="http://schemas.openxmlformats.org/spreadsheetml/2006/main" count="5943" uniqueCount="1809">
  <si>
    <t>重点汇报项</t>
  </si>
  <si>
    <t>R06 Test Result/s</t>
  </si>
  <si>
    <t>R06.1 Test Result/s</t>
  </si>
  <si>
    <t>R07.1 Test Result/s</t>
  </si>
  <si>
    <t>R08 Test Result/s</t>
  </si>
  <si>
    <t>R09 Test Result/s</t>
  </si>
  <si>
    <t>R10 Test Result/s</t>
  </si>
  <si>
    <t>Comments</t>
  </si>
  <si>
    <t>Power on到Fast RVC显示</t>
  </si>
  <si>
    <t>NA</t>
  </si>
  <si>
    <t>非百度侧</t>
  </si>
  <si>
    <t>Power on到第一帧动画播放</t>
  </si>
  <si>
    <t>Power on Launcher界面可见</t>
  </si>
  <si>
    <t>Launcher显示到QQ音乐首次启动</t>
  </si>
  <si>
    <t>Launcher显示到导航启动时间</t>
  </si>
  <si>
    <t>百度地图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</si>
  <si>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</si>
  <si>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</si>
  <si>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</si>
  <si>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</si>
  <si>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</si>
  <si>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</si>
  <si>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</si>
  <si>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</si>
  <si>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</si>
  <si>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</si>
  <si>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</si>
  <si>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</si>
  <si>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</si>
  <si>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</si>
  <si>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</si>
  <si>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</si>
  <si>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</si>
  <si>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</si>
  <si>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</si>
  <si>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</si>
  <si>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</si>
  <si>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</si>
  <si>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</si>
  <si>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</si>
  <si>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</si>
  <si>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</si>
  <si>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</si>
  <si>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</si>
  <si>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</si>
  <si>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</si>
  <si>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</si>
  <si>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</si>
  <si>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</si>
  <si>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</si>
  <si>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</si>
  <si>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</si>
  <si>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</si>
  <si>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</si>
  <si>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</si>
  <si>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</si>
  <si>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</si>
  <si>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</si>
  <si>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</si>
  <si>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0"/>
        <color rgb="FF000000"/>
        <rFont val="宋体"/>
        <charset val="134"/>
        <scheme val="minor"/>
      </rPr>
      <t>开机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宋体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</si>
  <si>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</si>
  <si>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</si>
  <si>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</si>
  <si>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</si>
  <si>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</si>
  <si>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</si>
  <si>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</si>
  <si>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</si>
  <si>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</si>
  <si>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</si>
  <si>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</si>
  <si>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</si>
  <si>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</si>
  <si>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</si>
  <si>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</si>
  <si>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</si>
  <si>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</si>
  <si>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</si>
  <si>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</si>
  <si>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</si>
  <si>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</si>
  <si>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</si>
  <si>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</si>
  <si>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</si>
  <si>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</si>
  <si>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</si>
  <si>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</si>
  <si>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</si>
  <si>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</si>
  <si>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rgb="FF000000"/>
        <rFont val="宋体"/>
        <charset val="134"/>
      </rPr>
      <t xml:space="preserve">台架 </t>
    </r>
    <r>
      <rPr>
        <b/>
        <sz val="16"/>
        <color rgb="FF000000"/>
        <rFont val="Verdana Pro"/>
        <charset val="134"/>
      </rPr>
      <t>or</t>
    </r>
    <r>
      <rPr>
        <b/>
        <sz val="16"/>
        <color rgb="FF000000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</si>
  <si>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</si>
  <si>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</si>
  <si>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</si>
  <si>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</si>
  <si>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</si>
  <si>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</si>
  <si>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</si>
  <si>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</si>
  <si>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R07</t>
  </si>
  <si>
    <t>偏差</t>
  </si>
  <si>
    <t>备注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</si>
  <si>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</si>
  <si>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</si>
  <si>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</si>
  <si>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</si>
  <si>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</si>
  <si>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</si>
  <si>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</si>
  <si>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</si>
  <si>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</si>
  <si>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</si>
  <si>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</si>
  <si>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rgb="FF000000"/>
        <rFont val="Verdana Pro"/>
        <charset val="134"/>
      </rPr>
      <t>IVI开机，发送</t>
    </r>
    <r>
      <rPr>
        <sz val="16"/>
        <color rgb="FF000000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</si>
  <si>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</si>
  <si>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</si>
  <si>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</si>
  <si>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</si>
  <si>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</si>
  <si>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</si>
  <si>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</si>
  <si>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</si>
  <si>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</si>
  <si>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</si>
  <si>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</si>
  <si>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</si>
  <si>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</si>
  <si>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rgb="FF000000"/>
        <rFont val="微软雅黑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界面启动第一帧到</t>
    </r>
    <r>
      <rPr>
        <sz val="16"/>
        <color rgb="FF000000"/>
        <rFont val="Verdana Pro"/>
        <charset val="134"/>
      </rPr>
      <t>homepage</t>
    </r>
    <r>
      <rPr>
        <sz val="16"/>
        <color rgb="FF000000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</si>
  <si>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</si>
  <si>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</si>
  <si>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</si>
  <si>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</si>
  <si>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</si>
  <si>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</si>
  <si>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</si>
  <si>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</si>
  <si>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</si>
  <si>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</si>
  <si>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</si>
  <si>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rgb="FF000000"/>
        <rFont val="微软雅黑"/>
        <charset val="134"/>
      </rPr>
      <t>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</si>
  <si>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</si>
  <si>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</si>
  <si>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</si>
  <si>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</si>
  <si>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</si>
  <si>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</si>
  <si>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</si>
  <si>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</si>
  <si>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</si>
  <si>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</si>
  <si>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</si>
  <si>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</si>
  <si>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</si>
  <si>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</si>
  <si>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</si>
  <si>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</si>
  <si>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</si>
  <si>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</si>
  <si>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</si>
  <si>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</si>
  <si>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</si>
  <si>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</si>
  <si>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</si>
  <si>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</si>
  <si>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</si>
  <si>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</si>
  <si>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</si>
  <si>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</si>
  <si>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</si>
  <si>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</si>
  <si>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</si>
  <si>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</si>
  <si>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</si>
  <si>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</si>
  <si>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</si>
  <si>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</si>
  <si>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</si>
  <si>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</si>
  <si>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</si>
  <si>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</si>
  <si>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</si>
  <si>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</si>
  <si>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</si>
  <si>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</si>
  <si>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</si>
  <si>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</si>
  <si>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</si>
  <si>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</si>
  <si>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</si>
  <si>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</si>
  <si>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</si>
  <si>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</si>
  <si>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</si>
  <si>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</si>
  <si>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</si>
  <si>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</si>
  <si>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</si>
  <si>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</si>
  <si>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</si>
  <si>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</si>
  <si>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</si>
  <si>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</si>
  <si>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</si>
  <si>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</si>
  <si>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</si>
  <si>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</si>
  <si>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</si>
  <si>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</si>
  <si>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</si>
  <si>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</si>
  <si>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</si>
  <si>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</si>
  <si>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</si>
  <si>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</si>
  <si>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</si>
  <si>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</si>
  <si>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</si>
  <si>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</si>
  <si>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</si>
  <si>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</si>
  <si>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</si>
  <si>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</si>
  <si>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</si>
  <si>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</si>
  <si>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</si>
  <si>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</si>
  <si>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</si>
  <si>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</si>
  <si>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</si>
  <si>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</si>
  <si>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</si>
  <si>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</si>
  <si>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</si>
  <si>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</si>
  <si>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</si>
  <si>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</si>
  <si>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</si>
  <si>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</si>
  <si>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</si>
  <si>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</si>
  <si>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</si>
  <si>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</si>
  <si>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</si>
  <si>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</si>
  <si>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</si>
  <si>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</si>
  <si>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</si>
  <si>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</si>
  <si>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</si>
  <si>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</si>
  <si>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</si>
  <si>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</si>
  <si>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</si>
  <si>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</si>
  <si>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</si>
  <si>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</si>
  <si>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</si>
  <si>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rgb="FF000000"/>
        <rFont val="Verdana Pro"/>
        <charset val="134"/>
      </rPr>
      <t>1. IVI开机，发送</t>
    </r>
    <r>
      <rPr>
        <sz val="16"/>
        <color rgb="FF000000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</si>
  <si>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</si>
  <si>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</si>
  <si>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rgb="FF000000"/>
        <rFont val="Verdana Pro"/>
        <charset val="134"/>
      </rPr>
      <t>1. IVI开机，发送</t>
    </r>
    <r>
      <rPr>
        <sz val="16"/>
        <color rgb="FF000000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</si>
  <si>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</si>
  <si>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</si>
  <si>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</si>
  <si>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</si>
  <si>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</si>
  <si>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</si>
  <si>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</si>
  <si>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</si>
  <si>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</t>
    </r>
    <r>
      <rPr>
        <sz val="16"/>
        <color rgb="FF000000"/>
        <rFont val="宋体"/>
        <charset val="134"/>
      </rPr>
      <t>账号登录完成</t>
    </r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</si>
  <si>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</si>
  <si>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</si>
  <si>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</si>
  <si>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界面启动第一帧到显示账号二维码稳定展示</t>
    </r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</si>
  <si>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</si>
  <si>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</si>
  <si>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</si>
  <si>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rgb="FF000000"/>
        <rFont val="微软雅黑"/>
        <charset val="134"/>
      </rPr>
      <t>强网</t>
    </r>
    <r>
      <rPr>
        <sz val="16"/>
        <color rgb="FF000000"/>
        <rFont val="宋体"/>
        <charset val="134"/>
      </rPr>
      <t>，账号已登录，已开启人脸识别</t>
    </r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</si>
  <si>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</t>
    </r>
    <r>
      <rPr>
        <sz val="16"/>
        <color rgb="FF000000"/>
        <rFont val="宋体"/>
        <charset val="134"/>
      </rPr>
      <t>人脸识别完成</t>
    </r>
  </si>
  <si>
    <t>非目标车型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</si>
  <si>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</si>
  <si>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</si>
  <si>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</si>
  <si>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</si>
  <si>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</si>
  <si>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</si>
  <si>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</si>
  <si>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</si>
  <si>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</si>
  <si>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</si>
  <si>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rgb="FF000000"/>
        <rFont val="微软雅黑"/>
        <charset val="134"/>
      </rPr>
      <t>开机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出来以后等待</t>
    </r>
    <r>
      <rPr>
        <sz val="16"/>
        <color rgb="FF000000"/>
        <rFont val="Verdana Pro"/>
        <charset val="134"/>
      </rPr>
      <t>3</t>
    </r>
    <r>
      <rPr>
        <sz val="16"/>
        <color rgb="FF000000"/>
        <rFont val="微软雅黑"/>
        <charset val="134"/>
      </rPr>
      <t>分钟，点击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随心听卡片</t>
    </r>
  </si>
  <si>
    <t>计算从手指抬起动作到QQ音乐界面稳定展示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</si>
  <si>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</si>
  <si>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</si>
  <si>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</si>
  <si>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rgb="FF000000"/>
        <rFont val="微软雅黑"/>
        <charset val="134"/>
      </rPr>
      <t>测试时处于导航状态
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</si>
  <si>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</si>
  <si>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</si>
  <si>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</si>
  <si>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</si>
  <si>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</si>
  <si>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</si>
  <si>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</si>
  <si>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USB</t>
    </r>
    <r>
      <rPr>
        <sz val="16"/>
        <color rgb="FF000000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</si>
  <si>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</si>
  <si>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</si>
  <si>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</si>
  <si>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</si>
  <si>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rgb="FF000000"/>
        <rFont val="微软雅黑"/>
        <charset val="134"/>
      </rPr>
      <t>系统稳定状态下蓝牙音乐首次</t>
    </r>
    <r>
      <rPr>
        <sz val="16"/>
        <color rgb="FF000000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</si>
  <si>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</si>
  <si>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</si>
  <si>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</si>
  <si>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</si>
  <si>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FM</t>
    </r>
    <r>
      <rPr>
        <sz val="16"/>
        <color rgb="FF000000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</si>
  <si>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</si>
  <si>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</si>
  <si>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</si>
  <si>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在线电台</t>
    </r>
    <r>
      <rPr>
        <sz val="16"/>
        <color rgb="FF000000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</si>
  <si>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</si>
  <si>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</si>
  <si>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</si>
  <si>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</si>
  <si>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</si>
  <si>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</si>
  <si>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</si>
  <si>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</si>
  <si>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</si>
  <si>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</si>
  <si>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</si>
  <si>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</si>
  <si>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</si>
  <si>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</si>
  <si>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</si>
  <si>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</si>
  <si>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</si>
  <si>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</si>
  <si>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</si>
  <si>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</si>
  <si>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</si>
  <si>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</si>
  <si>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</si>
  <si>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</si>
  <si>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</si>
  <si>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</si>
  <si>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</si>
  <si>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</si>
  <si>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</si>
  <si>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</si>
  <si>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</si>
  <si>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</si>
  <si>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</si>
  <si>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</si>
  <si>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</si>
  <si>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</si>
  <si>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</si>
  <si>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</si>
  <si>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</si>
  <si>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</si>
  <si>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</si>
  <si>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</si>
  <si>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</si>
  <si>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</si>
  <si>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</si>
  <si>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</si>
  <si>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</si>
  <si>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</si>
  <si>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</si>
  <si>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</si>
  <si>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</si>
  <si>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</si>
  <si>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</si>
  <si>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</si>
  <si>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</si>
  <si>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</si>
  <si>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</si>
  <si>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</si>
  <si>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</si>
  <si>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</si>
  <si>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</si>
  <si>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</si>
  <si>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</si>
  <si>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</si>
  <si>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</si>
  <si>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</si>
  <si>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</si>
  <si>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</si>
  <si>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</si>
  <si>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</si>
  <si>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</si>
  <si>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</si>
  <si>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</si>
  <si>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</si>
  <si>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</si>
  <si>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</si>
  <si>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</si>
  <si>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</si>
  <si>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</si>
  <si>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</si>
  <si>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</si>
  <si>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</si>
  <si>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</si>
  <si>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</si>
  <si>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</si>
  <si>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</si>
  <si>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</si>
  <si>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</si>
  <si>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</si>
  <si>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</si>
  <si>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</si>
  <si>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</si>
  <si>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</si>
  <si>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</si>
  <si>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</si>
  <si>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</si>
  <si>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</si>
  <si>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</si>
  <si>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</si>
  <si>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</si>
  <si>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</si>
  <si>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</si>
  <si>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</si>
  <si>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</si>
  <si>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</si>
  <si>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</si>
  <si>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</si>
  <si>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</si>
  <si>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</si>
  <si>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</si>
  <si>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</si>
  <si>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</si>
  <si>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</si>
  <si>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</si>
  <si>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</si>
  <si>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</si>
  <si>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</si>
  <si>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</si>
  <si>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</si>
  <si>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</si>
  <si>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</si>
  <si>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</si>
  <si>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</si>
  <si>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</si>
  <si>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</si>
  <si>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</si>
  <si>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</si>
  <si>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</si>
  <si>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</si>
  <si>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</si>
  <si>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</si>
  <si>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</si>
  <si>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</si>
  <si>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</si>
  <si>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rgb="FF000000"/>
        <rFont val="Verdana Pro"/>
        <charset val="134"/>
      </rPr>
      <t>开机Launcher出来以后等待3分钟，</t>
    </r>
    <r>
      <rPr>
        <sz val="16"/>
        <color rgb="FF000000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</si>
  <si>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</si>
  <si>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</si>
  <si>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</si>
  <si>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</si>
  <si>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</si>
  <si>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</si>
  <si>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</si>
  <si>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</si>
  <si>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</si>
  <si>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</si>
  <si>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</si>
  <si>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</si>
  <si>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</si>
  <si>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</si>
  <si>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</si>
  <si>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</si>
  <si>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</si>
  <si>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</si>
  <si>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</si>
  <si>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</si>
  <si>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</si>
  <si>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</si>
  <si>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</si>
  <si>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</si>
  <si>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</si>
  <si>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</si>
  <si>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rgb="FF000000"/>
        <rFont val="Verdana Pro"/>
        <charset val="134"/>
      </rPr>
      <t>1.IVI开机，发送</t>
    </r>
    <r>
      <rPr>
        <sz val="16"/>
        <color rgb="FF000000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</si>
  <si>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</si>
  <si>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</si>
  <si>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</si>
  <si>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</si>
  <si>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</si>
  <si>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设置</t>
    </r>
  </si>
  <si>
    <t>8小时Monkey测试-设置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</si>
  <si>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蓝牙音乐</t>
    </r>
  </si>
  <si>
    <t>8小时Monkey测试-蓝牙音乐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</si>
  <si>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蓝牙电话</t>
    </r>
  </si>
  <si>
    <t>8小时Monkey测试-蓝牙电话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</si>
  <si>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</si>
  <si>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</si>
  <si>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</si>
  <si>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</si>
  <si>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</si>
  <si>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</si>
  <si>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</si>
  <si>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</si>
  <si>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</si>
  <si>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</si>
  <si>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</si>
  <si>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</si>
  <si>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</si>
  <si>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</si>
  <si>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</si>
  <si>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</si>
  <si>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</si>
  <si>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</si>
  <si>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</si>
  <si>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【实车】【CD483mca】【随心看】【必现】随心看冷启动时间超时，超过9s https://console.cloud.baidu-int.com/devops/icafe/issue/FordPhase4Scrum-73301/show?source=copy-shortcut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</si>
  <si>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</si>
  <si>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</si>
  <si>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</si>
  <si>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</si>
  <si>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</si>
  <si>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</si>
  <si>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</si>
  <si>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</si>
  <si>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</si>
  <si>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</si>
  <si>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</si>
  <si>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</si>
  <si>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</si>
  <si>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</si>
  <si>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</si>
  <si>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</si>
  <si>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</si>
  <si>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</si>
  <si>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</si>
  <si>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</si>
  <si>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</si>
  <si>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</si>
  <si>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</si>
  <si>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</si>
  <si>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</si>
  <si>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</si>
  <si>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</si>
  <si>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</si>
  <si>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</si>
  <si>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</si>
  <si>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</si>
  <si>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</si>
  <si>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</si>
  <si>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</si>
  <si>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</si>
  <si>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</si>
  <si>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</si>
  <si>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</si>
  <si>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</si>
  <si>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</si>
  <si>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</si>
  <si>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</si>
  <si>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</si>
  <si>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</si>
  <si>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</si>
  <si>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</si>
  <si>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</si>
  <si>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</si>
  <si>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</si>
  <si>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</si>
  <si>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</si>
  <si>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</si>
  <si>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</si>
  <si>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</si>
  <si>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</si>
  <si>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</si>
  <si>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</si>
  <si>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</si>
  <si>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随心听</t>
    </r>
  </si>
  <si>
    <t>8小时Monkey测试-随心听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</si>
  <si>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-Launcher</t>
    </r>
  </si>
  <si>
    <t>8小时Monkey测试-Launcher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</si>
  <si>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宋体"/>
        <charset val="134"/>
      </rPr>
      <t>导航</t>
    </r>
  </si>
  <si>
    <t>8小时Monkey测试-导航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</si>
  <si>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输入法</t>
    </r>
  </si>
  <si>
    <t>8小时Monkey测试-输入法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</si>
  <si>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宋体"/>
        <charset val="134"/>
      </rPr>
      <t>测试</t>
    </r>
    <r>
      <rPr>
        <sz val="16"/>
        <color rgb="FF000000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</si>
  <si>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</si>
  <si>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</si>
  <si>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</si>
  <si>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</si>
  <si>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</si>
  <si>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</si>
  <si>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</si>
  <si>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</si>
  <si>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</si>
  <si>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</si>
  <si>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</si>
  <si>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</si>
  <si>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</si>
  <si>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</si>
  <si>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</si>
  <si>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</si>
  <si>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</si>
  <si>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</si>
  <si>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</si>
  <si>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</si>
  <si>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</si>
  <si>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</si>
  <si>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</si>
  <si>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</si>
  <si>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</si>
  <si>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</si>
  <si>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</si>
  <si>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</si>
  <si>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</si>
  <si>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</si>
  <si>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</si>
  <si>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</si>
  <si>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</si>
  <si>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</si>
  <si>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</si>
  <si>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</si>
  <si>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</si>
  <si>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</si>
  <si>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</si>
  <si>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</si>
  <si>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</si>
  <si>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</si>
  <si>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</si>
  <si>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</si>
  <si>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</si>
  <si>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</si>
  <si>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</si>
  <si>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</si>
  <si>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R10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</si>
  <si>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</si>
  <si>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</si>
  <si>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</si>
  <si>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</si>
  <si>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</si>
  <si>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</si>
  <si>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</si>
  <si>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</si>
  <si>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</si>
  <si>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</si>
  <si>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</si>
  <si>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</si>
  <si>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</si>
  <si>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</si>
  <si>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</si>
  <si>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</si>
  <si>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</si>
  <si>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</si>
  <si>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</si>
  <si>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</si>
  <si>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</si>
  <si>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</si>
  <si>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</si>
  <si>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</si>
  <si>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</si>
  <si>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</si>
  <si>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</si>
  <si>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</si>
  <si>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</si>
  <si>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</si>
  <si>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</si>
  <si>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</si>
  <si>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</si>
  <si>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</si>
  <si>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</si>
  <si>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</si>
  <si>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</si>
  <si>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</si>
  <si>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</si>
  <si>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</si>
  <si>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</si>
  <si>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</si>
  <si>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</si>
  <si>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</si>
  <si>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</si>
  <si>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</si>
  <si>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</si>
  <si>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</si>
  <si>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</si>
  <si>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</si>
  <si>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</si>
  <si>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</si>
  <si>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</si>
  <si>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</si>
  <si>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</si>
  <si>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</si>
  <si>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</si>
  <si>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</si>
  <si>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</si>
  <si>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</si>
  <si>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</si>
  <si>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</si>
  <si>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</si>
  <si>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</si>
  <si>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</si>
  <si>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</si>
  <si>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</si>
  <si>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</si>
  <si>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</si>
  <si>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</si>
  <si>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</si>
  <si>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</si>
  <si>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</si>
  <si>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</si>
  <si>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</si>
  <si>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</si>
  <si>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</si>
  <si>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</si>
  <si>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</si>
  <si>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</si>
  <si>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</si>
  <si>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</si>
  <si>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无此功能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</si>
  <si>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</si>
  <si>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</si>
  <si>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</si>
  <si>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</si>
  <si>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</si>
  <si>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</si>
  <si>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</si>
  <si>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</si>
  <si>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</si>
  <si>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</si>
  <si>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</si>
  <si>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</si>
  <si>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</si>
  <si>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</si>
  <si>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</si>
  <si>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</si>
  <si>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</si>
  <si>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</si>
  <si>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</si>
  <si>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</si>
  <si>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</si>
  <si>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</si>
  <si>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</si>
  <si>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</si>
  <si>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</si>
  <si>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</si>
  <si>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</si>
  <si>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</si>
  <si>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</si>
  <si>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</si>
  <si>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</si>
  <si>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</si>
  <si>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</si>
  <si>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</si>
  <si>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</si>
  <si>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</si>
  <si>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</si>
  <si>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</si>
  <si>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</si>
  <si>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</si>
  <si>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</si>
  <si>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</si>
  <si>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</si>
  <si>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</si>
  <si>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</si>
  <si>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</si>
  <si>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</si>
  <si>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</si>
  <si>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</si>
  <si>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</si>
  <si>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</si>
  <si>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</si>
  <si>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</si>
  <si>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</si>
  <si>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</si>
  <si>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</si>
  <si>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</si>
  <si>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</si>
  <si>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</si>
  <si>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</si>
  <si>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</si>
  <si>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</si>
  <si>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</si>
  <si>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</si>
  <si>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</si>
  <si>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</si>
  <si>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</si>
  <si>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</si>
  <si>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</si>
  <si>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</si>
  <si>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</si>
  <si>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</si>
  <si>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</si>
  <si>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</si>
  <si>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</si>
  <si>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</si>
  <si>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</si>
  <si>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</si>
  <si>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</si>
  <si>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</si>
  <si>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</si>
  <si>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</si>
  <si>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</si>
  <si>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</si>
  <si>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</si>
  <si>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</si>
  <si>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</si>
  <si>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</si>
  <si>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</si>
  <si>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</si>
  <si>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</si>
  <si>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</si>
  <si>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</si>
  <si>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</si>
  <si>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</si>
  <si>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</si>
  <si>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</si>
  <si>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</si>
  <si>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</si>
  <si>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</si>
  <si>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</si>
  <si>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</si>
  <si>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</si>
  <si>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</si>
  <si>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</si>
  <si>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</si>
  <si>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</si>
  <si>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</si>
  <si>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</si>
  <si>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</si>
  <si>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</si>
  <si>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</si>
  <si>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</si>
  <si>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</si>
  <si>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</si>
  <si>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</si>
  <si>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</si>
  <si>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</si>
  <si>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</si>
  <si>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车机管家</t>
  </si>
  <si>
    <t>隐私列表页静置5min</t>
  </si>
  <si>
    <t>com.baidu.bodyguard</t>
  </si>
  <si>
    <t>静置前台5min</t>
  </si>
  <si>
    <t>使用应用5min</t>
  </si>
  <si>
    <t>随心拍</t>
  </si>
  <si>
    <t>消息中心</t>
  </si>
  <si>
    <t>com.baidu.xiaoduos.messageserver</t>
  </si>
  <si>
    <t>&lt;400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</si>
  <si>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</si>
  <si>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</si>
  <si>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</si>
  <si>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</si>
  <si>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</si>
  <si>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</si>
  <si>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</si>
  <si>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</si>
  <si>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</si>
  <si>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</si>
  <si>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</si>
  <si>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</si>
  <si>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</si>
  <si>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</si>
  <si>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</si>
  <si>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</si>
  <si>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</si>
  <si>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</si>
  <si>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</si>
  <si>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</si>
  <si>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</si>
  <si>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</si>
  <si>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</si>
  <si>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</si>
  <si>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</si>
  <si>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</si>
  <si>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</si>
  <si>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</si>
  <si>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</si>
  <si>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</si>
  <si>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</si>
  <si>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</si>
  <si>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</si>
  <si>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</si>
  <si>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</si>
  <si>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</si>
  <si>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</si>
  <si>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</si>
  <si>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</si>
  <si>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</si>
  <si>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</si>
  <si>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</si>
  <si>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</si>
  <si>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</si>
  <si>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</si>
  <si>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</si>
  <si>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</si>
  <si>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</si>
  <si>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</si>
  <si>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</si>
  <si>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</si>
  <si>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</si>
  <si>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</si>
  <si>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</si>
  <si>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</si>
  <si>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</si>
  <si>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</si>
  <si>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</si>
  <si>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</si>
  <si>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</si>
  <si>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</si>
  <si>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</si>
  <si>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</si>
  <si>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</si>
  <si>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</si>
  <si>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</si>
  <si>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</si>
  <si>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</si>
  <si>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</si>
  <si>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</si>
  <si>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</si>
  <si>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</si>
  <si>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</si>
  <si>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</si>
  <si>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</si>
  <si>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</si>
  <si>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</si>
  <si>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</si>
  <si>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</si>
  <si>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</si>
  <si>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</si>
  <si>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</si>
  <si>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</si>
  <si>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</si>
  <si>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</si>
  <si>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</si>
  <si>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</si>
  <si>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</si>
  <si>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</si>
  <si>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</si>
  <si>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</si>
  <si>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</si>
  <si>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</si>
  <si>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</si>
  <si>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</si>
  <si>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</si>
  <si>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</si>
  <si>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</si>
  <si>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</si>
  <si>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</si>
  <si>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</si>
  <si>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</si>
  <si>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</si>
  <si>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</si>
  <si>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</si>
  <si>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</si>
  <si>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</si>
  <si>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</si>
  <si>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</si>
  <si>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</si>
  <si>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</si>
  <si>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</si>
  <si>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</si>
  <si>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</si>
  <si>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</si>
  <si>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</si>
  <si>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</si>
  <si>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</si>
  <si>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</si>
  <si>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</si>
  <si>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</si>
  <si>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</si>
  <si>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</si>
  <si>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</si>
  <si>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</si>
  <si>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</si>
  <si>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</si>
  <si>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</si>
  <si>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</si>
  <si>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</si>
  <si>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</si>
  <si>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</si>
  <si>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</si>
  <si>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</si>
  <si>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</si>
  <si>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</si>
  <si>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</si>
  <si>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</si>
  <si>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</si>
  <si>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</si>
  <si>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</si>
  <si>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</si>
  <si>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</si>
  <si>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</si>
  <si>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</si>
  <si>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</si>
  <si>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</si>
  <si>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</si>
  <si>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</si>
  <si>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</si>
  <si>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</si>
  <si>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</si>
  <si>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</si>
  <si>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</si>
  <si>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</si>
  <si>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</si>
  <si>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</si>
  <si>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</si>
  <si>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</si>
  <si>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</si>
  <si>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</si>
  <si>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</si>
  <si>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</si>
  <si>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</si>
  <si>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</si>
  <si>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</si>
  <si>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</si>
  <si>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</si>
  <si>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</si>
  <si>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</si>
  <si>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</si>
  <si>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</si>
  <si>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</si>
  <si>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</si>
  <si>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</si>
  <si>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</si>
  <si>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</si>
  <si>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</si>
  <si>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</si>
  <si>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</si>
  <si>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</si>
  <si>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</si>
  <si>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</si>
  <si>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</si>
  <si>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</si>
  <si>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</si>
  <si>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</si>
  <si>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</si>
  <si>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</si>
  <si>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</si>
  <si>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</si>
  <si>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</si>
  <si>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</si>
  <si>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</si>
  <si>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</si>
  <si>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</si>
  <si>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</si>
  <si>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</si>
  <si>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</si>
  <si>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</si>
  <si>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</si>
  <si>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</si>
  <si>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</si>
  <si>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</si>
  <si>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</si>
  <si>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</si>
  <si>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</si>
  <si>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</si>
  <si>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</si>
  <si>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</si>
  <si>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</si>
  <si>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</si>
  <si>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</si>
  <si>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</si>
  <si>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</si>
  <si>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</si>
  <si>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</si>
  <si>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</si>
  <si>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</si>
  <si>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</si>
  <si>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</si>
  <si>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</si>
  <si>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</si>
  <si>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</si>
  <si>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</si>
  <si>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</si>
  <si>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</si>
  <si>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</si>
  <si>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224M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</si>
  <si>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</si>
  <si>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</si>
  <si>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</si>
  <si>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</si>
  <si>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</si>
  <si>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</si>
  <si>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</si>
  <si>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</si>
  <si>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</si>
  <si>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</si>
  <si>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</si>
  <si>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</si>
  <si>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</si>
  <si>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</si>
  <si>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</si>
  <si>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</si>
  <si>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</si>
  <si>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</si>
  <si>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</si>
  <si>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</si>
  <si>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</si>
  <si>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</si>
  <si>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</si>
  <si>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</si>
  <si>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</si>
  <si>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</si>
  <si>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</si>
  <si>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</si>
  <si>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</si>
  <si>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</si>
  <si>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</si>
  <si>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</si>
  <si>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</si>
  <si>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</si>
  <si>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</si>
  <si>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</si>
  <si>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</si>
  <si>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</si>
  <si>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</si>
  <si>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</si>
  <si>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</si>
  <si>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</si>
  <si>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</si>
  <si>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</si>
  <si>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</si>
  <si>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</si>
  <si>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</si>
  <si>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</si>
  <si>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</si>
  <si>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</si>
  <si>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</si>
  <si>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</si>
  <si>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</si>
  <si>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</si>
  <si>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73M</t>
  </si>
  <si>
    <t>79M</t>
  </si>
  <si>
    <t>/BaiduMapAuto/oat/arm</t>
  </si>
  <si>
    <t>/BaiduMapAuto/oat</t>
  </si>
  <si>
    <t>7.2M</t>
  </si>
  <si>
    <t>/BaiduMapAuto</t>
  </si>
  <si>
    <t>286M</t>
  </si>
  <si>
    <t>284M</t>
  </si>
  <si>
    <t>/BaiduSyncService/lib/arm64</t>
  </si>
  <si>
    <t>904K</t>
  </si>
  <si>
    <t>964K</t>
  </si>
  <si>
    <t>/BaiduSyncService/lib</t>
  </si>
  <si>
    <t>908K</t>
  </si>
  <si>
    <t>968K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</si>
  <si>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</si>
  <si>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</si>
  <si>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</si>
  <si>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</si>
  <si>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</si>
  <si>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</si>
  <si>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</si>
  <si>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</si>
  <si>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</si>
  <si>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</si>
  <si>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</si>
  <si>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</si>
  <si>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</si>
  <si>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</si>
  <si>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</si>
  <si>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</si>
  <si>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</si>
  <si>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2.6M</t>
  </si>
  <si>
    <t>2.9M</t>
  </si>
  <si>
    <t>/BluetoothService/oat</t>
  </si>
  <si>
    <t>/BluetoothService</t>
  </si>
  <si>
    <t>3.8M</t>
  </si>
  <si>
    <t>4.1M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</si>
  <si>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</si>
  <si>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</si>
  <si>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</si>
  <si>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</si>
  <si>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</si>
  <si>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</si>
  <si>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</si>
  <si>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</si>
  <si>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</si>
  <si>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</si>
  <si>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</si>
  <si>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</si>
  <si>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</si>
  <si>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</si>
  <si>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</si>
  <si>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</si>
  <si>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</si>
  <si>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</si>
  <si>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</si>
  <si>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</si>
  <si>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</si>
  <si>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</si>
  <si>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</si>
  <si>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</si>
  <si>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</si>
  <si>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</si>
  <si>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</si>
  <si>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</si>
  <si>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</si>
  <si>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2.2M</t>
  </si>
  <si>
    <t>/Car2Home/oat</t>
  </si>
  <si>
    <t>/Car2Home</t>
  </si>
  <si>
    <t>21M</t>
  </si>
  <si>
    <t>/CarLauncher/lib/arm64</t>
  </si>
  <si>
    <t>/CarLauncher/lib</t>
  </si>
  <si>
    <t>/CarLauncher/oat/arm64</t>
  </si>
  <si>
    <t>/CarLauncher/oat</t>
  </si>
  <si>
    <t>/CarLauncher</t>
  </si>
  <si>
    <t>337M</t>
  </si>
  <si>
    <t>341M</t>
  </si>
  <si>
    <t>/CarRadio/lib/arm64</t>
  </si>
  <si>
    <t>1.2M</t>
  </si>
  <si>
    <t>/CarRadio/lib</t>
  </si>
  <si>
    <t>/CarRadio/oat/arm64</t>
  </si>
  <si>
    <t>11M</t>
  </si>
  <si>
    <t>8.7M</t>
  </si>
  <si>
    <t>/CarRadio/oat</t>
  </si>
  <si>
    <t>/CarRadio</t>
  </si>
  <si>
    <t>52M</t>
  </si>
  <si>
    <t>50M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</si>
  <si>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</si>
  <si>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</si>
  <si>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</si>
  <si>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</si>
  <si>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</si>
  <si>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</si>
  <si>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</si>
  <si>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</si>
  <si>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</si>
  <si>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</si>
  <si>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</si>
  <si>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</si>
  <si>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</si>
  <si>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</si>
  <si>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</si>
  <si>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</si>
  <si>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</si>
  <si>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</si>
  <si>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</si>
  <si>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</si>
  <si>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</si>
  <si>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</si>
  <si>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</si>
  <si>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</si>
  <si>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</si>
  <si>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</si>
  <si>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</si>
  <si>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</si>
  <si>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</si>
  <si>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</si>
  <si>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</si>
  <si>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</si>
  <si>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</si>
  <si>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</si>
  <si>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</si>
  <si>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</si>
  <si>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16M</t>
  </si>
  <si>
    <t>13M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</si>
  <si>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</si>
  <si>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</si>
  <si>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</si>
  <si>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</si>
  <si>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</si>
  <si>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</si>
  <si>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</si>
  <si>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</si>
  <si>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</si>
  <si>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</si>
  <si>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</si>
  <si>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</si>
  <si>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</si>
  <si>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</si>
  <si>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</si>
  <si>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</si>
  <si>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</si>
  <si>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</si>
  <si>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</si>
  <si>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</si>
  <si>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</si>
  <si>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</si>
  <si>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</si>
  <si>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</si>
  <si>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10M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</si>
  <si>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</si>
  <si>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</si>
  <si>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</si>
  <si>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</si>
  <si>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</si>
  <si>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</si>
  <si>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</si>
  <si>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</si>
  <si>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</si>
  <si>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</si>
  <si>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</si>
  <si>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</si>
  <si>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</si>
  <si>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</si>
  <si>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</si>
  <si>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</si>
  <si>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</si>
  <si>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352M</t>
  </si>
  <si>
    <t>354M</t>
  </si>
  <si>
    <t>/DuerOSVideoPlayer/lib/arm</t>
  </si>
  <si>
    <t>/DuerOSVideoPlayer/lib</t>
  </si>
  <si>
    <t>/DuerOSVideoPlayer/oat/arm</t>
  </si>
  <si>
    <t>/DuerOSVideoPlayer/oat</t>
  </si>
  <si>
    <t>/DuerOSVideoPlayer</t>
  </si>
  <si>
    <t>67M</t>
  </si>
  <si>
    <t>/EManual/oat/arm64</t>
  </si>
  <si>
    <t>5.9M</t>
  </si>
  <si>
    <t>/EManual/oat</t>
  </si>
  <si>
    <t>/EManual</t>
  </si>
  <si>
    <t>23M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</si>
  <si>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</si>
  <si>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</si>
  <si>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</si>
  <si>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</si>
  <si>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</si>
  <si>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</si>
  <si>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</si>
  <si>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</si>
  <si>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</si>
  <si>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</si>
  <si>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</si>
  <si>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</si>
  <si>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</si>
  <si>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</si>
  <si>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</si>
  <si>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</si>
  <si>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</si>
  <si>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</si>
  <si>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</si>
  <si>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</si>
  <si>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</si>
  <si>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</si>
  <si>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</si>
  <si>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25M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</si>
  <si>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</si>
  <si>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</si>
  <si>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</si>
  <si>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</si>
  <si>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</si>
  <si>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</si>
  <si>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</si>
  <si>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</si>
  <si>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</si>
  <si>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</si>
  <si>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</si>
  <si>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</si>
  <si>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</si>
  <si>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</si>
  <si>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</si>
  <si>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</si>
  <si>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</si>
  <si>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</si>
  <si>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</si>
  <si>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</si>
  <si>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</si>
  <si>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</si>
  <si>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</si>
  <si>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</si>
  <si>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</si>
  <si>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31M</t>
  </si>
  <si>
    <t>34M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</si>
  <si>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</si>
  <si>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</si>
  <si>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</si>
  <si>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</si>
  <si>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</si>
  <si>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</si>
  <si>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</si>
  <si>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19M</t>
  </si>
  <si>
    <t>/FordCloudService/oat/arm64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</si>
  <si>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</si>
  <si>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</si>
  <si>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</si>
  <si>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</si>
  <si>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</si>
  <si>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</si>
  <si>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</si>
  <si>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</si>
  <si>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</si>
  <si>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</si>
  <si>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</si>
  <si>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</si>
  <si>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</si>
  <si>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</si>
  <si>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</si>
  <si>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</si>
  <si>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</si>
  <si>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</si>
  <si>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</si>
  <si>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</si>
  <si>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</si>
  <si>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</si>
  <si>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</si>
  <si>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</si>
  <si>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</si>
  <si>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</si>
  <si>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</si>
  <si>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</si>
  <si>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</si>
  <si>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</si>
  <si>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</si>
  <si>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</si>
  <si>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</si>
  <si>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</si>
  <si>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</si>
  <si>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</si>
  <si>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</si>
  <si>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</si>
  <si>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</si>
  <si>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</si>
  <si>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</si>
  <si>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</si>
  <si>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</si>
  <si>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</si>
  <si>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</si>
  <si>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</si>
  <si>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</si>
  <si>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</si>
  <si>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</si>
  <si>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</si>
  <si>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</si>
  <si>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</si>
  <si>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</si>
  <si>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</si>
  <si>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</si>
  <si>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</si>
  <si>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</si>
  <si>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</si>
  <si>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</si>
  <si>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</si>
  <si>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</si>
  <si>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</si>
  <si>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</si>
  <si>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</si>
  <si>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</si>
  <si>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</si>
  <si>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</si>
  <si>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</si>
  <si>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</si>
  <si>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</si>
  <si>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</si>
  <si>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</si>
  <si>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</si>
  <si>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</si>
  <si>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</si>
  <si>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</si>
  <si>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</si>
  <si>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</si>
  <si>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</si>
  <si>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</si>
  <si>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</si>
  <si>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</si>
  <si>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</si>
  <si>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</si>
  <si>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</si>
  <si>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</si>
  <si>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</si>
  <si>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</si>
  <si>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</si>
  <si>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</si>
  <si>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</si>
  <si>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4.8M</t>
  </si>
  <si>
    <t>/RVCSupport</t>
  </si>
  <si>
    <t>20M</t>
  </si>
  <si>
    <t>/RelaxMode/oat/arm64</t>
  </si>
  <si>
    <t>/RelaxMode/oat</t>
  </si>
  <si>
    <t>/RelaxMode</t>
  </si>
  <si>
    <t>32M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</si>
  <si>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</si>
  <si>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</si>
  <si>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</si>
  <si>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</si>
  <si>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</si>
  <si>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</si>
  <si>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</si>
  <si>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5.5M</t>
  </si>
  <si>
    <t>/SVBtPhone/oat</t>
  </si>
  <si>
    <t>/SVBtPhone</t>
  </si>
  <si>
    <t>/SVECall/oat/arm64</t>
  </si>
  <si>
    <t>/SVECall/oat</t>
  </si>
  <si>
    <t>/SVECall</t>
  </si>
  <si>
    <t>/SVHavc/lib/arm64</t>
  </si>
  <si>
    <t>3.0M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</si>
  <si>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</si>
  <si>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</si>
  <si>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</si>
  <si>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</si>
  <si>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</si>
  <si>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</si>
  <si>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</si>
  <si>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3.4M</t>
  </si>
  <si>
    <t>/SVSettings/lib</t>
  </si>
  <si>
    <t>/SVSettings/oat/arm64</t>
  </si>
  <si>
    <t>8.5M</t>
  </si>
  <si>
    <t>8.3M</t>
  </si>
  <si>
    <t>/SVSettings/oat</t>
  </si>
  <si>
    <t>/SVSettings</t>
  </si>
  <si>
    <t>298M</t>
  </si>
  <si>
    <t>296M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</si>
  <si>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</si>
  <si>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</si>
  <si>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</si>
  <si>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</si>
  <si>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</si>
  <si>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</si>
  <si>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</si>
  <si>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</si>
  <si>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</si>
  <si>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</si>
  <si>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</si>
  <si>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</si>
  <si>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</si>
  <si>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</si>
  <si>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</si>
  <si>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4.6M</t>
  </si>
  <si>
    <t>4.9M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</si>
  <si>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</si>
  <si>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</si>
  <si>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</si>
  <si>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</si>
  <si>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</si>
  <si>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</si>
  <si>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</si>
  <si>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</si>
  <si>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</si>
  <si>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</si>
  <si>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</si>
  <si>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9.2M</t>
  </si>
  <si>
    <t>/UserDictionaryProvider/oat/arm64</t>
  </si>
  <si>
    <t>/UserDictionaryProvider/oat</t>
  </si>
  <si>
    <t>/UserDictionaryProvider</t>
  </si>
  <si>
    <t>/V2ILite/oat/arm64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</si>
  <si>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</si>
  <si>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</si>
  <si>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</si>
  <si>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</si>
  <si>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</si>
  <si>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</si>
  <si>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</si>
  <si>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</si>
  <si>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</si>
  <si>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</si>
  <si>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</si>
  <si>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</si>
  <si>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</si>
  <si>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</si>
  <si>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</si>
  <si>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</si>
  <si>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</si>
  <si>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</si>
  <si>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</si>
  <si>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</si>
  <si>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</si>
  <si>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</si>
  <si>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</si>
  <si>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</si>
  <si>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</si>
  <si>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</si>
  <si>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</si>
  <si>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</si>
  <si>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</si>
  <si>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</si>
  <si>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</si>
  <si>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/calmScreen/oat</t>
  </si>
  <si>
    <t>/calmScreen</t>
  </si>
  <si>
    <t>76M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</si>
  <si>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</si>
  <si>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</si>
  <si>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</si>
  <si>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</si>
  <si>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</si>
  <si>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</si>
  <si>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</si>
  <si>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</si>
  <si>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</si>
  <si>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</si>
  <si>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</si>
  <si>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</si>
  <si>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</si>
  <si>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</si>
  <si>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</si>
  <si>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</si>
  <si>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</si>
  <si>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</si>
  <si>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</si>
  <si>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</si>
  <si>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rgb="FF000000"/>
        <rFont val="宋体"/>
        <charset val="134"/>
        <scheme val="minor"/>
      </rPr>
      <t>/</t>
    </r>
    <r>
      <rPr>
        <sz val="11"/>
        <color rgb="FF000000"/>
        <rFont val="宋体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</si>
  <si>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</si>
  <si>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</si>
  <si>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</si>
  <si>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</si>
  <si>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</si>
  <si>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</si>
  <si>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</si>
  <si>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</si>
  <si>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</si>
  <si>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</si>
  <si>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</si>
  <si>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</si>
  <si>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</si>
  <si>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</si>
  <si>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</si>
  <si>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</si>
  <si>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</si>
  <si>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</si>
  <si>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</si>
  <si>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</si>
  <si>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</si>
  <si>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</si>
  <si>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</si>
  <si>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</si>
  <si>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</si>
  <si>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</si>
  <si>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</si>
  <si>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</si>
  <si>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</si>
  <si>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</si>
  <si>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</si>
  <si>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</si>
  <si>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</si>
  <si>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</si>
  <si>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</si>
  <si>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</si>
  <si>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</si>
  <si>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</si>
  <si>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</si>
  <si>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</si>
  <si>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</si>
  <si>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 xml:space="preserve">   483mca
 5.0量产版本(R08)测试结果</t>
  </si>
  <si>
    <t>483
 5.0量产版本(R08)分值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</si>
  <si>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</si>
  <si>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</si>
  <si>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</si>
  <si>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</si>
  <si>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</si>
  <si>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</si>
  <si>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</si>
  <si>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</si>
  <si>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</si>
  <si>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</si>
  <si>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</si>
  <si>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 先打开地图勾选一次“下次不再提醒”，重新关机，再次开机
2. 在开机出现launcher后，立即（1s内）点击地图入口（录视频记录）
3. 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</si>
  <si>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</si>
  <si>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</si>
  <si>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</si>
  <si>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</si>
  <si>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</si>
  <si>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</si>
  <si>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</si>
  <si>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</si>
  <si>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</si>
  <si>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</si>
  <si>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</si>
  <si>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</si>
  <si>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</si>
  <si>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</si>
  <si>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</si>
  <si>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</si>
  <si>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</si>
  <si>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</si>
  <si>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</si>
  <si>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</si>
  <si>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1.txt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</si>
  <si>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</si>
  <si>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</si>
  <si>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</si>
  <si>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</si>
  <si>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</si>
  <si>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</si>
  <si>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</si>
  <si>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</si>
  <si>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</si>
  <si>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</si>
  <si>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</si>
  <si>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</si>
  <si>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</si>
  <si>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</si>
  <si>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</si>
  <si>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</si>
  <si>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</si>
  <si>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</si>
  <si>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</si>
  <si>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</si>
  <si>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</si>
  <si>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</si>
  <si>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</si>
  <si>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</si>
  <si>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</si>
  <si>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</si>
  <si>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1.进入地图，进行精确搜跨市POI
2.记录操作视频，逐帧分析从点击检索按钮到底图加载完成的时间</t>
  </si>
  <si>
    <t>1.进入地图，进行精确搜跨省POI
2.记录操作视频，逐帧分析从点击检索按钮到底图加载完成的时间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</si>
  <si>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</si>
  <si>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</si>
  <si>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</si>
  <si>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</si>
  <si>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</si>
  <si>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</si>
  <si>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</si>
  <si>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</si>
  <si>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</si>
  <si>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</si>
  <si>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</si>
  <si>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</si>
  <si>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</si>
  <si>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</si>
  <si>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</si>
  <si>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</si>
  <si>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</si>
  <si>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</si>
  <si>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</si>
  <si>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</si>
  <si>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</si>
  <si>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</si>
  <si>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</si>
  <si>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</si>
  <si>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</si>
  <si>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</si>
  <si>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</si>
  <si>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</si>
  <si>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</si>
  <si>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</si>
  <si>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</si>
  <si>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</si>
  <si>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</si>
  <si>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</si>
  <si>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</si>
  <si>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</si>
  <si>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</si>
  <si>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</si>
  <si>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</si>
  <si>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</si>
  <si>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N/A</t>
  </si>
  <si>
    <t>依赖实车</t>
  </si>
  <si>
    <t>总得分</t>
  </si>
  <si>
    <t>不计入性能评分</t>
  </si>
  <si>
    <t>百分比</t>
  </si>
  <si>
    <t>＜＝1%</t>
  </si>
  <si>
    <t>＜＝3%</t>
  </si>
  <si>
    <t>＜＝5%</t>
  </si>
  <si>
    <t>GB/T 19392-2013</t>
  </si>
  <si>
    <t>不要求每个版本测试</t>
  </si>
  <si>
    <t>＜＝8%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</si>
  <si>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</si>
  <si>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</si>
  <si>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</si>
  <si>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</si>
  <si>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</si>
  <si>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</si>
  <si>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</si>
  <si>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</si>
  <si>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</si>
  <si>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</si>
  <si>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</si>
  <si>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</si>
  <si>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</si>
  <si>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</si>
  <si>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</si>
  <si>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</si>
  <si>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</si>
  <si>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</si>
  <si>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</si>
  <si>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</si>
  <si>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</si>
  <si>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</si>
  <si>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</si>
  <si>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</si>
  <si>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</si>
  <si>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</si>
  <si>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</si>
  <si>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</si>
  <si>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</si>
  <si>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</si>
  <si>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</si>
  <si>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</si>
  <si>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</si>
  <si>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</si>
  <si>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</si>
  <si>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</si>
  <si>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</si>
  <si>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</si>
  <si>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</si>
  <si>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</si>
  <si>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</si>
  <si>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</si>
  <si>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</si>
  <si>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</si>
  <si>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</si>
  <si>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</si>
  <si>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</si>
  <si>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</si>
  <si>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</si>
  <si>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</si>
  <si>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</si>
  <si>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</si>
  <si>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</si>
  <si>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</si>
  <si>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</si>
  <si>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Filesystem            Size  Used Avail Use% Mounted on</t>
  </si>
  <si>
    <t>/dev/root             4.7G  3.8G  926M  81% /</t>
  </si>
  <si>
    <t>tmpfs                 3.7G  764K  3.7G   1% /dev</t>
  </si>
  <si>
    <t>/dev/block/mmcblk0p20 1.9G  1.0G  898M  54% /vendor</t>
  </si>
  <si>
    <t>tmpfs                 3.7G   40K  3.7G   1% /mnt</t>
  </si>
  <si>
    <t>/dev/block/mmcblk0p59  13G  1.2G   11G  10% /data</t>
  </si>
  <si>
    <t>/dev/block/mmcblk0p30  12M  4.0M  7.3M  36% /dsp</t>
  </si>
  <si>
    <t>/dev/block/mmcblk0p28  95M   32M   63M  34% /firmware</t>
  </si>
  <si>
    <t>/dev/block/mmcblk0p41 1.0G  112K  1.0G   1% /bt_firmware</t>
  </si>
  <si>
    <t>/dev/block/mmcblk0p55  12M  568K   11M   5% /cert</t>
  </si>
  <si>
    <t>/dev/block/mmcblk0p57  12M   40K   11M   1% /sec_log</t>
  </si>
  <si>
    <t>/dev/block/mmcblk0p58  29G  1.0G   28G   4% /map</t>
  </si>
  <si>
    <t>/dev/block/mmcblk0p47  27M  152K   27M   1% /persist</t>
  </si>
  <si>
    <t>/data/media            13G  1.2G   11G  10% /storage/emulated</t>
  </si>
  <si>
    <t>/mnt/media_rw/usb0     29G  1.4G   28G   6% /storage/usb0</t>
  </si>
  <si>
    <t>R09：</t>
  </si>
  <si>
    <t>Filesystem       Size   Used  Avail Capacity iused     ifree %iused  Mounted on
/dev/disk1s4s1  233Gi   12Gi   87Gi    13%  349475 912852480    0%   /
devfs           190Ki  190Ki    0Bi   100%     658         0  100%   /dev
/dev/disk1s2    233Gi  3.2Gi   87Gi     4%     934 912852480    0%   /System/Volumes/Preboot
/dev/disk1s6    233Gi  1.0Gi   87Gi     2%       2 912852480    0%   /System/Volumes/VM
/dev/disk1s5    233Gi   59Mi   87Gi     1%     654 912852480    0%   /System/Volumes/Update
/dev/disk1s1    233Gi  129Gi   87Gi    60%  898702 912852480    0%   /System/Volumes/Data
map auto_home     0Bi    0Bi    0Bi   100%       0         0  100%   /System/Volumes/Data/home
/dev/disk1s4    233Gi   12Gi   87Gi    13%  356052 912852480    0%   /System/Volumes/Update/mnt1
map -fstab        0Bi    0Bi    0Bi   100%       0         0  100%   /System/Volumes/Data/Network/Servers</t>
  </si>
  <si>
    <t>R10：</t>
  </si>
  <si>
    <t>R11：</t>
  </si>
  <si>
    <t>智能家居</t>
  </si>
  <si>
    <t>launcher单屏</t>
  </si>
  <si>
    <t>launcher双屏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</si>
</sst>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_ "/>
    <numFmt numFmtId="179" formatCode="0.0_);[Red]\(0.0\)"/>
  </numFmts>
  <fonts count="61">
    <font>
      <sz val="12"/>
      <name val="宋体"/>
      <charset val="134"/>
      <scheme val="minor"/>
    </font>
    <font>
      <sz val="9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  <scheme val="minor"/>
    </font>
    <font>
      <strike/>
      <sz val="10"/>
      <color rgb="FF000000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Segoe UI"/>
      <charset val="134"/>
    </font>
    <font>
      <b/>
      <sz val="14"/>
      <color rgb="FF000000"/>
      <name val="宋体"/>
      <charset val="134"/>
      <scheme val="minor"/>
    </font>
    <font>
      <sz val="10"/>
      <color rgb="FF000000"/>
      <name val="Microsoft YaHei"/>
      <charset val="134"/>
    </font>
    <font>
      <sz val="10.5"/>
      <color rgb="FF000000"/>
      <name val="宋体"/>
      <charset val="134"/>
      <scheme val="minor"/>
    </font>
    <font>
      <b/>
      <sz val="11"/>
      <color rgb="FF606266"/>
      <name val="宋体"/>
      <charset val="134"/>
      <scheme val="minor"/>
    </font>
    <font>
      <b/>
      <sz val="16"/>
      <color rgb="FF000000"/>
      <name val="Verdana Pro"/>
      <charset val="134"/>
    </font>
    <font>
      <sz val="16"/>
      <color rgb="FF000000"/>
      <name val="Verdana Pro"/>
      <charset val="134"/>
    </font>
    <font>
      <sz val="16"/>
      <color rgb="FF000000"/>
      <name val="微软雅黑"/>
      <charset val="134"/>
    </font>
    <font>
      <sz val="16"/>
      <color rgb="FF000000"/>
      <name val="Aharoni"/>
      <charset val="134"/>
    </font>
    <font>
      <b/>
      <sz val="16"/>
      <color rgb="FF000000"/>
      <name val="宋体"/>
      <charset val="134"/>
    </font>
    <font>
      <sz val="18"/>
      <color rgb="FF000000"/>
      <name val="Verdana Pro"/>
      <charset val="134"/>
    </font>
    <font>
      <sz val="16"/>
      <color rgb="FF000000"/>
      <name val="宋体"/>
      <charset val="134"/>
    </font>
    <font>
      <sz val="16"/>
      <name val="Aharoni"/>
      <charset val="134"/>
    </font>
    <font>
      <sz val="16"/>
      <name val="Verdana Pro"/>
      <charset val="134"/>
    </font>
    <font>
      <sz val="14"/>
      <color rgb="FF000000"/>
      <name val="Verdana Pro"/>
      <charset val="134"/>
    </font>
    <font>
      <sz val="16"/>
      <color rgb="FF000000"/>
      <name val="Verdana"/>
      <charset val="134"/>
    </font>
    <font>
      <sz val="16"/>
      <color rgb="FF000000"/>
      <name val="宋体"/>
      <charset val="134"/>
      <scheme val="minor"/>
    </font>
    <font>
      <sz val="16"/>
      <color rgb="FF000000"/>
      <name val="KaiTi"/>
      <charset val="134"/>
    </font>
    <font>
      <sz val="11"/>
      <color rgb="FF000000"/>
      <name val="Abadi"/>
      <charset val="134"/>
    </font>
    <font>
      <sz val="14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0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8E98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4" fillId="0" borderId="0" applyFont="0" applyFill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12" borderId="14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3" borderId="17" applyNumberFormat="0" applyAlignment="0" applyProtection="0">
      <alignment vertical="center"/>
    </xf>
    <xf numFmtId="0" fontId="44" fillId="14" borderId="18" applyNumberFormat="0" applyAlignment="0" applyProtection="0">
      <alignment vertical="center"/>
    </xf>
    <xf numFmtId="0" fontId="45" fillId="14" borderId="17" applyNumberFormat="0" applyAlignment="0" applyProtection="0">
      <alignment vertical="center"/>
    </xf>
    <xf numFmtId="0" fontId="46" fillId="15" borderId="19" applyNumberFormat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</cellStyleXfs>
  <cellXfs count="188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4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9" fontId="3" fillId="0" borderId="1" xfId="0" applyNumberFormat="1" applyFont="1" applyBorder="1">
      <alignment vertical="center"/>
    </xf>
    <xf numFmtId="0" fontId="5" fillId="3" borderId="2" xfId="0" applyNumberFormat="1" applyFont="1" applyFill="1" applyBorder="1" applyAlignment="1">
      <alignment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9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9" fontId="5" fillId="3" borderId="2" xfId="0" applyNumberFormat="1" applyFont="1" applyFill="1" applyBorder="1" applyAlignment="1">
      <alignment horizontal="center" wrapText="1"/>
    </xf>
    <xf numFmtId="0" fontId="5" fillId="3" borderId="2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left" vertical="center" wrapText="1"/>
    </xf>
    <xf numFmtId="0" fontId="6" fillId="4" borderId="2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wrapText="1"/>
    </xf>
    <xf numFmtId="0" fontId="5" fillId="0" borderId="0" xfId="0" applyNumberFormat="1" applyFont="1" applyBorder="1" applyAlignment="1">
      <alignment vertical="center" wrapText="1"/>
    </xf>
    <xf numFmtId="0" fontId="7" fillId="3" borderId="2" xfId="0" applyNumberFormat="1" applyFont="1" applyFill="1" applyBorder="1" applyAlignment="1">
      <alignment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5" fillId="0" borderId="2" xfId="0" applyNumberFormat="1" applyFont="1" applyBorder="1" applyAlignment="1">
      <alignment horizontal="right" vertical="center" wrapText="1"/>
    </xf>
    <xf numFmtId="0" fontId="5" fillId="3" borderId="2" xfId="0" applyNumberFormat="1" applyFont="1" applyFill="1" applyBorder="1" applyAlignment="1">
      <alignment horizontal="righ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5" borderId="2" xfId="0" applyNumberFormat="1" applyFont="1" applyFill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3" fillId="6" borderId="3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/>
    <xf numFmtId="0" fontId="4" fillId="6" borderId="6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/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9" fillId="8" borderId="1" xfId="0" applyFont="1" applyFill="1" applyBorder="1">
      <alignment vertical="center"/>
    </xf>
    <xf numFmtId="0" fontId="3" fillId="8" borderId="1" xfId="0" applyFont="1" applyFill="1" applyBorder="1" applyAlignment="1"/>
    <xf numFmtId="10" fontId="4" fillId="9" borderId="1" xfId="0" applyNumberFormat="1" applyFont="1" applyFill="1" applyBorder="1" applyAlignment="1"/>
    <xf numFmtId="49" fontId="4" fillId="9" borderId="1" xfId="0" applyNumberFormat="1" applyFont="1" applyFill="1" applyBorder="1" applyAlignment="1"/>
    <xf numFmtId="0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49" fontId="4" fillId="9" borderId="8" xfId="0" applyNumberFormat="1" applyFont="1" applyFill="1" applyBorder="1" applyAlignment="1"/>
    <xf numFmtId="0" fontId="12" fillId="0" borderId="2" xfId="0" applyNumberFormat="1" applyFont="1" applyBorder="1" applyAlignment="1">
      <alignment horizontal="left"/>
    </xf>
    <xf numFmtId="0" fontId="12" fillId="0" borderId="9" xfId="0" applyNumberFormat="1" applyFont="1" applyBorder="1" applyAlignment="1">
      <alignment horizontal="left"/>
    </xf>
    <xf numFmtId="0" fontId="12" fillId="0" borderId="10" xfId="0" applyNumberFormat="1" applyFont="1" applyBorder="1" applyAlignment="1">
      <alignment horizontal="left"/>
    </xf>
    <xf numFmtId="0" fontId="12" fillId="0" borderId="11" xfId="0" applyNumberFormat="1" applyFont="1" applyBorder="1" applyAlignment="1">
      <alignment horizontal="left"/>
    </xf>
    <xf numFmtId="0" fontId="3" fillId="3" borderId="1" xfId="0" applyNumberFormat="1" applyFont="1" applyFill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2" xfId="0" applyFont="1" applyBorder="1" applyAlignment="1"/>
    <xf numFmtId="0" fontId="13" fillId="0" borderId="1" xfId="0" applyFont="1" applyBorder="1" applyAlignment="1"/>
    <xf numFmtId="0" fontId="14" fillId="1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top" wrapText="1"/>
    </xf>
    <xf numFmtId="0" fontId="15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179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1" xfId="0" applyNumberFormat="1" applyFont="1" applyBorder="1" applyAlignment="1">
      <alignment horizontal="left" wrapText="1"/>
    </xf>
    <xf numFmtId="0" fontId="1" fillId="0" borderId="0" xfId="0" applyNumberFormat="1" applyFont="1" applyBorder="1" applyAlignment="1">
      <alignment horizontal="left" vertical="center"/>
    </xf>
    <xf numFmtId="0" fontId="12" fillId="0" borderId="10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3" fillId="0" borderId="6" xfId="0" applyNumberFormat="1" applyFont="1" applyBorder="1" applyAlignment="1">
      <alignment horizontal="left" wrapText="1"/>
    </xf>
    <xf numFmtId="0" fontId="18" fillId="11" borderId="1" xfId="0" applyFont="1" applyFill="1" applyBorder="1">
      <alignment vertical="center"/>
    </xf>
    <xf numFmtId="0" fontId="18" fillId="11" borderId="1" xfId="0" applyFont="1" applyFill="1" applyBorder="1" applyAlignment="1">
      <alignment horizontal="center" vertical="center" wrapText="1" readingOrder="1"/>
    </xf>
    <xf numFmtId="0" fontId="19" fillId="0" borderId="1" xfId="0" applyFont="1" applyBorder="1" applyAlignment="1"/>
    <xf numFmtId="0" fontId="19" fillId="0" borderId="1" xfId="0" applyNumberFormat="1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center" wrapText="1" readingOrder="1"/>
    </xf>
    <xf numFmtId="2" fontId="19" fillId="0" borderId="1" xfId="0" applyNumberFormat="1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wrapText="1" readingOrder="1"/>
    </xf>
    <xf numFmtId="2" fontId="19" fillId="0" borderId="1" xfId="0" applyNumberFormat="1" applyFont="1" applyBorder="1" applyAlignment="1">
      <alignment horizontal="left" wrapText="1" readingOrder="1"/>
    </xf>
    <xf numFmtId="0" fontId="19" fillId="0" borderId="1" xfId="0" applyFont="1" applyBorder="1" applyAlignment="1">
      <alignment wrapText="1"/>
    </xf>
    <xf numFmtId="2" fontId="19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horizontal="left" wrapText="1" readingOrder="1"/>
    </xf>
    <xf numFmtId="2" fontId="20" fillId="0" borderId="1" xfId="0" applyNumberFormat="1" applyFont="1" applyBorder="1" applyAlignment="1">
      <alignment horizontal="left" wrapText="1" readingOrder="1"/>
    </xf>
    <xf numFmtId="0" fontId="18" fillId="5" borderId="1" xfId="0" applyFont="1" applyFill="1" applyBorder="1" applyAlignment="1">
      <alignment horizontal="center" vertical="center" wrapText="1" readingOrder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vertical="center"/>
    </xf>
    <xf numFmtId="0" fontId="21" fillId="0" borderId="0" xfId="0" applyFont="1" applyBorder="1" applyAlignment="1"/>
    <xf numFmtId="0" fontId="19" fillId="0" borderId="1" xfId="0" applyNumberFormat="1" applyFont="1" applyBorder="1" applyAlignment="1">
      <alignment horizontal="left" vertical="center"/>
    </xf>
    <xf numFmtId="0" fontId="22" fillId="11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 readingOrder="1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wrapText="1"/>
    </xf>
    <xf numFmtId="0" fontId="21" fillId="0" borderId="1" xfId="0" applyFont="1" applyBorder="1" applyAlignment="1"/>
    <xf numFmtId="0" fontId="21" fillId="0" borderId="1" xfId="0" applyFont="1" applyBorder="1" applyAlignment="1">
      <alignment horizontal="left" vertical="center"/>
    </xf>
    <xf numFmtId="0" fontId="25" fillId="0" borderId="1" xfId="0" applyNumberFormat="1" applyFont="1" applyBorder="1" applyAlignment="1">
      <alignment horizontal="left" vertical="center" wrapText="1"/>
    </xf>
    <xf numFmtId="0" fontId="26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/>
    </xf>
    <xf numFmtId="0" fontId="25" fillId="0" borderId="1" xfId="0" applyNumberFormat="1" applyFont="1" applyBorder="1" applyAlignment="1">
      <alignment horizontal="left" wrapText="1"/>
    </xf>
    <xf numFmtId="0" fontId="21" fillId="0" borderId="1" xfId="0" applyNumberFormat="1" applyFont="1" applyBorder="1" applyAlignment="1">
      <alignment horizontal="left" vertical="center"/>
    </xf>
    <xf numFmtId="10" fontId="18" fillId="11" borderId="1" xfId="0" applyNumberFormat="1" applyFont="1" applyFill="1" applyBorder="1" applyAlignment="1">
      <alignment vertical="center" wrapText="1"/>
    </xf>
    <xf numFmtId="10" fontId="21" fillId="0" borderId="1" xfId="0" applyNumberFormat="1" applyFont="1" applyBorder="1" applyAlignment="1">
      <alignment horizontal="left"/>
    </xf>
    <xf numFmtId="0" fontId="21" fillId="0" borderId="1" xfId="0" applyNumberFormat="1" applyFont="1" applyBorder="1" applyAlignment="1"/>
    <xf numFmtId="2" fontId="19" fillId="0" borderId="1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wrapText="1"/>
    </xf>
    <xf numFmtId="49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0" fontId="19" fillId="0" borderId="1" xfId="0" applyNumberFormat="1" applyFont="1" applyBorder="1" applyAlignment="1">
      <alignment horizontal="left" vertical="center"/>
    </xf>
    <xf numFmtId="10" fontId="27" fillId="0" borderId="1" xfId="0" applyNumberFormat="1" applyFont="1" applyBorder="1" applyAlignment="1">
      <alignment horizontal="left" vertical="center" wrapText="1"/>
    </xf>
    <xf numFmtId="9" fontId="21" fillId="0" borderId="1" xfId="0" applyNumberFormat="1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 wrapText="1"/>
    </xf>
    <xf numFmtId="0" fontId="21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 vertical="center" wrapText="1"/>
    </xf>
    <xf numFmtId="0" fontId="29" fillId="0" borderId="0" xfId="0" applyFont="1" applyBorder="1" applyAlignment="1"/>
    <xf numFmtId="0" fontId="30" fillId="0" borderId="0" xfId="0" applyFont="1" applyBorder="1" applyAlignment="1"/>
    <xf numFmtId="0" fontId="30" fillId="0" borderId="0" xfId="0" applyFont="1" applyBorder="1" applyAlignment="1">
      <alignment horizontal="center" vertical="center"/>
    </xf>
    <xf numFmtId="0" fontId="19" fillId="0" borderId="3" xfId="0" applyFont="1" applyBorder="1" applyAlignment="1"/>
    <xf numFmtId="0" fontId="19" fillId="0" borderId="8" xfId="0" applyFont="1" applyBorder="1" applyAlignment="1"/>
    <xf numFmtId="0" fontId="19" fillId="0" borderId="6" xfId="0" applyFont="1" applyBorder="1" applyAlignment="1"/>
    <xf numFmtId="0" fontId="30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9" fillId="0" borderId="0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NumberFormat="1" applyFont="1" applyBorder="1" applyAlignment="1"/>
    <xf numFmtId="9" fontId="3" fillId="0" borderId="1" xfId="0" applyNumberFormat="1" applyFont="1" applyBorder="1" applyAlignment="1"/>
    <xf numFmtId="0" fontId="32" fillId="2" borderId="1" xfId="0" applyFont="1" applyFill="1" applyBorder="1" applyAlignment="1"/>
    <xf numFmtId="0" fontId="32" fillId="0" borderId="1" xfId="0" applyFont="1" applyBorder="1" applyAlignment="1"/>
    <xf numFmtId="0" fontId="3" fillId="0" borderId="1" xfId="0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3" fillId="0" borderId="0" xfId="0" applyNumberFormat="1" applyFont="1" applyBorder="1">
      <alignment vertical="center"/>
    </xf>
    <xf numFmtId="0" fontId="3" fillId="3" borderId="1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font>
        <color rgb="FFFF0000"/>
      </font>
      <fill>
        <patternFill patternType="solid"/>
      </fill>
    </dxf>
    <dxf>
      <font>
        <color rgb="FF2B2B2B"/>
      </font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91</xdr:row>
      <xdr:rowOff>25400</xdr:rowOff>
    </xdr:from>
    <xdr:to>
      <xdr:col>6</xdr:col>
      <xdr:colOff>317500</xdr:colOff>
      <xdr:row>98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3170" y="20688300"/>
          <a:ext cx="2783840" cy="15392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6</xdr:col>
      <xdr:colOff>330200</xdr:colOff>
      <xdr:row>29</xdr:row>
      <xdr:rowOff>139700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3170" y="4470400"/>
          <a:ext cx="2796540" cy="24739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6</xdr:col>
      <xdr:colOff>342900</xdr:colOff>
      <xdr:row>39</xdr:row>
      <xdr:rowOff>165100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3170" y="7028180"/>
          <a:ext cx="2809240" cy="217678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10</xdr:row>
      <xdr:rowOff>0</xdr:rowOff>
    </xdr:from>
    <xdr:to>
      <xdr:col>6</xdr:col>
      <xdr:colOff>279400</xdr:colOff>
      <xdr:row>19</xdr:row>
      <xdr:rowOff>127000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45870" y="2235200"/>
          <a:ext cx="2733040" cy="213868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0</xdr:row>
      <xdr:rowOff>12700</xdr:rowOff>
    </xdr:from>
    <xdr:to>
      <xdr:col>6</xdr:col>
      <xdr:colOff>330200</xdr:colOff>
      <xdr:row>9</xdr:row>
      <xdr:rowOff>139700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45870" y="12700"/>
          <a:ext cx="2783840" cy="21386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6</xdr:col>
      <xdr:colOff>292100</xdr:colOff>
      <xdr:row>72</xdr:row>
      <xdr:rowOff>127000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3170" y="14404340"/>
          <a:ext cx="2758440" cy="21386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6</xdr:col>
      <xdr:colOff>342900</xdr:colOff>
      <xdr:row>50</xdr:row>
      <xdr:rowOff>165100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33170" y="9486900"/>
          <a:ext cx="2809240" cy="21767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6</xdr:col>
      <xdr:colOff>317500</xdr:colOff>
      <xdr:row>61</xdr:row>
      <xdr:rowOff>165100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3170" y="11945620"/>
          <a:ext cx="2783840" cy="21767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6</xdr:col>
      <xdr:colOff>292100</xdr:colOff>
      <xdr:row>82</xdr:row>
      <xdr:rowOff>177800</xdr:rowOff>
    </xdr:to>
    <xdr:pic>
      <xdr:nvPicPr>
        <xdr:cNvPr id="10" name="Picture 1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33170" y="16639540"/>
          <a:ext cx="2758440" cy="21894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6</xdr:col>
      <xdr:colOff>330200</xdr:colOff>
      <xdr:row>91</xdr:row>
      <xdr:rowOff>12700</xdr:rowOff>
    </xdr:to>
    <xdr:pic>
      <xdr:nvPicPr>
        <xdr:cNvPr id="11" name="Picture 1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33170" y="19098260"/>
          <a:ext cx="2796540" cy="1577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"/>
    </sheetView>
  </sheetViews>
  <sheetFormatPr defaultColWidth="11" defaultRowHeight="17.6"/>
  <cols>
    <col min="1" max="1" width="54.1696428571429" customWidth="1"/>
    <col min="2" max="3" width="11" hidden="1" customWidth="1"/>
    <col min="4" max="4" width="20.6696428571429" customWidth="1"/>
    <col min="5" max="7" width="11" hidden="1" customWidth="1"/>
    <col min="8" max="9" width="20.6696428571429" customWidth="1"/>
    <col min="10" max="10" width="14" customWidth="1"/>
    <col min="11" max="11" width="10.1696428571429" customWidth="1"/>
    <col min="12" max="12" width="9.16964285714286" customWidth="1"/>
    <col min="13" max="13" width="12.5" customWidth="1"/>
    <col min="14" max="14" width="13" customWidth="1"/>
    <col min="15" max="15" width="8.83035714285714" customWidth="1"/>
    <col min="16" max="16" width="9.5" customWidth="1"/>
    <col min="17" max="18" width="17.8303571428571" customWidth="1"/>
  </cols>
  <sheetData>
    <row r="1" ht="18" customHeight="1" spans="1:18">
      <c r="A1" s="182" t="s">
        <v>0</v>
      </c>
      <c r="B1" s="182" t="s">
        <v>1</v>
      </c>
      <c r="C1" s="182" t="s">
        <v>2</v>
      </c>
      <c r="D1" s="182" t="s">
        <v>3</v>
      </c>
      <c r="E1" s="182" t="s">
        <v>4</v>
      </c>
      <c r="F1" s="182" t="s">
        <v>5</v>
      </c>
      <c r="G1" s="182" t="s">
        <v>6</v>
      </c>
      <c r="H1" s="182" t="s">
        <v>4</v>
      </c>
      <c r="I1" s="182" t="s">
        <v>5</v>
      </c>
      <c r="J1" s="182" t="s">
        <v>7</v>
      </c>
      <c r="K1" s="43"/>
      <c r="L1" s="43"/>
      <c r="M1" s="43"/>
      <c r="N1" s="43"/>
      <c r="O1" s="43"/>
      <c r="P1" s="43"/>
      <c r="Q1" s="43"/>
      <c r="R1" s="43"/>
    </row>
    <row r="2" ht="18" customHeight="1" spans="1:18">
      <c r="A2" s="183" t="s">
        <v>8</v>
      </c>
      <c r="B2" s="38"/>
      <c r="C2" s="38"/>
      <c r="D2" s="184" t="s">
        <v>9</v>
      </c>
      <c r="E2" s="184"/>
      <c r="F2" s="184"/>
      <c r="G2" s="184"/>
      <c r="H2" s="184" t="s">
        <v>9</v>
      </c>
      <c r="I2" s="184" t="s">
        <v>9</v>
      </c>
      <c r="J2" s="184" t="s">
        <v>10</v>
      </c>
      <c r="K2" s="43"/>
      <c r="L2" s="43"/>
      <c r="M2" s="43"/>
      <c r="N2" s="43"/>
      <c r="O2" s="43"/>
      <c r="P2" s="43"/>
      <c r="Q2" s="43"/>
      <c r="R2" s="43"/>
    </row>
    <row r="3" ht="18" customHeight="1" spans="1:18">
      <c r="A3" s="183" t="s">
        <v>11</v>
      </c>
      <c r="B3" s="38"/>
      <c r="C3" s="38"/>
      <c r="D3" s="184" t="s">
        <v>9</v>
      </c>
      <c r="E3" s="184"/>
      <c r="F3" s="184"/>
      <c r="G3" s="184"/>
      <c r="H3" s="184" t="s">
        <v>9</v>
      </c>
      <c r="I3" s="184" t="s">
        <v>9</v>
      </c>
      <c r="J3" s="184" t="s">
        <v>10</v>
      </c>
      <c r="K3" s="43"/>
      <c r="L3" s="43"/>
      <c r="M3" s="43"/>
      <c r="N3" s="43"/>
      <c r="O3" s="43"/>
      <c r="P3" s="43"/>
      <c r="Q3" s="43"/>
      <c r="R3" s="43"/>
    </row>
    <row r="4" ht="18" customHeight="1" spans="1:18">
      <c r="A4" s="183" t="s">
        <v>12</v>
      </c>
      <c r="B4" s="38"/>
      <c r="C4" s="38"/>
      <c r="D4" s="184">
        <f>(14.67+15.44+15.174)/3</f>
        <v>15.0946666666667</v>
      </c>
      <c r="E4" s="184"/>
      <c r="F4" s="184"/>
      <c r="G4" s="184"/>
      <c r="H4" s="185">
        <v>14.692</v>
      </c>
      <c r="I4" s="185">
        <v>16.863</v>
      </c>
      <c r="J4" s="184"/>
      <c r="K4" s="43"/>
      <c r="L4" s="43"/>
      <c r="M4" s="43"/>
      <c r="N4" s="43"/>
      <c r="O4" s="43"/>
      <c r="P4" s="43"/>
      <c r="Q4" s="43"/>
      <c r="R4" s="43"/>
    </row>
    <row r="5" ht="18" customHeight="1" spans="1:18">
      <c r="A5" s="183" t="s">
        <v>13</v>
      </c>
      <c r="B5" s="38"/>
      <c r="C5" s="38"/>
      <c r="D5" s="184">
        <f>(4.78+5.247+4.753)/3</f>
        <v>4.92666666666667</v>
      </c>
      <c r="E5" s="184"/>
      <c r="F5" s="184"/>
      <c r="G5" s="184"/>
      <c r="H5" s="184">
        <f>(5.247+5.715+5.1)/3</f>
        <v>5.354</v>
      </c>
      <c r="I5" s="185">
        <v>5.086</v>
      </c>
      <c r="J5" s="184"/>
      <c r="K5" s="43"/>
      <c r="L5" s="43"/>
      <c r="M5" s="43"/>
      <c r="N5" s="43"/>
      <c r="O5" s="43"/>
      <c r="P5" s="43"/>
      <c r="Q5" s="43"/>
      <c r="R5" s="43"/>
    </row>
    <row r="6" ht="18" customHeight="1" spans="1:18">
      <c r="A6" s="183" t="s">
        <v>14</v>
      </c>
      <c r="B6" s="38"/>
      <c r="C6" s="38"/>
      <c r="D6" s="184" t="s">
        <v>9</v>
      </c>
      <c r="E6" s="184"/>
      <c r="F6" s="184"/>
      <c r="G6" s="184"/>
      <c r="H6" s="184" t="s">
        <v>9</v>
      </c>
      <c r="I6" s="184" t="s">
        <v>9</v>
      </c>
      <c r="J6" s="184" t="s">
        <v>15</v>
      </c>
      <c r="K6" s="43"/>
      <c r="L6" s="43"/>
      <c r="M6" s="43"/>
      <c r="N6" s="43"/>
      <c r="O6" s="43"/>
      <c r="P6" s="43"/>
      <c r="Q6" s="43"/>
      <c r="R6" s="43"/>
    </row>
    <row r="7" ht="18" customHeight="1" spans="1:18">
      <c r="A7" s="183" t="s">
        <v>16</v>
      </c>
      <c r="B7" s="38"/>
      <c r="C7" s="38"/>
      <c r="D7" s="184" t="s">
        <v>9</v>
      </c>
      <c r="E7" s="184"/>
      <c r="F7" s="184"/>
      <c r="G7" s="184"/>
      <c r="H7" s="184" t="s">
        <v>9</v>
      </c>
      <c r="I7" s="184" t="s">
        <v>9</v>
      </c>
      <c r="J7" s="184" t="s">
        <v>15</v>
      </c>
      <c r="K7" s="43"/>
      <c r="L7" s="43"/>
      <c r="M7" s="43"/>
      <c r="N7" s="43"/>
      <c r="O7" s="43"/>
      <c r="P7" s="43"/>
      <c r="Q7" s="43"/>
      <c r="R7" s="43"/>
    </row>
    <row r="8" ht="18" customHeight="1" spans="1:18">
      <c r="A8" s="183" t="s">
        <v>17</v>
      </c>
      <c r="B8" s="38"/>
      <c r="C8" s="38"/>
      <c r="D8" s="185">
        <v>11.7</v>
      </c>
      <c r="E8" s="184"/>
      <c r="F8" s="184"/>
      <c r="G8" s="184"/>
      <c r="H8" s="184">
        <f>(10.033+9.266+11.02)/3</f>
        <v>10.1063333333333</v>
      </c>
      <c r="I8" s="184">
        <f>(12.64+10.168+12.02)/3</f>
        <v>11.6093333333333</v>
      </c>
      <c r="J8" s="184"/>
      <c r="K8" s="43"/>
      <c r="L8" s="43"/>
      <c r="M8" s="43"/>
      <c r="N8" s="43"/>
      <c r="O8" s="43"/>
      <c r="P8" s="43"/>
      <c r="Q8" s="43"/>
      <c r="R8" s="43"/>
    </row>
    <row r="9" ht="18" customHeight="1" spans="1:18">
      <c r="A9" s="183" t="s">
        <v>18</v>
      </c>
      <c r="B9" s="38"/>
      <c r="C9" s="38"/>
      <c r="D9" s="185">
        <v>5.037</v>
      </c>
      <c r="E9" s="184"/>
      <c r="F9" s="184"/>
      <c r="G9" s="184"/>
      <c r="H9" s="184">
        <f>(4.4+5.6+4.887)/3</f>
        <v>4.96233333333333</v>
      </c>
      <c r="I9" s="184">
        <f>(4.997+4.68+5.02)/3</f>
        <v>4.899</v>
      </c>
      <c r="J9" s="184"/>
      <c r="K9" s="43"/>
      <c r="L9" s="43"/>
      <c r="M9" s="43"/>
      <c r="N9" s="43"/>
      <c r="O9" s="43"/>
      <c r="P9" s="43"/>
      <c r="Q9" s="43"/>
      <c r="R9" s="43"/>
    </row>
    <row r="10" ht="18" customHeight="1" spans="1:18">
      <c r="A10" s="183" t="s">
        <v>19</v>
      </c>
      <c r="B10" s="38"/>
      <c r="C10" s="38"/>
      <c r="D10" s="184" t="s">
        <v>9</v>
      </c>
      <c r="E10" s="184"/>
      <c r="F10" s="184"/>
      <c r="G10" s="184"/>
      <c r="H10" s="184" t="s">
        <v>9</v>
      </c>
      <c r="I10" s="184" t="s">
        <v>9</v>
      </c>
      <c r="J10" s="184" t="s">
        <v>10</v>
      </c>
      <c r="K10" s="43"/>
      <c r="L10" s="43"/>
      <c r="M10" s="43"/>
      <c r="N10" s="43"/>
      <c r="O10" s="43"/>
      <c r="P10" s="43"/>
      <c r="Q10" s="43"/>
      <c r="R10" s="43"/>
    </row>
    <row r="11" ht="18" customHeight="1" spans="1:18">
      <c r="A11" s="183" t="s">
        <v>20</v>
      </c>
      <c r="B11" s="38"/>
      <c r="C11" s="38"/>
      <c r="D11" s="184">
        <f>(6.317+6.45+5.4)/3</f>
        <v>6.05566666666667</v>
      </c>
      <c r="E11" s="184"/>
      <c r="F11" s="184"/>
      <c r="G11" s="184"/>
      <c r="H11" s="184">
        <f>(7.72+7.386+7.5)/3</f>
        <v>7.53533333333333</v>
      </c>
      <c r="I11" s="187">
        <f>(4.267+7.207+5.39)/3</f>
        <v>5.62133333333333</v>
      </c>
      <c r="J11" s="184"/>
      <c r="K11" s="43"/>
      <c r="L11" s="43"/>
      <c r="M11" s="43"/>
      <c r="N11" s="43"/>
      <c r="O11" s="43"/>
      <c r="P11" s="43"/>
      <c r="Q11" s="43"/>
      <c r="R11" s="43"/>
    </row>
    <row r="12" ht="18" customHeight="1" spans="1:18">
      <c r="A12" s="183" t="s">
        <v>21</v>
      </c>
      <c r="B12" s="38"/>
      <c r="C12" s="38"/>
      <c r="D12" s="184">
        <f>(1.463+1.489+1.331)/3</f>
        <v>1.42766666666667</v>
      </c>
      <c r="E12" s="184"/>
      <c r="F12" s="184"/>
      <c r="G12" s="184"/>
      <c r="H12" s="184">
        <f>(2.967+2.333+2.634)/3</f>
        <v>2.64466666666667</v>
      </c>
      <c r="I12" s="184">
        <f>(1.333+2.767+2.4)/3</f>
        <v>2.16666666666667</v>
      </c>
      <c r="J12" s="184"/>
      <c r="K12" s="43"/>
      <c r="L12" s="43"/>
      <c r="M12" s="43"/>
      <c r="N12" s="43"/>
      <c r="O12" s="43"/>
      <c r="P12" s="43"/>
      <c r="Q12" s="43"/>
      <c r="R12" s="43"/>
    </row>
    <row r="13" ht="18" customHeight="1" spans="1:18">
      <c r="A13" s="183" t="s">
        <v>22</v>
      </c>
      <c r="B13" s="38"/>
      <c r="C13" s="38"/>
      <c r="D13" s="184" t="s">
        <v>9</v>
      </c>
      <c r="E13" s="184"/>
      <c r="F13" s="184"/>
      <c r="G13" s="184"/>
      <c r="H13" s="184" t="s">
        <v>9</v>
      </c>
      <c r="I13" s="184" t="s">
        <v>9</v>
      </c>
      <c r="J13" s="184" t="s">
        <v>10</v>
      </c>
      <c r="K13" s="43"/>
      <c r="L13" s="43"/>
      <c r="M13" s="43"/>
      <c r="N13" s="43"/>
      <c r="O13" s="43"/>
      <c r="P13" s="43"/>
      <c r="Q13" s="43"/>
      <c r="R13" s="43"/>
    </row>
    <row r="14" ht="18" customHeight="1" spans="1:18">
      <c r="A14" s="183" t="s">
        <v>23</v>
      </c>
      <c r="B14" s="38"/>
      <c r="C14" s="38"/>
      <c r="D14" s="184" t="s">
        <v>9</v>
      </c>
      <c r="E14" s="184"/>
      <c r="F14" s="184"/>
      <c r="G14" s="184"/>
      <c r="H14" s="184" t="s">
        <v>9</v>
      </c>
      <c r="I14" s="184" t="s">
        <v>9</v>
      </c>
      <c r="J14" s="184" t="s">
        <v>15</v>
      </c>
      <c r="K14" s="43"/>
      <c r="L14" s="43"/>
      <c r="M14" s="43"/>
      <c r="N14" s="43"/>
      <c r="O14" s="43"/>
      <c r="P14" s="43"/>
      <c r="Q14" s="43"/>
      <c r="R14" s="43"/>
    </row>
    <row r="15" ht="18" customHeight="1" spans="1:18">
      <c r="A15" s="183" t="s">
        <v>24</v>
      </c>
      <c r="B15" s="38"/>
      <c r="C15" s="38"/>
      <c r="D15" s="184" t="s">
        <v>9</v>
      </c>
      <c r="E15" s="184"/>
      <c r="F15" s="184"/>
      <c r="G15" s="184"/>
      <c r="H15" s="184" t="s">
        <v>9</v>
      </c>
      <c r="I15" s="184" t="s">
        <v>9</v>
      </c>
      <c r="J15" s="184" t="s">
        <v>15</v>
      </c>
      <c r="K15" s="43"/>
      <c r="L15" s="43"/>
      <c r="M15" s="43"/>
      <c r="N15" s="43"/>
      <c r="O15" s="43"/>
      <c r="P15" s="43"/>
      <c r="Q15" s="43"/>
      <c r="R15" s="43"/>
    </row>
    <row r="16" ht="18" customHeight="1" spans="1:18">
      <c r="A16" s="183" t="s">
        <v>25</v>
      </c>
      <c r="B16" s="38"/>
      <c r="C16" s="38"/>
      <c r="D16" s="184" t="s">
        <v>9</v>
      </c>
      <c r="E16" s="184"/>
      <c r="F16" s="184"/>
      <c r="G16" s="184"/>
      <c r="H16" s="184" t="s">
        <v>9</v>
      </c>
      <c r="I16" s="184" t="s">
        <v>9</v>
      </c>
      <c r="J16" s="184" t="s">
        <v>15</v>
      </c>
      <c r="K16" s="43"/>
      <c r="L16" s="43"/>
      <c r="M16" s="43"/>
      <c r="N16" s="43"/>
      <c r="O16" s="43"/>
      <c r="P16" s="43"/>
      <c r="Q16" s="43"/>
      <c r="R16" s="43"/>
    </row>
    <row r="17" ht="18" customHeight="1" spans="1:18">
      <c r="A17" s="183" t="s">
        <v>26</v>
      </c>
      <c r="B17" s="38"/>
      <c r="C17" s="38"/>
      <c r="D17" s="184" t="s">
        <v>9</v>
      </c>
      <c r="E17" s="184"/>
      <c r="F17" s="184"/>
      <c r="G17" s="184"/>
      <c r="H17" s="184" t="s">
        <v>9</v>
      </c>
      <c r="I17" s="184" t="s">
        <v>9</v>
      </c>
      <c r="J17" s="184" t="s">
        <v>15</v>
      </c>
      <c r="K17" s="43"/>
      <c r="L17" s="43"/>
      <c r="M17" s="43"/>
      <c r="N17" s="43"/>
      <c r="O17" s="43"/>
      <c r="P17" s="43"/>
      <c r="Q17" s="43"/>
      <c r="R17" s="43"/>
    </row>
    <row r="18" spans="1:18">
      <c r="A18" s="43"/>
      <c r="B18" s="43"/>
      <c r="C18" s="43"/>
      <c r="D18" s="186"/>
      <c r="E18" s="186"/>
      <c r="F18" s="186"/>
      <c r="G18" s="186"/>
      <c r="H18" s="186"/>
      <c r="I18" s="186"/>
      <c r="J18" s="186"/>
      <c r="K18" s="43"/>
      <c r="L18" s="43"/>
      <c r="M18" s="43"/>
      <c r="N18" s="43"/>
      <c r="O18" s="43"/>
      <c r="P18" s="43"/>
      <c r="Q18" s="43"/>
      <c r="R18" s="43"/>
    </row>
    <row r="19" spans="1:18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18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1:18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</row>
    <row r="31" spans="1:18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 spans="1:18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1:18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1:18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1:18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</row>
    <row r="36" spans="1:18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</row>
    <row r="37" spans="1:18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1:1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1:18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1:18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1:18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18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1:18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1:18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1:18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1:18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1:18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</row>
    <row r="51" spans="1:18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1:18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1:1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</row>
    <row r="59" spans="1:18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1:18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</row>
    <row r="61" spans="1:18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spans="1:18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1:18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1:18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</row>
    <row r="68" spans="1:1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1:18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1:18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1:18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1:18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1:18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18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1:18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1:18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1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18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18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1:18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1:18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1:18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1:18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</row>
    <row r="86" spans="1:18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1:18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1:1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1:18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1:18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1:18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1:18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1:18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1:18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</row>
    <row r="95" spans="1:18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18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18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1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</row>
    <row r="99" spans="1:18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1:18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18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1:18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1:18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1:18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1:18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1:18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1:1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1:18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1:18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1:18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1:18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1:18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1:18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1:18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1:18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spans="1:18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1: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1:18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1:18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1:18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1:18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1:18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1:18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1:18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</row>
    <row r="126" spans="1:18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1:18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8" spans="1:1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</row>
    <row r="129" spans="1:18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</row>
    <row r="130" spans="1:18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1:18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</row>
    <row r="132" spans="1:18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1:18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1:18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1:18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1:18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1:18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1:1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1:18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1:18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1:18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1:18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1:18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1:18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1:18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1:18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</row>
    <row r="148" spans="1:1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1:18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1:18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1:18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1:18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1:18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1:18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1:18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1:18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</row>
    <row r="157" spans="1:18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1:1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59" spans="1:18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</row>
    <row r="160" spans="1:18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</row>
    <row r="161" spans="1:18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1:18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</row>
    <row r="163" spans="1:18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1:18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1:18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1:18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1:18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1:1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1:18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1:18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1:18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1:18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1:18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1:18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1:18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1:18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1:18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1:18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1:18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1:18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1:18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1:18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1:18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1:18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1:18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1:1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1:18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1:18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</sheetData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7.6"/>
  <cols>
    <col min="1" max="1" width="8.66964285714286" customWidth="1"/>
    <col min="2" max="2" width="16" customWidth="1"/>
    <col min="3" max="3" width="59.8303571428571" customWidth="1"/>
    <col min="4" max="4" width="11.8303571428571" customWidth="1"/>
    <col min="5" max="34" width="11" hidden="1" customWidth="1"/>
    <col min="35" max="35" width="12" customWidth="1"/>
    <col min="36" max="36" width="8.66964285714286" customWidth="1"/>
    <col min="37" max="37" width="14" customWidth="1"/>
    <col min="38" max="38" width="13.8303571428571" customWidth="1"/>
    <col min="39" max="40" width="8.66964285714286" customWidth="1"/>
  </cols>
  <sheetData>
    <row r="1" spans="2:40">
      <c r="B1" s="43"/>
      <c r="C1" s="43"/>
      <c r="D1" s="43"/>
      <c r="E1" s="177" t="s">
        <v>27</v>
      </c>
      <c r="F1" s="177"/>
      <c r="G1" s="177"/>
      <c r="H1" s="177"/>
      <c r="I1" s="177"/>
      <c r="J1" s="177"/>
      <c r="K1" s="177" t="s">
        <v>28</v>
      </c>
      <c r="L1" s="177"/>
      <c r="M1" s="177"/>
      <c r="N1" s="177"/>
      <c r="O1" s="177"/>
      <c r="P1" s="177"/>
      <c r="Q1" s="177" t="s">
        <v>29</v>
      </c>
      <c r="R1" s="177"/>
      <c r="S1" s="177"/>
      <c r="T1" s="177"/>
      <c r="U1" s="177"/>
      <c r="V1" s="177"/>
      <c r="W1" s="177" t="s">
        <v>30</v>
      </c>
      <c r="X1" s="177"/>
      <c r="Y1" s="177"/>
      <c r="Z1" s="177"/>
      <c r="AA1" s="177"/>
      <c r="AB1" s="177"/>
      <c r="AC1" s="177" t="s">
        <v>31</v>
      </c>
      <c r="AD1" s="177"/>
      <c r="AE1" s="177"/>
      <c r="AF1" s="177"/>
      <c r="AG1" s="177"/>
      <c r="AH1" s="177"/>
      <c r="AI1" s="177" t="s">
        <v>32</v>
      </c>
      <c r="AJ1" s="177"/>
      <c r="AK1" s="177"/>
      <c r="AL1" s="177"/>
      <c r="AM1" s="177"/>
      <c r="AN1" s="177"/>
    </row>
    <row r="2" spans="1:40">
      <c r="A2" s="45" t="s">
        <v>33</v>
      </c>
      <c r="B2" s="45" t="s">
        <v>34</v>
      </c>
      <c r="C2" s="45" t="s">
        <v>35</v>
      </c>
      <c r="D2" s="45" t="s">
        <v>36</v>
      </c>
      <c r="E2" s="178" t="s">
        <v>37</v>
      </c>
      <c r="F2" s="178" t="s">
        <v>38</v>
      </c>
      <c r="G2" s="178" t="s">
        <v>39</v>
      </c>
      <c r="H2" s="178" t="s">
        <v>40</v>
      </c>
      <c r="I2" s="178" t="s">
        <v>41</v>
      </c>
      <c r="J2" s="178" t="s">
        <v>42</v>
      </c>
      <c r="K2" s="178" t="s">
        <v>37</v>
      </c>
      <c r="L2" s="178" t="s">
        <v>38</v>
      </c>
      <c r="M2" s="178" t="s">
        <v>39</v>
      </c>
      <c r="N2" s="178" t="s">
        <v>40</v>
      </c>
      <c r="O2" s="178" t="s">
        <v>41</v>
      </c>
      <c r="P2" s="178" t="s">
        <v>42</v>
      </c>
      <c r="Q2" s="179" t="s">
        <v>37</v>
      </c>
      <c r="R2" s="179" t="s">
        <v>38</v>
      </c>
      <c r="S2" s="179" t="s">
        <v>39</v>
      </c>
      <c r="T2" s="179" t="s">
        <v>40</v>
      </c>
      <c r="U2" s="179" t="s">
        <v>41</v>
      </c>
      <c r="V2" s="179" t="s">
        <v>42</v>
      </c>
      <c r="W2" s="179" t="s">
        <v>37</v>
      </c>
      <c r="X2" s="179" t="s">
        <v>38</v>
      </c>
      <c r="Y2" s="179" t="s">
        <v>39</v>
      </c>
      <c r="Z2" s="179" t="s">
        <v>40</v>
      </c>
      <c r="AA2" s="179" t="s">
        <v>41</v>
      </c>
      <c r="AB2" s="179" t="s">
        <v>42</v>
      </c>
      <c r="AC2" s="179" t="s">
        <v>37</v>
      </c>
      <c r="AD2" s="179" t="s">
        <v>38</v>
      </c>
      <c r="AE2" s="179" t="s">
        <v>39</v>
      </c>
      <c r="AF2" s="179" t="s">
        <v>40</v>
      </c>
      <c r="AG2" s="179" t="s">
        <v>41</v>
      </c>
      <c r="AH2" s="179" t="s">
        <v>42</v>
      </c>
      <c r="AI2" s="179" t="s">
        <v>37</v>
      </c>
      <c r="AJ2" s="179" t="s">
        <v>38</v>
      </c>
      <c r="AK2" s="179" t="s">
        <v>39</v>
      </c>
      <c r="AL2" s="179" t="s">
        <v>40</v>
      </c>
      <c r="AM2" s="179" t="s">
        <v>41</v>
      </c>
      <c r="AN2" s="179" t="s">
        <v>42</v>
      </c>
    </row>
    <row r="3" spans="1:40">
      <c r="A3" s="38" t="s">
        <v>33</v>
      </c>
      <c r="B3" s="46" t="s">
        <v>43</v>
      </c>
      <c r="C3" s="38" t="s">
        <v>44</v>
      </c>
      <c r="D3" s="38" t="s">
        <v>45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>
        <f>(83+95+90)/3</f>
        <v>89.3333333333333</v>
      </c>
      <c r="X3" s="180">
        <v>83</v>
      </c>
      <c r="Y3" s="38">
        <f>(4649128+4626917+462180)/3</f>
        <v>3246075</v>
      </c>
      <c r="Z3" s="180">
        <v>462180</v>
      </c>
      <c r="AA3" s="38">
        <f>(13+8+10)/3</f>
        <v>10.3333333333333</v>
      </c>
      <c r="AB3" s="180">
        <v>8</v>
      </c>
      <c r="AC3" s="181">
        <v>2.27</v>
      </c>
      <c r="AD3" s="181">
        <v>1.45</v>
      </c>
      <c r="AE3" s="180">
        <v>3915836</v>
      </c>
      <c r="AF3" s="180">
        <v>3506600</v>
      </c>
      <c r="AG3" s="180">
        <v>6</v>
      </c>
      <c r="AH3" s="180">
        <v>0</v>
      </c>
      <c r="AI3" s="180">
        <v>68.1428571428571</v>
      </c>
      <c r="AJ3" s="180">
        <v>2</v>
      </c>
      <c r="AK3" s="180">
        <v>4693.14770507812</v>
      </c>
      <c r="AL3" s="180">
        <v>4639.28125</v>
      </c>
      <c r="AM3" s="180">
        <v>82.435294117647</v>
      </c>
      <c r="AN3" s="180">
        <v>22</v>
      </c>
    </row>
    <row r="4" spans="1:40">
      <c r="A4" s="38" t="s">
        <v>33</v>
      </c>
      <c r="B4" s="46" t="s">
        <v>43</v>
      </c>
      <c r="C4" s="38" t="s">
        <v>46</v>
      </c>
      <c r="D4" s="38" t="s">
        <v>45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>
        <f>(155+141+139)/3</f>
        <v>145</v>
      </c>
      <c r="X4" s="180">
        <v>139</v>
      </c>
      <c r="Y4" s="38">
        <f>(3565841+3565841+3554549)/3</f>
        <v>3562077</v>
      </c>
      <c r="Z4" s="180">
        <v>3554549</v>
      </c>
      <c r="AA4" s="38">
        <f>(57+60+50)/3</f>
        <v>55.6666666666667</v>
      </c>
      <c r="AB4" s="180">
        <v>50</v>
      </c>
      <c r="AC4" s="181">
        <v>1.55</v>
      </c>
      <c r="AD4" s="181">
        <v>1.34</v>
      </c>
      <c r="AE4" s="180">
        <v>2153433</v>
      </c>
      <c r="AF4" s="180">
        <v>1652822</v>
      </c>
      <c r="AG4" s="180">
        <v>27</v>
      </c>
      <c r="AH4" s="180">
        <v>21</v>
      </c>
      <c r="AI4" s="180">
        <v>10.8930481283422</v>
      </c>
      <c r="AJ4" s="180">
        <v>0</v>
      </c>
      <c r="AK4" s="180">
        <v>3489.81341145833</v>
      </c>
      <c r="AL4" s="180">
        <v>3413.91015625</v>
      </c>
      <c r="AM4" s="180">
        <v>74.6304347826086</v>
      </c>
      <c r="AN4" s="180">
        <v>46</v>
      </c>
    </row>
    <row r="5" spans="1:40">
      <c r="A5" s="38" t="s">
        <v>33</v>
      </c>
      <c r="B5" s="46" t="s">
        <v>43</v>
      </c>
      <c r="C5" s="38" t="s">
        <v>47</v>
      </c>
      <c r="D5" s="38" t="s">
        <v>45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>
        <f>(140+145+128)/3</f>
        <v>137.666666666667</v>
      </c>
      <c r="X5" s="180">
        <v>128</v>
      </c>
      <c r="Y5" s="38">
        <f>(3762061+3763655+3763202)/3</f>
        <v>3762972.66666667</v>
      </c>
      <c r="Z5" s="180">
        <v>3762061</v>
      </c>
      <c r="AA5" s="38">
        <f>(27+58+57)/3</f>
        <v>47.3333333333333</v>
      </c>
      <c r="AB5" s="180">
        <v>27</v>
      </c>
      <c r="AC5" s="181">
        <v>1.49</v>
      </c>
      <c r="AD5" s="181">
        <v>1.11</v>
      </c>
      <c r="AE5" s="180">
        <v>2396537</v>
      </c>
      <c r="AF5" s="180">
        <v>1988761</v>
      </c>
      <c r="AG5" s="180">
        <v>31</v>
      </c>
      <c r="AH5" s="180">
        <v>19</v>
      </c>
      <c r="AI5" s="180">
        <v>7.25</v>
      </c>
      <c r="AJ5" s="180">
        <v>0</v>
      </c>
      <c r="AK5" s="180">
        <v>3232.40134447674</v>
      </c>
      <c r="AL5" s="180">
        <v>3174.818359375</v>
      </c>
      <c r="AM5" s="180">
        <v>74.2340425531914</v>
      </c>
      <c r="AN5" s="180">
        <v>50</v>
      </c>
    </row>
    <row r="6" spans="1:40">
      <c r="A6" s="38" t="s">
        <v>33</v>
      </c>
      <c r="B6" s="46" t="s">
        <v>43</v>
      </c>
      <c r="C6" s="38" t="s">
        <v>48</v>
      </c>
      <c r="D6" s="38" t="s">
        <v>45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>
        <f>(211+212+186)/3</f>
        <v>203</v>
      </c>
      <c r="X6" s="180">
        <v>186</v>
      </c>
      <c r="Y6" s="38">
        <f>(4138299+4134628+4095909)/3</f>
        <v>4122945.33333333</v>
      </c>
      <c r="Z6" s="180">
        <v>4095909</v>
      </c>
      <c r="AA6" s="38">
        <f>(34+33+32)/3</f>
        <v>33</v>
      </c>
      <c r="AB6" s="180">
        <v>32</v>
      </c>
      <c r="AC6" s="181">
        <v>1.92</v>
      </c>
      <c r="AD6" s="181">
        <v>0.89</v>
      </c>
      <c r="AE6" s="180">
        <v>3302104</v>
      </c>
      <c r="AF6" s="180">
        <v>3186964</v>
      </c>
      <c r="AG6" s="180">
        <v>26</v>
      </c>
      <c r="AH6" s="180">
        <v>2</v>
      </c>
      <c r="AI6" s="180">
        <v>31.9935064935064</v>
      </c>
      <c r="AJ6" s="180">
        <v>1</v>
      </c>
      <c r="AK6" s="180">
        <v>4206.71674053485</v>
      </c>
      <c r="AL6" s="180">
        <v>4077.916015625</v>
      </c>
      <c r="AM6" s="180">
        <v>76.3018867924528</v>
      </c>
      <c r="AN6" s="180">
        <v>62</v>
      </c>
    </row>
    <row r="7" spans="1:40">
      <c r="A7" s="38" t="s">
        <v>33</v>
      </c>
      <c r="B7" s="46" t="s">
        <v>43</v>
      </c>
      <c r="C7" s="38" t="s">
        <v>49</v>
      </c>
      <c r="D7" s="38" t="s">
        <v>45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>
        <f>(110+117+118)/3</f>
        <v>115</v>
      </c>
      <c r="X7" s="180">
        <v>110</v>
      </c>
      <c r="Y7" s="38">
        <f>(4399606+4292335+4299555)/3</f>
        <v>4330498.66666667</v>
      </c>
      <c r="Z7" s="180">
        <v>4292335</v>
      </c>
      <c r="AA7" s="38">
        <f>(28+45+61)/3</f>
        <v>44.6666666666667</v>
      </c>
      <c r="AB7" s="180">
        <v>28</v>
      </c>
      <c r="AC7" s="181">
        <v>2.01</v>
      </c>
      <c r="AD7" s="181">
        <v>0.7</v>
      </c>
      <c r="AE7" s="180">
        <v>3125509</v>
      </c>
      <c r="AF7" s="180">
        <v>2966201</v>
      </c>
      <c r="AG7" s="180">
        <v>9</v>
      </c>
      <c r="AH7" s="180">
        <v>1</v>
      </c>
      <c r="AI7" s="180">
        <v>23.9574468085106</v>
      </c>
      <c r="AJ7" s="180">
        <v>0</v>
      </c>
      <c r="AK7" s="180">
        <v>4201.16412550403</v>
      </c>
      <c r="AL7" s="180">
        <v>4099.087890625</v>
      </c>
      <c r="AM7" s="180">
        <v>74.7419354838709</v>
      </c>
      <c r="AN7" s="180">
        <v>47</v>
      </c>
    </row>
    <row r="8" spans="1:40">
      <c r="A8" s="38" t="s">
        <v>33</v>
      </c>
      <c r="B8" s="46" t="s">
        <v>43</v>
      </c>
      <c r="C8" s="38" t="s">
        <v>50</v>
      </c>
      <c r="D8" s="38" t="s">
        <v>45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>
        <f>(97+104+89)/3</f>
        <v>96.6666666666667</v>
      </c>
      <c r="X8" s="180">
        <v>89</v>
      </c>
      <c r="Y8" s="38">
        <f>(4392332+4656544+4464690)/3</f>
        <v>4504522</v>
      </c>
      <c r="Z8" s="180">
        <v>4392332</v>
      </c>
      <c r="AA8" s="38">
        <f>(11+20+12)/3</f>
        <v>14.3333333333333</v>
      </c>
      <c r="AB8" s="180">
        <v>11</v>
      </c>
      <c r="AC8" s="181">
        <v>1.78</v>
      </c>
      <c r="AD8" s="181">
        <v>0.53</v>
      </c>
      <c r="AE8" s="180">
        <v>2933779</v>
      </c>
      <c r="AF8" s="180">
        <v>2502520</v>
      </c>
      <c r="AG8" s="180">
        <v>28</v>
      </c>
      <c r="AH8" s="180">
        <v>0</v>
      </c>
      <c r="AI8" s="180">
        <v>16.0259067357512</v>
      </c>
      <c r="AJ8" s="180">
        <v>0</v>
      </c>
      <c r="AK8" s="180">
        <v>3250.69256449854</v>
      </c>
      <c r="AL8" s="180">
        <v>3123.208984375</v>
      </c>
      <c r="AM8" s="180">
        <v>73.9803921568627</v>
      </c>
      <c r="AN8" s="180">
        <v>46</v>
      </c>
    </row>
    <row r="9" spans="1:40">
      <c r="A9" s="38" t="s">
        <v>33</v>
      </c>
      <c r="B9" s="38" t="s">
        <v>51</v>
      </c>
      <c r="C9" s="38" t="s">
        <v>52</v>
      </c>
      <c r="D9" s="38" t="s">
        <v>45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>
      <c r="A10" s="38" t="s">
        <v>33</v>
      </c>
      <c r="B10" s="38" t="s">
        <v>51</v>
      </c>
      <c r="C10" s="38" t="s">
        <v>53</v>
      </c>
      <c r="D10" s="38" t="s">
        <v>45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>
      <c r="A11" s="38" t="s">
        <v>33</v>
      </c>
      <c r="B11" s="38" t="s">
        <v>51</v>
      </c>
      <c r="C11" s="38" t="s">
        <v>54</v>
      </c>
      <c r="D11" s="38" t="s">
        <v>45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>
      <c r="A12" s="38" t="s">
        <v>33</v>
      </c>
      <c r="B12" s="38" t="s">
        <v>51</v>
      </c>
      <c r="C12" s="38" t="s">
        <v>55</v>
      </c>
      <c r="D12" s="38" t="s">
        <v>45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>
      <c r="A13" s="38" t="s">
        <v>33</v>
      </c>
      <c r="B13" s="38" t="s">
        <v>51</v>
      </c>
      <c r="C13" s="38" t="s">
        <v>56</v>
      </c>
      <c r="D13" s="38" t="s">
        <v>45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4" spans="1:40">
      <c r="A14" s="38" t="s">
        <v>33</v>
      </c>
      <c r="B14" s="38" t="s">
        <v>51</v>
      </c>
      <c r="C14" s="38" t="s">
        <v>57</v>
      </c>
      <c r="D14" s="38" t="s">
        <v>45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</row>
    <row r="15" ht="32" spans="1:40">
      <c r="A15" s="38" t="s">
        <v>33</v>
      </c>
      <c r="B15" s="38" t="s">
        <v>58</v>
      </c>
      <c r="C15" s="176" t="s">
        <v>59</v>
      </c>
      <c r="D15" s="38" t="s">
        <v>45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</row>
    <row r="16" spans="1:40">
      <c r="A16" s="38" t="s">
        <v>33</v>
      </c>
      <c r="B16" s="38" t="s">
        <v>58</v>
      </c>
      <c r="C16" s="176" t="s">
        <v>60</v>
      </c>
      <c r="D16" s="38" t="s">
        <v>45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40">
      <c r="A17" s="38" t="s">
        <v>33</v>
      </c>
      <c r="B17" s="38" t="s">
        <v>58</v>
      </c>
      <c r="C17" s="176" t="s">
        <v>61</v>
      </c>
      <c r="D17" s="38" t="s">
        <v>45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>
      <c r="A18" s="38" t="s">
        <v>33</v>
      </c>
      <c r="B18" s="38" t="s">
        <v>58</v>
      </c>
      <c r="C18" s="176" t="s">
        <v>62</v>
      </c>
      <c r="D18" s="38" t="s">
        <v>45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ht="34" spans="1:40">
      <c r="A19" s="38" t="s">
        <v>33</v>
      </c>
      <c r="B19" s="38" t="s">
        <v>58</v>
      </c>
      <c r="C19" s="176" t="s">
        <v>63</v>
      </c>
      <c r="D19" s="38" t="s">
        <v>45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T200"/>
  <sheetViews>
    <sheetView tabSelected="1" zoomScale="50" zoomScaleNormal="50" workbookViewId="0">
      <pane ySplit="1" topLeftCell="A2" activePane="bottomLeft" state="frozen"/>
      <selection/>
      <selection pane="bottomLeft" activeCell="AS50" sqref="AS50"/>
    </sheetView>
  </sheetViews>
  <sheetFormatPr defaultColWidth="11" defaultRowHeight="17.6"/>
  <cols>
    <col min="1" max="2" width="11" hidden="1" customWidth="1"/>
    <col min="3" max="3" width="22" customWidth="1"/>
    <col min="4" max="4" width="11" hidden="1" customWidth="1"/>
    <col min="5" max="5" width="49.8303571428571" customWidth="1"/>
    <col min="6" max="6" width="61.8303571428571" customWidth="1"/>
    <col min="7" max="35" width="11" hidden="1" customWidth="1"/>
    <col min="36" max="36" width="26" customWidth="1"/>
    <col min="37" max="40" width="11" hidden="1" customWidth="1"/>
    <col min="41" max="42" width="26" customWidth="1"/>
    <col min="43" max="43" width="25.6696428571429" customWidth="1"/>
    <col min="44" max="44" width="21.1696428571429" customWidth="1"/>
    <col min="45" max="45" width="15.8303571428571" customWidth="1"/>
    <col min="46" max="46" width="255.642857142857" customWidth="1"/>
  </cols>
  <sheetData>
    <row r="1" ht="59" customHeight="1" spans="1:46">
      <c r="A1" s="113" t="s">
        <v>64</v>
      </c>
      <c r="B1" s="113" t="s">
        <v>65</v>
      </c>
      <c r="C1" s="113" t="s">
        <v>33</v>
      </c>
      <c r="D1" s="114" t="s">
        <v>66</v>
      </c>
      <c r="E1" s="114" t="s">
        <v>67</v>
      </c>
      <c r="F1" s="114" t="s">
        <v>68</v>
      </c>
      <c r="G1" s="114" t="s">
        <v>69</v>
      </c>
      <c r="H1" s="114" t="s">
        <v>70</v>
      </c>
      <c r="I1" s="125" t="s">
        <v>71</v>
      </c>
      <c r="J1" s="125" t="s">
        <v>72</v>
      </c>
      <c r="K1" s="126" t="s">
        <v>73</v>
      </c>
      <c r="L1" s="126"/>
      <c r="M1" s="126" t="s">
        <v>74</v>
      </c>
      <c r="N1" s="126" t="s">
        <v>75</v>
      </c>
      <c r="O1" s="126" t="s">
        <v>76</v>
      </c>
      <c r="P1" s="126" t="s">
        <v>77</v>
      </c>
      <c r="Q1" s="126" t="s">
        <v>78</v>
      </c>
      <c r="R1" s="126" t="s">
        <v>79</v>
      </c>
      <c r="S1" s="126" t="s">
        <v>80</v>
      </c>
      <c r="T1" s="126" t="s">
        <v>81</v>
      </c>
      <c r="U1" s="126" t="s">
        <v>82</v>
      </c>
      <c r="V1" s="134" t="s">
        <v>83</v>
      </c>
      <c r="W1" s="134" t="s">
        <v>84</v>
      </c>
      <c r="X1" s="134" t="s">
        <v>85</v>
      </c>
      <c r="Y1" s="134" t="s">
        <v>86</v>
      </c>
      <c r="Z1" s="134" t="s">
        <v>87</v>
      </c>
      <c r="AA1" s="134" t="s">
        <v>88</v>
      </c>
      <c r="AB1" s="126" t="s">
        <v>89</v>
      </c>
      <c r="AC1" s="126" t="s">
        <v>90</v>
      </c>
      <c r="AD1" s="126" t="s">
        <v>91</v>
      </c>
      <c r="AE1" s="126" t="s">
        <v>92</v>
      </c>
      <c r="AF1" s="126" t="s">
        <v>93</v>
      </c>
      <c r="AG1" s="137" t="s">
        <v>94</v>
      </c>
      <c r="AH1" s="138" t="s">
        <v>95</v>
      </c>
      <c r="AI1" s="138" t="s">
        <v>96</v>
      </c>
      <c r="AJ1" s="138" t="s">
        <v>36</v>
      </c>
      <c r="AK1" s="138" t="s">
        <v>97</v>
      </c>
      <c r="AL1" s="138" t="s">
        <v>27</v>
      </c>
      <c r="AM1" s="138" t="s">
        <v>28</v>
      </c>
      <c r="AN1" s="138" t="s">
        <v>29</v>
      </c>
      <c r="AO1" s="138" t="s">
        <v>98</v>
      </c>
      <c r="AP1" s="137" t="s">
        <v>30</v>
      </c>
      <c r="AQ1" s="137" t="s">
        <v>31</v>
      </c>
      <c r="AR1" s="138" t="s">
        <v>32</v>
      </c>
      <c r="AS1" s="148" t="s">
        <v>99</v>
      </c>
      <c r="AT1" s="138" t="s">
        <v>100</v>
      </c>
    </row>
    <row r="2" ht="82" hidden="1" customHeight="1" spans="1:46">
      <c r="A2" s="115" t="s">
        <v>101</v>
      </c>
      <c r="B2" s="115" t="s">
        <v>102</v>
      </c>
      <c r="C2" s="115" t="s">
        <v>103</v>
      </c>
      <c r="D2" s="116">
        <v>1</v>
      </c>
      <c r="E2" s="117" t="s">
        <v>104</v>
      </c>
      <c r="F2" s="117" t="s">
        <v>104</v>
      </c>
      <c r="G2" s="118">
        <v>9.32</v>
      </c>
      <c r="H2" s="118">
        <v>8.73066666666667</v>
      </c>
      <c r="I2" s="118">
        <v>13.91</v>
      </c>
      <c r="J2" s="118">
        <v>14.033</v>
      </c>
      <c r="K2" s="127">
        <v>1</v>
      </c>
      <c r="L2" s="128"/>
      <c r="M2" s="128"/>
      <c r="N2" s="128" t="s">
        <v>105</v>
      </c>
      <c r="O2" s="128">
        <f t="shared" ref="O2:O13" si="0">R2*1.6</f>
        <v>11.2</v>
      </c>
      <c r="P2" s="128">
        <f t="shared" ref="P2:P13" si="1">R2*1.4</f>
        <v>9.8</v>
      </c>
      <c r="Q2" s="127">
        <v>8.4</v>
      </c>
      <c r="R2" s="127">
        <v>7</v>
      </c>
      <c r="S2" s="128">
        <f t="shared" ref="S2:S13" si="2">R2*0.8</f>
        <v>5.6</v>
      </c>
      <c r="T2" s="128" t="s">
        <v>106</v>
      </c>
      <c r="U2" s="128" t="s">
        <v>107</v>
      </c>
      <c r="V2" s="135" t="s">
        <v>108</v>
      </c>
      <c r="W2" s="135" t="s">
        <v>109</v>
      </c>
      <c r="X2" s="136" t="s">
        <v>110</v>
      </c>
      <c r="Y2" s="135"/>
      <c r="Z2" s="135"/>
      <c r="AA2" s="135"/>
      <c r="AB2" s="128"/>
      <c r="AC2" s="128"/>
      <c r="AD2" s="127">
        <v>8.5</v>
      </c>
      <c r="AE2" s="128"/>
      <c r="AF2" s="128" t="s">
        <v>111</v>
      </c>
      <c r="AG2" s="139"/>
      <c r="AH2" s="139" t="s">
        <v>112</v>
      </c>
      <c r="AI2" s="121" t="s">
        <v>113</v>
      </c>
      <c r="AJ2" s="115" t="s">
        <v>114</v>
      </c>
      <c r="AK2" s="115"/>
      <c r="AL2" s="115"/>
      <c r="AM2" s="115"/>
      <c r="AN2" s="115"/>
      <c r="AO2" s="115"/>
      <c r="AP2" s="115"/>
      <c r="AQ2" s="141"/>
      <c r="AR2" s="141"/>
      <c r="AS2" s="141"/>
      <c r="AT2" s="141"/>
    </row>
    <row r="3" ht="115" hidden="1" customHeight="1" spans="1:46">
      <c r="A3" s="115" t="s">
        <v>101</v>
      </c>
      <c r="B3" s="115" t="s">
        <v>102</v>
      </c>
      <c r="C3" s="115" t="s">
        <v>103</v>
      </c>
      <c r="D3" s="116">
        <v>2</v>
      </c>
      <c r="E3" s="117" t="s">
        <v>8</v>
      </c>
      <c r="F3" s="117" t="s">
        <v>8</v>
      </c>
      <c r="G3" s="118">
        <v>8.71333333333333</v>
      </c>
      <c r="H3" s="118">
        <v>8.8072</v>
      </c>
      <c r="I3" s="118">
        <v>14.3066666666667</v>
      </c>
      <c r="J3" s="118">
        <v>6.9936</v>
      </c>
      <c r="K3" s="127">
        <v>1</v>
      </c>
      <c r="L3" s="128"/>
      <c r="M3" s="128"/>
      <c r="N3" s="128"/>
      <c r="O3" s="128">
        <f t="shared" si="0"/>
        <v>10.4</v>
      </c>
      <c r="P3" s="128">
        <f t="shared" si="1"/>
        <v>9.1</v>
      </c>
      <c r="Q3" s="128">
        <f t="shared" ref="Q3:Q9" si="3">R3*1.2</f>
        <v>7.8</v>
      </c>
      <c r="R3" s="127">
        <v>6.5</v>
      </c>
      <c r="S3" s="128">
        <f t="shared" si="2"/>
        <v>5.2</v>
      </c>
      <c r="T3" s="128"/>
      <c r="U3" s="128" t="s">
        <v>115</v>
      </c>
      <c r="V3" s="135" t="s">
        <v>108</v>
      </c>
      <c r="W3" s="135" t="s">
        <v>109</v>
      </c>
      <c r="X3" s="136" t="s">
        <v>110</v>
      </c>
      <c r="Y3" s="135"/>
      <c r="Z3" s="135"/>
      <c r="AA3" s="135"/>
      <c r="AB3" s="128"/>
      <c r="AC3" s="128"/>
      <c r="AD3" s="127">
        <v>1.9</v>
      </c>
      <c r="AE3" s="128"/>
      <c r="AF3" s="128" t="s">
        <v>111</v>
      </c>
      <c r="AG3" s="139"/>
      <c r="AH3" s="139" t="s">
        <v>116</v>
      </c>
      <c r="AI3" s="121" t="s">
        <v>117</v>
      </c>
      <c r="AJ3" s="115" t="s">
        <v>114</v>
      </c>
      <c r="AK3" s="115"/>
      <c r="AL3" s="115"/>
      <c r="AM3" s="115"/>
      <c r="AN3" s="115"/>
      <c r="AO3" s="115"/>
      <c r="AP3" s="115"/>
      <c r="AQ3" s="141"/>
      <c r="AR3" s="141"/>
      <c r="AS3" s="141"/>
      <c r="AT3" s="141"/>
    </row>
    <row r="4" ht="59" hidden="1" customHeight="1" spans="1:46">
      <c r="A4" s="115" t="s">
        <v>101</v>
      </c>
      <c r="B4" s="115" t="s">
        <v>102</v>
      </c>
      <c r="C4" s="115" t="s">
        <v>103</v>
      </c>
      <c r="D4" s="116">
        <v>3</v>
      </c>
      <c r="E4" s="117" t="s">
        <v>12</v>
      </c>
      <c r="F4" s="117" t="s">
        <v>12</v>
      </c>
      <c r="G4" s="118">
        <v>23.0066666666667</v>
      </c>
      <c r="H4" s="118">
        <v>21.7736666666667</v>
      </c>
      <c r="I4" s="118">
        <v>25.4166666666667</v>
      </c>
      <c r="J4" s="118">
        <v>24.8983333333333</v>
      </c>
      <c r="K4" s="127">
        <v>1</v>
      </c>
      <c r="L4" s="128"/>
      <c r="M4" s="128" t="s">
        <v>105</v>
      </c>
      <c r="N4" s="128" t="s">
        <v>105</v>
      </c>
      <c r="O4" s="128">
        <f t="shared" si="0"/>
        <v>32</v>
      </c>
      <c r="P4" s="128">
        <f t="shared" si="1"/>
        <v>28</v>
      </c>
      <c r="Q4" s="128">
        <f t="shared" si="3"/>
        <v>24</v>
      </c>
      <c r="R4" s="127">
        <v>20</v>
      </c>
      <c r="S4" s="128">
        <f t="shared" si="2"/>
        <v>16</v>
      </c>
      <c r="T4" s="128" t="s">
        <v>118</v>
      </c>
      <c r="U4" s="128" t="s">
        <v>119</v>
      </c>
      <c r="V4" s="135" t="s">
        <v>108</v>
      </c>
      <c r="W4" s="135" t="s">
        <v>109</v>
      </c>
      <c r="X4" s="136" t="s">
        <v>110</v>
      </c>
      <c r="Y4" s="135"/>
      <c r="Z4" s="135"/>
      <c r="AA4" s="135"/>
      <c r="AB4" s="128"/>
      <c r="AC4" s="128"/>
      <c r="AD4" s="127">
        <v>17.6</v>
      </c>
      <c r="AE4" s="128"/>
      <c r="AF4" s="128" t="s">
        <v>111</v>
      </c>
      <c r="AG4" s="139"/>
      <c r="AH4" s="139" t="s">
        <v>112</v>
      </c>
      <c r="AI4" s="121" t="s">
        <v>120</v>
      </c>
      <c r="AJ4" s="115" t="s">
        <v>114</v>
      </c>
      <c r="AK4" s="115"/>
      <c r="AL4" s="115"/>
      <c r="AM4" s="115"/>
      <c r="AN4" s="115"/>
      <c r="AO4" s="115"/>
      <c r="AP4" s="115"/>
      <c r="AQ4" s="141"/>
      <c r="AR4" s="141"/>
      <c r="AS4" s="141"/>
      <c r="AT4" s="141"/>
    </row>
    <row r="5" ht="59" hidden="1" customHeight="1" spans="1:46">
      <c r="A5" s="115" t="s">
        <v>101</v>
      </c>
      <c r="B5" s="115" t="s">
        <v>102</v>
      </c>
      <c r="C5" s="115" t="s">
        <v>103</v>
      </c>
      <c r="D5" s="116">
        <v>4</v>
      </c>
      <c r="E5" s="117" t="s">
        <v>121</v>
      </c>
      <c r="F5" s="117" t="s">
        <v>122</v>
      </c>
      <c r="G5" s="118">
        <v>9.45333333333333</v>
      </c>
      <c r="H5" s="118">
        <v>6.09733333333333</v>
      </c>
      <c r="I5" s="118">
        <v>8.15666666666667</v>
      </c>
      <c r="J5" s="118">
        <v>5.294</v>
      </c>
      <c r="K5" s="127">
        <v>1</v>
      </c>
      <c r="L5" s="128"/>
      <c r="M5" s="128"/>
      <c r="N5" s="128" t="s">
        <v>105</v>
      </c>
      <c r="O5" s="128">
        <f t="shared" si="0"/>
        <v>16</v>
      </c>
      <c r="P5" s="128">
        <f t="shared" si="1"/>
        <v>14</v>
      </c>
      <c r="Q5" s="128">
        <f t="shared" si="3"/>
        <v>12</v>
      </c>
      <c r="R5" s="127">
        <v>10</v>
      </c>
      <c r="S5" s="128">
        <f t="shared" si="2"/>
        <v>8</v>
      </c>
      <c r="T5" s="128" t="s">
        <v>118</v>
      </c>
      <c r="U5" s="128" t="s">
        <v>123</v>
      </c>
      <c r="V5" s="135" t="s">
        <v>124</v>
      </c>
      <c r="W5" s="135" t="s">
        <v>109</v>
      </c>
      <c r="X5" s="135"/>
      <c r="Y5" s="135"/>
      <c r="Z5" s="135"/>
      <c r="AA5" s="135"/>
      <c r="AB5" s="128"/>
      <c r="AC5" s="128"/>
      <c r="AD5" s="127">
        <v>1.3</v>
      </c>
      <c r="AE5" s="128"/>
      <c r="AF5" s="128" t="s">
        <v>111</v>
      </c>
      <c r="AG5" s="139" t="s">
        <v>125</v>
      </c>
      <c r="AH5" s="139" t="s">
        <v>112</v>
      </c>
      <c r="AI5" s="121" t="s">
        <v>126</v>
      </c>
      <c r="AJ5" s="115" t="s">
        <v>114</v>
      </c>
      <c r="AK5" s="115"/>
      <c r="AL5" s="115"/>
      <c r="AM5" s="115"/>
      <c r="AN5" s="115"/>
      <c r="AO5" s="115"/>
      <c r="AP5" s="115"/>
      <c r="AQ5" s="141"/>
      <c r="AR5" s="141"/>
      <c r="AS5" s="141"/>
      <c r="AT5" s="141"/>
    </row>
    <row r="6" ht="59" customHeight="1" spans="1:46">
      <c r="A6" s="115" t="s">
        <v>101</v>
      </c>
      <c r="B6" s="115" t="s">
        <v>102</v>
      </c>
      <c r="C6" s="115" t="s">
        <v>103</v>
      </c>
      <c r="D6" s="116">
        <v>5</v>
      </c>
      <c r="E6" s="117" t="s">
        <v>127</v>
      </c>
      <c r="F6" s="117" t="s">
        <v>128</v>
      </c>
      <c r="G6" s="118"/>
      <c r="H6" s="118">
        <v>11.9233333333333</v>
      </c>
      <c r="I6" s="118"/>
      <c r="J6" s="118">
        <v>5.99333333333333</v>
      </c>
      <c r="K6" s="127">
        <v>1</v>
      </c>
      <c r="L6" s="128"/>
      <c r="M6" s="128"/>
      <c r="N6" s="128"/>
      <c r="O6" s="128">
        <f t="shared" si="0"/>
        <v>6.4</v>
      </c>
      <c r="P6" s="128">
        <f t="shared" si="1"/>
        <v>5.6</v>
      </c>
      <c r="Q6" s="128">
        <f t="shared" si="3"/>
        <v>4.8</v>
      </c>
      <c r="R6" s="127">
        <v>4</v>
      </c>
      <c r="S6" s="128">
        <f t="shared" si="2"/>
        <v>3.2</v>
      </c>
      <c r="T6" s="128" t="s">
        <v>118</v>
      </c>
      <c r="U6" s="128" t="s">
        <v>123</v>
      </c>
      <c r="V6" s="135" t="s">
        <v>129</v>
      </c>
      <c r="W6" s="135"/>
      <c r="X6" s="135"/>
      <c r="Y6" s="135"/>
      <c r="Z6" s="135"/>
      <c r="AA6" s="135"/>
      <c r="AB6" s="128"/>
      <c r="AC6" s="128"/>
      <c r="AD6" s="128"/>
      <c r="AE6" s="128" t="s">
        <v>130</v>
      </c>
      <c r="AF6" s="128" t="s">
        <v>111</v>
      </c>
      <c r="AG6" s="139" t="s">
        <v>131</v>
      </c>
      <c r="AH6" s="121" t="s">
        <v>132</v>
      </c>
      <c r="AI6" s="121" t="s">
        <v>133</v>
      </c>
      <c r="AJ6" s="115" t="s">
        <v>134</v>
      </c>
      <c r="AK6" s="115"/>
      <c r="AL6" s="115"/>
      <c r="AM6" s="115"/>
      <c r="AN6" s="115"/>
      <c r="AO6" s="133">
        <v>5.511</v>
      </c>
      <c r="AP6" s="133">
        <v>4.926666667</v>
      </c>
      <c r="AQ6" s="142">
        <f>(5.247+5.715+5.1)/3</f>
        <v>5.354</v>
      </c>
      <c r="AR6" s="142">
        <f>(5.53+4.697+5.031)/3</f>
        <v>5.086</v>
      </c>
      <c r="AS6" s="149">
        <f>(AR6-AQ6)/AQ6</f>
        <v>-0.0500560328726186</v>
      </c>
      <c r="AT6" s="141"/>
    </row>
    <row r="7" ht="98" customHeight="1" spans="1:46">
      <c r="A7" s="115" t="s">
        <v>101</v>
      </c>
      <c r="B7" s="115" t="s">
        <v>102</v>
      </c>
      <c r="C7" s="115" t="s">
        <v>103</v>
      </c>
      <c r="D7" s="116">
        <v>6</v>
      </c>
      <c r="E7" s="117" t="s">
        <v>135</v>
      </c>
      <c r="F7" s="117" t="s">
        <v>136</v>
      </c>
      <c r="G7" s="118">
        <v>5.18333333333333</v>
      </c>
      <c r="H7" s="118">
        <v>5.17</v>
      </c>
      <c r="I7" s="118">
        <v>3.98</v>
      </c>
      <c r="J7" s="118">
        <v>3.44666666666667</v>
      </c>
      <c r="K7" s="127">
        <v>1</v>
      </c>
      <c r="L7" s="128"/>
      <c r="M7" s="128"/>
      <c r="N7" s="128"/>
      <c r="O7" s="128">
        <f t="shared" si="0"/>
        <v>6.4</v>
      </c>
      <c r="P7" s="128">
        <f t="shared" si="1"/>
        <v>5.6</v>
      </c>
      <c r="Q7" s="128">
        <f t="shared" si="3"/>
        <v>4.8</v>
      </c>
      <c r="R7" s="127">
        <v>4</v>
      </c>
      <c r="S7" s="128">
        <f t="shared" si="2"/>
        <v>3.2</v>
      </c>
      <c r="T7" s="128"/>
      <c r="U7" s="128" t="s">
        <v>137</v>
      </c>
      <c r="V7" s="135" t="s">
        <v>129</v>
      </c>
      <c r="W7" s="135" t="s">
        <v>109</v>
      </c>
      <c r="X7" s="136" t="s">
        <v>110</v>
      </c>
      <c r="Y7" s="135"/>
      <c r="Z7" s="135"/>
      <c r="AA7" s="135"/>
      <c r="AB7" s="128"/>
      <c r="AC7" s="128"/>
      <c r="AD7" s="127">
        <v>1.7</v>
      </c>
      <c r="AE7" s="128" t="s">
        <v>130</v>
      </c>
      <c r="AF7" s="128" t="s">
        <v>111</v>
      </c>
      <c r="AG7" s="139" t="s">
        <v>138</v>
      </c>
      <c r="AH7" s="139" t="s">
        <v>132</v>
      </c>
      <c r="AI7" s="121" t="s">
        <v>139</v>
      </c>
      <c r="AJ7" s="115" t="s">
        <v>134</v>
      </c>
      <c r="AK7" s="115"/>
      <c r="AL7" s="115"/>
      <c r="AM7" s="115"/>
      <c r="AN7" s="115"/>
      <c r="AO7" s="133">
        <v>8.243333333</v>
      </c>
      <c r="AP7" s="133">
        <v>9.033333333</v>
      </c>
      <c r="AQ7" s="142">
        <f>(9.057+9.012+9.02)/3</f>
        <v>9.02966666666667</v>
      </c>
      <c r="AR7" s="142">
        <f>(11.134+10.304+10.429)/3</f>
        <v>10.6223333333333</v>
      </c>
      <c r="AS7" s="149">
        <f>(AR7-AQ7)/AQ7</f>
        <v>0.176381557089594</v>
      </c>
      <c r="AT7" s="150"/>
    </row>
    <row r="8" ht="59" customHeight="1" spans="1:46">
      <c r="A8" s="115" t="s">
        <v>101</v>
      </c>
      <c r="B8" s="115" t="s">
        <v>102</v>
      </c>
      <c r="C8" s="115" t="s">
        <v>103</v>
      </c>
      <c r="D8" s="116">
        <v>7</v>
      </c>
      <c r="E8" s="117" t="s">
        <v>140</v>
      </c>
      <c r="F8" s="117" t="s">
        <v>141</v>
      </c>
      <c r="G8" s="118">
        <v>1.76333333333333</v>
      </c>
      <c r="H8" s="118">
        <v>1.93666666666667</v>
      </c>
      <c r="I8" s="118">
        <v>1.7</v>
      </c>
      <c r="J8" s="118">
        <v>0.786666666666667</v>
      </c>
      <c r="K8" s="127">
        <v>1</v>
      </c>
      <c r="L8" s="128"/>
      <c r="M8" s="128"/>
      <c r="N8" s="128"/>
      <c r="O8" s="131">
        <f t="shared" si="0"/>
        <v>3.2</v>
      </c>
      <c r="P8" s="131">
        <f t="shared" si="1"/>
        <v>2.8</v>
      </c>
      <c r="Q8" s="131">
        <f t="shared" si="3"/>
        <v>2.4</v>
      </c>
      <c r="R8" s="133">
        <v>2</v>
      </c>
      <c r="S8" s="131">
        <f t="shared" si="2"/>
        <v>1.6</v>
      </c>
      <c r="T8" s="128"/>
      <c r="U8" s="128" t="s">
        <v>142</v>
      </c>
      <c r="V8" s="135" t="s">
        <v>143</v>
      </c>
      <c r="W8" s="135" t="s">
        <v>109</v>
      </c>
      <c r="X8" s="135"/>
      <c r="Y8" s="135"/>
      <c r="Z8" s="135"/>
      <c r="AA8" s="135"/>
      <c r="AB8" s="128"/>
      <c r="AC8" s="128"/>
      <c r="AD8" s="127">
        <v>1</v>
      </c>
      <c r="AE8" s="128" t="s">
        <v>130</v>
      </c>
      <c r="AF8" s="128" t="s">
        <v>111</v>
      </c>
      <c r="AG8" s="139"/>
      <c r="AH8" s="121" t="s">
        <v>144</v>
      </c>
      <c r="AI8" s="121" t="s">
        <v>145</v>
      </c>
      <c r="AJ8" s="115" t="s">
        <v>134</v>
      </c>
      <c r="AK8" s="115"/>
      <c r="AL8" s="115"/>
      <c r="AM8" s="115"/>
      <c r="AN8" s="115"/>
      <c r="AO8" s="133">
        <v>2.9</v>
      </c>
      <c r="AP8" s="133">
        <v>1.791333333</v>
      </c>
      <c r="AQ8" s="142">
        <f>(1.775+1.77+1.76)/3</f>
        <v>1.76833333333333</v>
      </c>
      <c r="AR8" s="142">
        <f>(1.3+1.532+1.8)/3</f>
        <v>1.544</v>
      </c>
      <c r="AS8" s="149">
        <f>(AR8-AQ8)/AQ8</f>
        <v>-0.126861451460886</v>
      </c>
      <c r="AT8" s="150"/>
    </row>
    <row r="9" ht="59" customHeight="1" spans="1:46">
      <c r="A9" s="115" t="s">
        <v>101</v>
      </c>
      <c r="B9" s="115" t="s">
        <v>102</v>
      </c>
      <c r="C9" s="115" t="s">
        <v>103</v>
      </c>
      <c r="D9" s="116">
        <v>8</v>
      </c>
      <c r="E9" s="117" t="s">
        <v>146</v>
      </c>
      <c r="F9" s="117" t="s">
        <v>147</v>
      </c>
      <c r="G9" s="118">
        <v>1.93</v>
      </c>
      <c r="H9" s="118">
        <v>2.42333333333333</v>
      </c>
      <c r="I9" s="118">
        <v>1.59</v>
      </c>
      <c r="J9" s="118">
        <v>1.43333333333333</v>
      </c>
      <c r="K9" s="127">
        <v>1</v>
      </c>
      <c r="L9" s="128"/>
      <c r="M9" s="128"/>
      <c r="N9" s="128"/>
      <c r="O9" s="131">
        <f t="shared" si="0"/>
        <v>4.8</v>
      </c>
      <c r="P9" s="131">
        <f t="shared" si="1"/>
        <v>4.2</v>
      </c>
      <c r="Q9" s="131">
        <f t="shared" si="3"/>
        <v>3.6</v>
      </c>
      <c r="R9" s="133">
        <v>3</v>
      </c>
      <c r="S9" s="131">
        <f t="shared" si="2"/>
        <v>2.4</v>
      </c>
      <c r="T9" s="128"/>
      <c r="U9" s="128" t="s">
        <v>142</v>
      </c>
      <c r="V9" s="135" t="s">
        <v>143</v>
      </c>
      <c r="W9" s="135" t="s">
        <v>109</v>
      </c>
      <c r="X9" s="135"/>
      <c r="Y9" s="135"/>
      <c r="Z9" s="135"/>
      <c r="AA9" s="135"/>
      <c r="AB9" s="128"/>
      <c r="AC9" s="128"/>
      <c r="AD9" s="127">
        <v>1.7</v>
      </c>
      <c r="AE9" s="128" t="s">
        <v>130</v>
      </c>
      <c r="AF9" s="128" t="s">
        <v>111</v>
      </c>
      <c r="AG9" s="139"/>
      <c r="AH9" s="121" t="s">
        <v>148</v>
      </c>
      <c r="AI9" s="121" t="s">
        <v>149</v>
      </c>
      <c r="AJ9" s="115" t="s">
        <v>134</v>
      </c>
      <c r="AK9" s="115"/>
      <c r="AL9" s="115"/>
      <c r="AM9" s="115"/>
      <c r="AN9" s="115"/>
      <c r="AO9" s="133">
        <v>2.844333333</v>
      </c>
      <c r="AP9" s="133">
        <v>2.6</v>
      </c>
      <c r="AQ9" s="142">
        <f>(2.673+2.333+2.32)/3</f>
        <v>2.442</v>
      </c>
      <c r="AR9" s="142">
        <f>(1.888+2.529+2.031)/3</f>
        <v>2.14933333333333</v>
      </c>
      <c r="AS9" s="149">
        <f>(AR9-AQ9)/AQ9</f>
        <v>-0.11984711984712</v>
      </c>
      <c r="AT9" s="150"/>
    </row>
    <row r="10" ht="89" hidden="1" customHeight="1" spans="1:46">
      <c r="A10" s="115" t="s">
        <v>101</v>
      </c>
      <c r="B10" s="115" t="s">
        <v>102</v>
      </c>
      <c r="C10" s="115" t="s">
        <v>103</v>
      </c>
      <c r="D10" s="116">
        <v>9</v>
      </c>
      <c r="E10" s="117" t="s">
        <v>150</v>
      </c>
      <c r="F10" s="117" t="s">
        <v>151</v>
      </c>
      <c r="G10" s="118">
        <v>2.32333333333333</v>
      </c>
      <c r="H10" s="118">
        <v>1.28366666666667</v>
      </c>
      <c r="I10" s="118"/>
      <c r="J10" s="118">
        <v>1.51525</v>
      </c>
      <c r="K10" s="127">
        <v>1</v>
      </c>
      <c r="L10" s="128"/>
      <c r="M10" s="128"/>
      <c r="N10" s="128"/>
      <c r="O10" s="128">
        <f t="shared" si="0"/>
        <v>4.8</v>
      </c>
      <c r="P10" s="128">
        <f t="shared" si="1"/>
        <v>4.2</v>
      </c>
      <c r="Q10" s="127">
        <v>3</v>
      </c>
      <c r="R10" s="127">
        <v>3</v>
      </c>
      <c r="S10" s="128">
        <f t="shared" si="2"/>
        <v>2.4</v>
      </c>
      <c r="T10" s="128"/>
      <c r="U10" s="128" t="s">
        <v>137</v>
      </c>
      <c r="V10" s="135" t="s">
        <v>152</v>
      </c>
      <c r="W10" s="135" t="s">
        <v>109</v>
      </c>
      <c r="X10" s="135"/>
      <c r="Y10" s="135"/>
      <c r="Z10" s="135"/>
      <c r="AA10" s="135"/>
      <c r="AB10" s="128"/>
      <c r="AC10" s="128"/>
      <c r="AD10" s="127">
        <v>1.4</v>
      </c>
      <c r="AE10" s="128"/>
      <c r="AF10" s="128" t="s">
        <v>111</v>
      </c>
      <c r="AG10" s="139" t="s">
        <v>153</v>
      </c>
      <c r="AH10" s="139" t="s">
        <v>154</v>
      </c>
      <c r="AI10" s="121" t="s">
        <v>155</v>
      </c>
      <c r="AJ10" s="115" t="s">
        <v>114</v>
      </c>
      <c r="AK10" s="115"/>
      <c r="AL10" s="115"/>
      <c r="AM10" s="115"/>
      <c r="AN10" s="115"/>
      <c r="AO10" s="115"/>
      <c r="AP10" s="115"/>
      <c r="AQ10" s="141"/>
      <c r="AR10" s="141"/>
      <c r="AS10" s="141"/>
      <c r="AT10" s="141"/>
    </row>
    <row r="11" ht="89" hidden="1" customHeight="1" spans="1:46">
      <c r="A11" s="115"/>
      <c r="B11" s="115" t="s">
        <v>102</v>
      </c>
      <c r="C11" s="115" t="s">
        <v>103</v>
      </c>
      <c r="D11" s="116">
        <v>10</v>
      </c>
      <c r="E11" s="117" t="s">
        <v>156</v>
      </c>
      <c r="F11" s="117" t="s">
        <v>157</v>
      </c>
      <c r="G11" s="118"/>
      <c r="H11" s="118">
        <v>1.971</v>
      </c>
      <c r="I11" s="118"/>
      <c r="J11" s="118">
        <v>1.08366666666667</v>
      </c>
      <c r="K11" s="127">
        <v>1</v>
      </c>
      <c r="L11" s="128"/>
      <c r="M11" s="128"/>
      <c r="N11" s="128"/>
      <c r="O11" s="128">
        <f t="shared" si="0"/>
        <v>3.2</v>
      </c>
      <c r="P11" s="128">
        <f t="shared" si="1"/>
        <v>2.8</v>
      </c>
      <c r="Q11" s="128">
        <f>R11*1.2</f>
        <v>2.4</v>
      </c>
      <c r="R11" s="127">
        <v>2</v>
      </c>
      <c r="S11" s="128">
        <f t="shared" si="2"/>
        <v>1.6</v>
      </c>
      <c r="T11" s="128"/>
      <c r="U11" s="128" t="s">
        <v>137</v>
      </c>
      <c r="V11" s="135" t="s">
        <v>158</v>
      </c>
      <c r="W11" s="135"/>
      <c r="X11" s="135"/>
      <c r="Y11" s="135"/>
      <c r="Z11" s="135"/>
      <c r="AA11" s="135"/>
      <c r="AB11" s="128"/>
      <c r="AC11" s="128"/>
      <c r="AD11" s="128"/>
      <c r="AE11" s="128"/>
      <c r="AF11" s="128" t="s">
        <v>111</v>
      </c>
      <c r="AG11" s="139" t="s">
        <v>153</v>
      </c>
      <c r="AH11" s="139" t="s">
        <v>159</v>
      </c>
      <c r="AI11" s="121" t="s">
        <v>160</v>
      </c>
      <c r="AJ11" s="115" t="s">
        <v>114</v>
      </c>
      <c r="AK11" s="115"/>
      <c r="AL11" s="115"/>
      <c r="AM11" s="115"/>
      <c r="AN11" s="115"/>
      <c r="AO11" s="115"/>
      <c r="AP11" s="115"/>
      <c r="AQ11" s="141"/>
      <c r="AR11" s="141"/>
      <c r="AS11" s="141"/>
      <c r="AT11" s="141"/>
    </row>
    <row r="12" ht="89" customHeight="1" spans="1:46">
      <c r="A12" s="115"/>
      <c r="B12" s="115" t="s">
        <v>102</v>
      </c>
      <c r="C12" s="115" t="s">
        <v>103</v>
      </c>
      <c r="D12" s="116">
        <v>11</v>
      </c>
      <c r="E12" s="117" t="s">
        <v>161</v>
      </c>
      <c r="F12" s="117" t="s">
        <v>162</v>
      </c>
      <c r="G12" s="118"/>
      <c r="H12" s="118"/>
      <c r="I12" s="118"/>
      <c r="J12" s="118"/>
      <c r="K12" s="127">
        <v>1</v>
      </c>
      <c r="L12" s="128"/>
      <c r="M12" s="128"/>
      <c r="N12" s="128"/>
      <c r="O12" s="128">
        <f t="shared" si="0"/>
        <v>6.4</v>
      </c>
      <c r="P12" s="128">
        <f t="shared" si="1"/>
        <v>5.6</v>
      </c>
      <c r="Q12" s="128">
        <f>R12*1.2</f>
        <v>4.8</v>
      </c>
      <c r="R12" s="127">
        <v>4</v>
      </c>
      <c r="S12" s="128">
        <f t="shared" si="2"/>
        <v>3.2</v>
      </c>
      <c r="T12" s="128"/>
      <c r="U12" s="128"/>
      <c r="V12" s="135" t="s">
        <v>158</v>
      </c>
      <c r="W12" s="135"/>
      <c r="X12" s="135"/>
      <c r="Y12" s="135"/>
      <c r="Z12" s="135"/>
      <c r="AA12" s="135"/>
      <c r="AB12" s="128"/>
      <c r="AC12" s="128"/>
      <c r="AD12" s="128"/>
      <c r="AE12" s="128"/>
      <c r="AF12" s="128" t="s">
        <v>111</v>
      </c>
      <c r="AG12" s="139" t="s">
        <v>153</v>
      </c>
      <c r="AH12" s="139" t="s">
        <v>163</v>
      </c>
      <c r="AI12" s="121" t="s">
        <v>164</v>
      </c>
      <c r="AJ12" s="115" t="s">
        <v>134</v>
      </c>
      <c r="AK12" s="115"/>
      <c r="AL12" s="115"/>
      <c r="AM12" s="115"/>
      <c r="AN12" s="115"/>
      <c r="AO12" s="133">
        <v>3.133</v>
      </c>
      <c r="AP12" s="133">
        <v>3.127</v>
      </c>
      <c r="AQ12" s="142">
        <f>(3.075+3.176+3.02)/3</f>
        <v>3.09033333333333</v>
      </c>
      <c r="AR12" s="142">
        <f>(3.199+2.633+2.533)/3</f>
        <v>2.78833333333333</v>
      </c>
      <c r="AS12" s="149">
        <f t="shared" ref="AS12:AS21" si="4">(AR12-AQ12)/AQ12</f>
        <v>-0.0977240858591306</v>
      </c>
      <c r="AT12" s="150"/>
    </row>
    <row r="13" ht="122" customHeight="1" spans="1:46">
      <c r="A13" s="115"/>
      <c r="B13" s="115" t="s">
        <v>102</v>
      </c>
      <c r="C13" s="115" t="s">
        <v>103</v>
      </c>
      <c r="D13" s="116">
        <v>12</v>
      </c>
      <c r="E13" s="117" t="s">
        <v>165</v>
      </c>
      <c r="F13" s="117" t="s">
        <v>23</v>
      </c>
      <c r="G13" s="118">
        <v>2.98</v>
      </c>
      <c r="H13" s="118">
        <v>2.88666666666667</v>
      </c>
      <c r="I13" s="118">
        <v>3.18333333333333</v>
      </c>
      <c r="J13" s="118">
        <v>3.57666666666667</v>
      </c>
      <c r="K13" s="127">
        <v>1.5</v>
      </c>
      <c r="L13" s="128"/>
      <c r="M13" s="128"/>
      <c r="N13" s="128"/>
      <c r="O13" s="128">
        <f t="shared" si="0"/>
        <v>5.28</v>
      </c>
      <c r="P13" s="128">
        <f t="shared" si="1"/>
        <v>4.62</v>
      </c>
      <c r="Q13" s="128">
        <f>R13*1.2</f>
        <v>3.96</v>
      </c>
      <c r="R13" s="127">
        <v>3.3</v>
      </c>
      <c r="S13" s="128">
        <f t="shared" si="2"/>
        <v>2.64</v>
      </c>
      <c r="T13" s="128"/>
      <c r="U13" s="128"/>
      <c r="V13" s="135"/>
      <c r="W13" s="135" t="s">
        <v>109</v>
      </c>
      <c r="X13" s="136" t="s">
        <v>110</v>
      </c>
      <c r="Y13" s="135"/>
      <c r="Z13" s="135"/>
      <c r="AA13" s="135"/>
      <c r="AB13" s="128"/>
      <c r="AC13" s="128"/>
      <c r="AD13" s="128"/>
      <c r="AE13" s="128" t="s">
        <v>130</v>
      </c>
      <c r="AF13" s="128" t="s">
        <v>111</v>
      </c>
      <c r="AG13" s="139"/>
      <c r="AH13" s="139" t="s">
        <v>166</v>
      </c>
      <c r="AI13" s="121" t="s">
        <v>167</v>
      </c>
      <c r="AJ13" s="115" t="s">
        <v>134</v>
      </c>
      <c r="AK13" s="115"/>
      <c r="AL13" s="115"/>
      <c r="AM13" s="115"/>
      <c r="AN13" s="115"/>
      <c r="AO13" s="139">
        <f>(3.698+3.722+3.352)/3</f>
        <v>3.59066666666667</v>
      </c>
      <c r="AP13" s="131" t="s">
        <v>9</v>
      </c>
      <c r="AQ13" s="131" t="s">
        <v>9</v>
      </c>
      <c r="AR13" s="143">
        <v>3.68</v>
      </c>
      <c r="AS13" s="149" t="e">
        <f t="shared" si="4"/>
        <v>#VALUE!</v>
      </c>
      <c r="AT13" s="141"/>
    </row>
    <row r="14" ht="89" customHeight="1" spans="1:46">
      <c r="A14" s="115"/>
      <c r="B14" s="115" t="s">
        <v>102</v>
      </c>
      <c r="C14" s="115" t="s">
        <v>103</v>
      </c>
      <c r="D14" s="116">
        <v>13</v>
      </c>
      <c r="E14" s="117" t="s">
        <v>168</v>
      </c>
      <c r="F14" s="117" t="s">
        <v>169</v>
      </c>
      <c r="G14" s="118">
        <v>15.1666666666667</v>
      </c>
      <c r="H14" s="118">
        <v>18.2933333333333</v>
      </c>
      <c r="I14" s="118">
        <v>16.8733333333333</v>
      </c>
      <c r="J14" s="118">
        <v>11.1033333333333</v>
      </c>
      <c r="K14" s="127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35"/>
      <c r="W14" s="135" t="s">
        <v>109</v>
      </c>
      <c r="X14" s="135"/>
      <c r="Y14" s="135"/>
      <c r="Z14" s="135"/>
      <c r="AA14" s="135"/>
      <c r="AB14" s="128"/>
      <c r="AC14" s="128"/>
      <c r="AD14" s="128"/>
      <c r="AE14" s="128" t="s">
        <v>130</v>
      </c>
      <c r="AF14" s="128" t="s">
        <v>111</v>
      </c>
      <c r="AG14" s="139"/>
      <c r="AH14" s="139" t="s">
        <v>170</v>
      </c>
      <c r="AI14" s="121" t="s">
        <v>171</v>
      </c>
      <c r="AJ14" s="115" t="s">
        <v>134</v>
      </c>
      <c r="AK14" s="115"/>
      <c r="AL14" s="115"/>
      <c r="AM14" s="115"/>
      <c r="AN14" s="115"/>
      <c r="AO14" s="139">
        <f>(2.773+3.176+4.774)/3</f>
        <v>3.57433333333333</v>
      </c>
      <c r="AP14" s="131" t="s">
        <v>9</v>
      </c>
      <c r="AQ14" s="131" t="s">
        <v>9</v>
      </c>
      <c r="AR14" s="143">
        <v>3.83</v>
      </c>
      <c r="AS14" s="149" t="e">
        <f t="shared" si="4"/>
        <v>#VALUE!</v>
      </c>
      <c r="AT14" s="141"/>
    </row>
    <row r="15" ht="106" customHeight="1" spans="1:46">
      <c r="A15" s="115" t="s">
        <v>101</v>
      </c>
      <c r="B15" s="115" t="s">
        <v>102</v>
      </c>
      <c r="C15" s="115" t="s">
        <v>103</v>
      </c>
      <c r="D15" s="116">
        <v>14</v>
      </c>
      <c r="E15" s="117" t="s">
        <v>172</v>
      </c>
      <c r="F15" s="117" t="s">
        <v>14</v>
      </c>
      <c r="G15" s="118">
        <v>9.19</v>
      </c>
      <c r="H15" s="118">
        <v>13.75</v>
      </c>
      <c r="I15" s="118">
        <v>12.3</v>
      </c>
      <c r="J15" s="118">
        <v>10.0333333333333</v>
      </c>
      <c r="K15" s="127">
        <v>1.5</v>
      </c>
      <c r="L15" s="128"/>
      <c r="M15" s="128" t="s">
        <v>105</v>
      </c>
      <c r="N15" s="128" t="s">
        <v>105</v>
      </c>
      <c r="O15" s="128">
        <f t="shared" ref="O15:O33" si="5">R15*1.6</f>
        <v>16</v>
      </c>
      <c r="P15" s="128">
        <f t="shared" ref="P15:P33" si="6">R15*1.4</f>
        <v>14</v>
      </c>
      <c r="Q15" s="128">
        <f t="shared" ref="Q15:Q33" si="7">R15*1.2</f>
        <v>12</v>
      </c>
      <c r="R15" s="127">
        <v>10</v>
      </c>
      <c r="S15" s="128">
        <f t="shared" ref="S15:S33" si="8">R15*0.8</f>
        <v>8</v>
      </c>
      <c r="T15" s="128"/>
      <c r="U15" s="128" t="s">
        <v>173</v>
      </c>
      <c r="V15" s="135" t="s">
        <v>129</v>
      </c>
      <c r="W15" s="135" t="s">
        <v>109</v>
      </c>
      <c r="X15" s="136" t="s">
        <v>110</v>
      </c>
      <c r="Y15" s="135"/>
      <c r="Z15" s="135"/>
      <c r="AA15" s="135"/>
      <c r="AB15" s="128"/>
      <c r="AC15" s="128"/>
      <c r="AD15" s="127">
        <v>3.076666667</v>
      </c>
      <c r="AE15" s="128"/>
      <c r="AF15" s="128" t="s">
        <v>111</v>
      </c>
      <c r="AG15" s="139"/>
      <c r="AH15" s="121" t="s">
        <v>174</v>
      </c>
      <c r="AI15" s="121" t="s">
        <v>175</v>
      </c>
      <c r="AJ15" s="115" t="s">
        <v>134</v>
      </c>
      <c r="AK15" s="115"/>
      <c r="AL15" s="115"/>
      <c r="AM15" s="115"/>
      <c r="AN15" s="115"/>
      <c r="AO15" s="139">
        <f>(25.9+19.084+18.748)/3</f>
        <v>21.244</v>
      </c>
      <c r="AP15" s="131" t="s">
        <v>9</v>
      </c>
      <c r="AQ15" s="131" t="s">
        <v>9</v>
      </c>
      <c r="AR15" s="144">
        <v>18.74</v>
      </c>
      <c r="AS15" s="149" t="e">
        <f t="shared" si="4"/>
        <v>#VALUE!</v>
      </c>
      <c r="AT15" s="141"/>
    </row>
    <row r="16" ht="59" customHeight="1" spans="1:46">
      <c r="A16" s="115" t="s">
        <v>101</v>
      </c>
      <c r="B16" s="115" t="s">
        <v>102</v>
      </c>
      <c r="C16" s="115" t="s">
        <v>103</v>
      </c>
      <c r="D16" s="116">
        <v>15</v>
      </c>
      <c r="E16" s="117" t="s">
        <v>176</v>
      </c>
      <c r="F16" s="117" t="s">
        <v>177</v>
      </c>
      <c r="G16" s="118">
        <v>1.33</v>
      </c>
      <c r="H16" s="118">
        <v>2.08</v>
      </c>
      <c r="I16" s="118">
        <v>1.22333333333333</v>
      </c>
      <c r="J16" s="118">
        <v>1.65333333333333</v>
      </c>
      <c r="K16" s="127">
        <v>1</v>
      </c>
      <c r="L16" s="128"/>
      <c r="M16" s="128"/>
      <c r="N16" s="128"/>
      <c r="O16" s="128">
        <f t="shared" si="5"/>
        <v>1.92</v>
      </c>
      <c r="P16" s="128">
        <f t="shared" si="6"/>
        <v>1.68</v>
      </c>
      <c r="Q16" s="128">
        <f t="shared" si="7"/>
        <v>1.44</v>
      </c>
      <c r="R16" s="127">
        <v>1.2</v>
      </c>
      <c r="S16" s="128">
        <f t="shared" si="8"/>
        <v>0.96</v>
      </c>
      <c r="T16" s="128"/>
      <c r="U16" s="128" t="s">
        <v>142</v>
      </c>
      <c r="V16" s="135" t="s">
        <v>178</v>
      </c>
      <c r="W16" s="135" t="s">
        <v>109</v>
      </c>
      <c r="X16" s="136" t="s">
        <v>110</v>
      </c>
      <c r="Y16" s="135"/>
      <c r="Z16" s="135"/>
      <c r="AA16" s="135"/>
      <c r="AB16" s="128"/>
      <c r="AC16" s="128"/>
      <c r="AD16" s="127">
        <v>0.75</v>
      </c>
      <c r="AE16" s="128"/>
      <c r="AF16" s="128" t="s">
        <v>111</v>
      </c>
      <c r="AG16" s="139"/>
      <c r="AH16" s="121" t="s">
        <v>179</v>
      </c>
      <c r="AI16" s="121" t="s">
        <v>180</v>
      </c>
      <c r="AJ16" s="115" t="s">
        <v>134</v>
      </c>
      <c r="AK16" s="115"/>
      <c r="AL16" s="115"/>
      <c r="AM16" s="115"/>
      <c r="AN16" s="115"/>
      <c r="AO16" s="139">
        <f>(535+904+601)/3/1000</f>
        <v>0.68</v>
      </c>
      <c r="AP16" s="131" t="s">
        <v>9</v>
      </c>
      <c r="AQ16" s="131" t="s">
        <v>9</v>
      </c>
      <c r="AR16" s="144">
        <v>4.15</v>
      </c>
      <c r="AS16" s="149" t="e">
        <f t="shared" si="4"/>
        <v>#VALUE!</v>
      </c>
      <c r="AT16" s="141"/>
    </row>
    <row r="17" ht="59" customHeight="1" spans="1:46">
      <c r="A17" s="115" t="s">
        <v>101</v>
      </c>
      <c r="B17" s="115" t="s">
        <v>102</v>
      </c>
      <c r="C17" s="115" t="s">
        <v>103</v>
      </c>
      <c r="D17" s="116">
        <v>16</v>
      </c>
      <c r="E17" s="117" t="s">
        <v>181</v>
      </c>
      <c r="F17" s="117" t="s">
        <v>182</v>
      </c>
      <c r="G17" s="118">
        <v>2.47</v>
      </c>
      <c r="H17" s="118">
        <v>1.72333333333333</v>
      </c>
      <c r="I17" s="118">
        <v>2.18666666666667</v>
      </c>
      <c r="J17" s="118">
        <v>2.42666666666667</v>
      </c>
      <c r="K17" s="127">
        <v>1</v>
      </c>
      <c r="L17" s="128"/>
      <c r="M17" s="128"/>
      <c r="N17" s="128"/>
      <c r="O17" s="128">
        <f t="shared" si="5"/>
        <v>3.2</v>
      </c>
      <c r="P17" s="128">
        <f t="shared" si="6"/>
        <v>2.8</v>
      </c>
      <c r="Q17" s="128">
        <f t="shared" si="7"/>
        <v>2.4</v>
      </c>
      <c r="R17" s="127">
        <v>2</v>
      </c>
      <c r="S17" s="128">
        <f t="shared" si="8"/>
        <v>1.6</v>
      </c>
      <c r="T17" s="128"/>
      <c r="U17" s="128" t="s">
        <v>183</v>
      </c>
      <c r="V17" s="135" t="s">
        <v>143</v>
      </c>
      <c r="W17" s="135" t="s">
        <v>109</v>
      </c>
      <c r="X17" s="135"/>
      <c r="Y17" s="135"/>
      <c r="Z17" s="135"/>
      <c r="AA17" s="135"/>
      <c r="AB17" s="128"/>
      <c r="AC17" s="128"/>
      <c r="AD17" s="127">
        <v>1.293333333</v>
      </c>
      <c r="AE17" s="128"/>
      <c r="AF17" s="128" t="s">
        <v>111</v>
      </c>
      <c r="AG17" s="139"/>
      <c r="AH17" s="121" t="s">
        <v>184</v>
      </c>
      <c r="AI17" s="121" t="s">
        <v>185</v>
      </c>
      <c r="AJ17" s="115" t="s">
        <v>134</v>
      </c>
      <c r="AK17" s="115"/>
      <c r="AL17" s="115"/>
      <c r="AM17" s="115"/>
      <c r="AN17" s="115"/>
      <c r="AO17" s="139">
        <f>(3.378+4.173+2.374)/3</f>
        <v>3.30833333333333</v>
      </c>
      <c r="AP17" s="131" t="s">
        <v>9</v>
      </c>
      <c r="AQ17" s="131" t="s">
        <v>9</v>
      </c>
      <c r="AR17" s="144">
        <v>3.65</v>
      </c>
      <c r="AS17" s="149" t="e">
        <f t="shared" si="4"/>
        <v>#VALUE!</v>
      </c>
      <c r="AT17" s="141"/>
    </row>
    <row r="18" ht="59" customHeight="1" spans="1:46">
      <c r="A18" s="115" t="s">
        <v>101</v>
      </c>
      <c r="B18" s="115" t="s">
        <v>102</v>
      </c>
      <c r="C18" s="115" t="s">
        <v>103</v>
      </c>
      <c r="D18" s="116">
        <v>17</v>
      </c>
      <c r="E18" s="117" t="s">
        <v>186</v>
      </c>
      <c r="F18" s="117" t="s">
        <v>187</v>
      </c>
      <c r="G18" s="118">
        <v>2.22333333333333</v>
      </c>
      <c r="H18" s="118">
        <v>2.38666666666667</v>
      </c>
      <c r="I18" s="118">
        <v>2.25666666666667</v>
      </c>
      <c r="J18" s="118">
        <v>3.00666666666667</v>
      </c>
      <c r="K18" s="127">
        <v>1</v>
      </c>
      <c r="L18" s="128"/>
      <c r="M18" s="128"/>
      <c r="N18" s="128"/>
      <c r="O18" s="128">
        <f t="shared" si="5"/>
        <v>3.2</v>
      </c>
      <c r="P18" s="128">
        <f t="shared" si="6"/>
        <v>2.8</v>
      </c>
      <c r="Q18" s="128">
        <f t="shared" si="7"/>
        <v>2.4</v>
      </c>
      <c r="R18" s="127">
        <v>2</v>
      </c>
      <c r="S18" s="128">
        <f t="shared" si="8"/>
        <v>1.6</v>
      </c>
      <c r="T18" s="128"/>
      <c r="U18" s="128" t="s">
        <v>188</v>
      </c>
      <c r="V18" s="135" t="s">
        <v>143</v>
      </c>
      <c r="W18" s="135" t="s">
        <v>109</v>
      </c>
      <c r="X18" s="135"/>
      <c r="Y18" s="135"/>
      <c r="Z18" s="135"/>
      <c r="AA18" s="135"/>
      <c r="AB18" s="128"/>
      <c r="AC18" s="128"/>
      <c r="AD18" s="127">
        <v>1.873333333</v>
      </c>
      <c r="AE18" s="128"/>
      <c r="AF18" s="128" t="s">
        <v>111</v>
      </c>
      <c r="AG18" s="139"/>
      <c r="AH18" s="121" t="s">
        <v>189</v>
      </c>
      <c r="AI18" s="121" t="s">
        <v>190</v>
      </c>
      <c r="AJ18" s="115" t="s">
        <v>134</v>
      </c>
      <c r="AK18" s="115"/>
      <c r="AL18" s="115"/>
      <c r="AM18" s="115"/>
      <c r="AN18" s="115"/>
      <c r="AO18" s="139">
        <f>(2.773+3.176+4.774)/3</f>
        <v>3.57433333333333</v>
      </c>
      <c r="AP18" s="131" t="s">
        <v>9</v>
      </c>
      <c r="AQ18" s="131" t="s">
        <v>9</v>
      </c>
      <c r="AR18" s="144">
        <v>3.59</v>
      </c>
      <c r="AS18" s="149" t="e">
        <f t="shared" si="4"/>
        <v>#VALUE!</v>
      </c>
      <c r="AT18" s="141"/>
    </row>
    <row r="19" ht="59" customHeight="1" spans="1:46">
      <c r="A19" s="115" t="s">
        <v>101</v>
      </c>
      <c r="B19" s="115" t="s">
        <v>102</v>
      </c>
      <c r="C19" s="115" t="s">
        <v>103</v>
      </c>
      <c r="D19" s="116">
        <v>18</v>
      </c>
      <c r="E19" s="117" t="s">
        <v>191</v>
      </c>
      <c r="F19" s="117" t="s">
        <v>192</v>
      </c>
      <c r="G19" s="118">
        <v>11.8533333333333</v>
      </c>
      <c r="H19" s="118">
        <v>11.87</v>
      </c>
      <c r="I19" s="118">
        <v>10.57</v>
      </c>
      <c r="J19" s="118">
        <v>13.44</v>
      </c>
      <c r="K19" s="127">
        <v>1</v>
      </c>
      <c r="L19" s="128"/>
      <c r="M19" s="128"/>
      <c r="N19" s="128" t="s">
        <v>105</v>
      </c>
      <c r="O19" s="128">
        <f t="shared" si="5"/>
        <v>25.6</v>
      </c>
      <c r="P19" s="128">
        <f t="shared" si="6"/>
        <v>22.4</v>
      </c>
      <c r="Q19" s="128">
        <f t="shared" si="7"/>
        <v>19.2</v>
      </c>
      <c r="R19" s="127">
        <v>16</v>
      </c>
      <c r="S19" s="128">
        <f t="shared" si="8"/>
        <v>12.8</v>
      </c>
      <c r="T19" s="128"/>
      <c r="U19" s="128" t="s">
        <v>193</v>
      </c>
      <c r="V19" s="135" t="s">
        <v>194</v>
      </c>
      <c r="W19" s="135" t="s">
        <v>109</v>
      </c>
      <c r="X19" s="135"/>
      <c r="Y19" s="135"/>
      <c r="Z19" s="135"/>
      <c r="AA19" s="135"/>
      <c r="AB19" s="128"/>
      <c r="AC19" s="128"/>
      <c r="AD19" s="127">
        <v>3.376666667</v>
      </c>
      <c r="AE19" s="128"/>
      <c r="AF19" s="128" t="s">
        <v>111</v>
      </c>
      <c r="AG19" s="139"/>
      <c r="AH19" s="139" t="s">
        <v>195</v>
      </c>
      <c r="AI19" s="121" t="s">
        <v>196</v>
      </c>
      <c r="AJ19" s="115" t="s">
        <v>134</v>
      </c>
      <c r="AK19" s="115"/>
      <c r="AL19" s="115"/>
      <c r="AM19" s="115"/>
      <c r="AN19" s="115"/>
      <c r="AO19" s="139">
        <f>(13.1+15.11+13.116)/3</f>
        <v>13.7753333333333</v>
      </c>
      <c r="AP19" s="131">
        <f>(11.56+11.066+10.466)/3</f>
        <v>11.0306666666667</v>
      </c>
      <c r="AQ19" s="142">
        <f>(11.302+10.713+10.6)/3</f>
        <v>10.8716666666667</v>
      </c>
      <c r="AR19" s="145">
        <f>(12.798+9.486+14.007)/3</f>
        <v>12.097</v>
      </c>
      <c r="AS19" s="149">
        <f t="shared" si="4"/>
        <v>0.112708876283918</v>
      </c>
      <c r="AT19" s="141"/>
    </row>
    <row r="20" ht="97" customHeight="1" spans="1:46">
      <c r="A20" s="115" t="s">
        <v>101</v>
      </c>
      <c r="B20" s="115" t="s">
        <v>102</v>
      </c>
      <c r="C20" s="115" t="s">
        <v>103</v>
      </c>
      <c r="D20" s="116">
        <v>19</v>
      </c>
      <c r="E20" s="117" t="s">
        <v>197</v>
      </c>
      <c r="F20" s="117" t="s">
        <v>17</v>
      </c>
      <c r="G20" s="118">
        <v>14.1066666666667</v>
      </c>
      <c r="H20" s="118">
        <v>18.03</v>
      </c>
      <c r="I20" s="118">
        <v>11.0333333333333</v>
      </c>
      <c r="J20" s="118">
        <v>15.5333333333333</v>
      </c>
      <c r="K20" s="127">
        <v>1</v>
      </c>
      <c r="L20" s="128"/>
      <c r="M20" s="128"/>
      <c r="N20" s="128" t="s">
        <v>105</v>
      </c>
      <c r="O20" s="128">
        <f t="shared" si="5"/>
        <v>26.4</v>
      </c>
      <c r="P20" s="128">
        <f t="shared" si="6"/>
        <v>23.1</v>
      </c>
      <c r="Q20" s="128">
        <f t="shared" si="7"/>
        <v>19.8</v>
      </c>
      <c r="R20" s="127">
        <v>16.5</v>
      </c>
      <c r="S20" s="128">
        <f t="shared" si="8"/>
        <v>13.2</v>
      </c>
      <c r="T20" s="128"/>
      <c r="U20" s="128" t="s">
        <v>193</v>
      </c>
      <c r="V20" s="135" t="s">
        <v>108</v>
      </c>
      <c r="W20" s="135" t="s">
        <v>109</v>
      </c>
      <c r="X20" s="136" t="s">
        <v>110</v>
      </c>
      <c r="Y20" s="135"/>
      <c r="Z20" s="135"/>
      <c r="AA20" s="135"/>
      <c r="AB20" s="128"/>
      <c r="AC20" s="128"/>
      <c r="AD20" s="127">
        <v>3.523333333</v>
      </c>
      <c r="AE20" s="128"/>
      <c r="AF20" s="128" t="s">
        <v>111</v>
      </c>
      <c r="AG20" s="139"/>
      <c r="AH20" s="121" t="s">
        <v>198</v>
      </c>
      <c r="AI20" s="121" t="s">
        <v>196</v>
      </c>
      <c r="AJ20" s="115" t="s">
        <v>134</v>
      </c>
      <c r="AK20" s="115"/>
      <c r="AL20" s="115"/>
      <c r="AM20" s="115"/>
      <c r="AN20" s="115"/>
      <c r="AO20" s="139">
        <f>(8.66+8.967+12.366)/3</f>
        <v>9.99766666666667</v>
      </c>
      <c r="AP20" s="131">
        <f>(9.6+15.033+10.467)/3</f>
        <v>11.7</v>
      </c>
      <c r="AQ20" s="142">
        <f>(10.033+9.266+11.02)/3</f>
        <v>10.1063333333333</v>
      </c>
      <c r="AR20" s="145">
        <f>(12.64+10.168+12.02)/3</f>
        <v>11.6093333333333</v>
      </c>
      <c r="AS20" s="149">
        <f t="shared" si="4"/>
        <v>0.148718625284475</v>
      </c>
      <c r="AT20" s="141"/>
    </row>
    <row r="21" ht="114" customHeight="1" spans="1:46">
      <c r="A21" s="115" t="s">
        <v>101</v>
      </c>
      <c r="B21" s="115" t="s">
        <v>102</v>
      </c>
      <c r="C21" s="115" t="s">
        <v>33</v>
      </c>
      <c r="D21" s="116">
        <v>20</v>
      </c>
      <c r="E21" s="117" t="s">
        <v>199</v>
      </c>
      <c r="F21" s="117" t="s">
        <v>18</v>
      </c>
      <c r="G21" s="118">
        <v>5.16</v>
      </c>
      <c r="H21" s="118">
        <v>11.2333333333333</v>
      </c>
      <c r="I21" s="118">
        <v>5.26</v>
      </c>
      <c r="J21" s="118">
        <v>23.1666666666667</v>
      </c>
      <c r="K21" s="127">
        <v>1</v>
      </c>
      <c r="L21" s="128"/>
      <c r="M21" s="128"/>
      <c r="N21" s="128"/>
      <c r="O21" s="128">
        <f t="shared" si="5"/>
        <v>8</v>
      </c>
      <c r="P21" s="128">
        <f t="shared" si="6"/>
        <v>7</v>
      </c>
      <c r="Q21" s="128">
        <f t="shared" si="7"/>
        <v>6</v>
      </c>
      <c r="R21" s="127">
        <v>5</v>
      </c>
      <c r="S21" s="128">
        <f t="shared" si="8"/>
        <v>4</v>
      </c>
      <c r="T21" s="128"/>
      <c r="U21" s="128" t="s">
        <v>106</v>
      </c>
      <c r="V21" s="135" t="s">
        <v>129</v>
      </c>
      <c r="W21" s="135" t="s">
        <v>109</v>
      </c>
      <c r="X21" s="136" t="s">
        <v>110</v>
      </c>
      <c r="Y21" s="135"/>
      <c r="Z21" s="135"/>
      <c r="AA21" s="135"/>
      <c r="AB21" s="128"/>
      <c r="AC21" s="128"/>
      <c r="AD21" s="128"/>
      <c r="AE21" s="128"/>
      <c r="AF21" s="128"/>
      <c r="AG21" s="139"/>
      <c r="AH21" s="121" t="s">
        <v>200</v>
      </c>
      <c r="AI21" s="121" t="s">
        <v>201</v>
      </c>
      <c r="AJ21" s="115" t="s">
        <v>134</v>
      </c>
      <c r="AK21" s="115"/>
      <c r="AL21" s="115"/>
      <c r="AM21" s="115"/>
      <c r="AN21" s="115"/>
      <c r="AO21" s="133">
        <v>3.533333333</v>
      </c>
      <c r="AP21" s="131">
        <f>(3.566+6.333+5.212)/3</f>
        <v>5.037</v>
      </c>
      <c r="AQ21" s="142">
        <f>(4.4+5.6+4.887)/3</f>
        <v>4.96233333333333</v>
      </c>
      <c r="AR21" s="145">
        <f>(4.997+4.68+5.02)/3</f>
        <v>4.899</v>
      </c>
      <c r="AS21" s="149">
        <f t="shared" si="4"/>
        <v>-0.0127628131927185</v>
      </c>
      <c r="AT21" s="141"/>
    </row>
    <row r="22" ht="72" hidden="1" customHeight="1" spans="1:46">
      <c r="A22" s="115" t="s">
        <v>101</v>
      </c>
      <c r="B22" s="115" t="s">
        <v>102</v>
      </c>
      <c r="C22" s="115" t="s">
        <v>202</v>
      </c>
      <c r="D22" s="116">
        <v>21</v>
      </c>
      <c r="E22" s="117" t="s">
        <v>203</v>
      </c>
      <c r="F22" s="117" t="s">
        <v>204</v>
      </c>
      <c r="G22" s="118"/>
      <c r="H22" s="118">
        <v>2.375</v>
      </c>
      <c r="I22" s="118"/>
      <c r="J22" s="118">
        <v>1.712</v>
      </c>
      <c r="K22" s="127">
        <v>0.5</v>
      </c>
      <c r="L22" s="128"/>
      <c r="M22" s="128"/>
      <c r="N22" s="128" t="s">
        <v>105</v>
      </c>
      <c r="O22" s="128">
        <f t="shared" si="5"/>
        <v>30</v>
      </c>
      <c r="P22" s="128">
        <f t="shared" si="6"/>
        <v>26.25</v>
      </c>
      <c r="Q22" s="128">
        <f t="shared" si="7"/>
        <v>22.5</v>
      </c>
      <c r="R22" s="127">
        <v>18.75</v>
      </c>
      <c r="S22" s="128">
        <f t="shared" si="8"/>
        <v>15</v>
      </c>
      <c r="T22" s="128"/>
      <c r="U22" s="128" t="s">
        <v>205</v>
      </c>
      <c r="V22" s="135" t="s">
        <v>194</v>
      </c>
      <c r="W22" s="135"/>
      <c r="X22" s="135"/>
      <c r="Y22" s="135"/>
      <c r="Z22" s="135"/>
      <c r="AA22" s="135"/>
      <c r="AB22" s="128"/>
      <c r="AC22" s="128"/>
      <c r="AD22" s="128"/>
      <c r="AE22" s="128" t="s">
        <v>130</v>
      </c>
      <c r="AF22" s="128" t="s">
        <v>111</v>
      </c>
      <c r="AG22" s="139"/>
      <c r="AH22" s="139" t="s">
        <v>206</v>
      </c>
      <c r="AI22" s="121" t="s">
        <v>207</v>
      </c>
      <c r="AJ22" s="115" t="s">
        <v>114</v>
      </c>
      <c r="AK22" s="115"/>
      <c r="AL22" s="115"/>
      <c r="AM22" s="115"/>
      <c r="AN22" s="115"/>
      <c r="AO22" s="115"/>
      <c r="AP22" s="115"/>
      <c r="AQ22" s="141"/>
      <c r="AR22" s="141"/>
      <c r="AS22" s="141"/>
      <c r="AT22" s="141"/>
    </row>
    <row r="23" ht="59" hidden="1" customHeight="1" spans="1:46">
      <c r="A23" s="115" t="s">
        <v>101</v>
      </c>
      <c r="B23" s="115" t="s">
        <v>102</v>
      </c>
      <c r="C23" s="115" t="s">
        <v>103</v>
      </c>
      <c r="D23" s="116">
        <v>22</v>
      </c>
      <c r="E23" s="117" t="s">
        <v>208</v>
      </c>
      <c r="F23" s="117" t="s">
        <v>209</v>
      </c>
      <c r="G23" s="118"/>
      <c r="H23" s="118">
        <v>1.2334</v>
      </c>
      <c r="I23" s="118"/>
      <c r="J23" s="118">
        <v>1.17116666666667</v>
      </c>
      <c r="K23" s="127">
        <v>1</v>
      </c>
      <c r="L23" s="128"/>
      <c r="M23" s="128"/>
      <c r="N23" s="128" t="s">
        <v>105</v>
      </c>
      <c r="O23" s="128">
        <f t="shared" si="5"/>
        <v>1.92</v>
      </c>
      <c r="P23" s="128">
        <f t="shared" si="6"/>
        <v>1.68</v>
      </c>
      <c r="Q23" s="128">
        <f t="shared" si="7"/>
        <v>1.44</v>
      </c>
      <c r="R23" s="127">
        <v>1.2</v>
      </c>
      <c r="S23" s="128">
        <f t="shared" si="8"/>
        <v>0.96</v>
      </c>
      <c r="T23" s="128"/>
      <c r="U23" s="128" t="s">
        <v>183</v>
      </c>
      <c r="V23" s="135" t="s">
        <v>210</v>
      </c>
      <c r="W23" s="135"/>
      <c r="X23" s="135"/>
      <c r="Y23" s="135"/>
      <c r="Z23" s="135"/>
      <c r="AA23" s="135"/>
      <c r="AB23" s="128"/>
      <c r="AC23" s="128"/>
      <c r="AD23" s="128"/>
      <c r="AE23" s="128"/>
      <c r="AF23" s="128" t="s">
        <v>111</v>
      </c>
      <c r="AG23" s="139"/>
      <c r="AH23" s="121" t="s">
        <v>211</v>
      </c>
      <c r="AI23" s="121" t="s">
        <v>212</v>
      </c>
      <c r="AJ23" s="115" t="s">
        <v>114</v>
      </c>
      <c r="AK23" s="115"/>
      <c r="AL23" s="115"/>
      <c r="AM23" s="115"/>
      <c r="AN23" s="115"/>
      <c r="AO23" s="115"/>
      <c r="AP23" s="115"/>
      <c r="AQ23" s="141"/>
      <c r="AR23" s="141"/>
      <c r="AS23" s="141"/>
      <c r="AT23" s="141"/>
    </row>
    <row r="24" ht="59" hidden="1" customHeight="1" spans="1:46">
      <c r="A24" s="115" t="s">
        <v>101</v>
      </c>
      <c r="B24" s="115" t="s">
        <v>102</v>
      </c>
      <c r="C24" s="115" t="s">
        <v>103</v>
      </c>
      <c r="D24" s="116">
        <v>23</v>
      </c>
      <c r="E24" s="117" t="s">
        <v>213</v>
      </c>
      <c r="F24" s="117" t="s">
        <v>214</v>
      </c>
      <c r="G24" s="118">
        <v>1.36666666666667</v>
      </c>
      <c r="H24" s="118">
        <v>1.3276</v>
      </c>
      <c r="I24" s="118">
        <v>1.38666666666667</v>
      </c>
      <c r="J24" s="118">
        <v>1.491</v>
      </c>
      <c r="K24" s="127">
        <v>2</v>
      </c>
      <c r="L24" s="128"/>
      <c r="M24" s="128" t="s">
        <v>105</v>
      </c>
      <c r="N24" s="128" t="s">
        <v>105</v>
      </c>
      <c r="O24" s="128">
        <f t="shared" si="5"/>
        <v>1.92</v>
      </c>
      <c r="P24" s="128">
        <f t="shared" si="6"/>
        <v>1.68</v>
      </c>
      <c r="Q24" s="128">
        <f t="shared" si="7"/>
        <v>1.44</v>
      </c>
      <c r="R24" s="127">
        <v>1.2</v>
      </c>
      <c r="S24" s="128">
        <f t="shared" si="8"/>
        <v>0.96</v>
      </c>
      <c r="T24" s="128" t="s">
        <v>188</v>
      </c>
      <c r="U24" s="128" t="s">
        <v>183</v>
      </c>
      <c r="V24" s="135" t="s">
        <v>210</v>
      </c>
      <c r="W24" s="135" t="s">
        <v>109</v>
      </c>
      <c r="X24" s="135"/>
      <c r="Y24" s="135"/>
      <c r="Z24" s="135"/>
      <c r="AA24" s="135"/>
      <c r="AB24" s="128"/>
      <c r="AC24" s="128"/>
      <c r="AD24" s="127">
        <v>1.1</v>
      </c>
      <c r="AE24" s="128"/>
      <c r="AF24" s="128" t="s">
        <v>111</v>
      </c>
      <c r="AG24" s="139"/>
      <c r="AH24" s="121" t="s">
        <v>215</v>
      </c>
      <c r="AI24" s="121" t="s">
        <v>212</v>
      </c>
      <c r="AJ24" s="115" t="s">
        <v>114</v>
      </c>
      <c r="AK24" s="115"/>
      <c r="AL24" s="115"/>
      <c r="AM24" s="115"/>
      <c r="AN24" s="115"/>
      <c r="AO24" s="115"/>
      <c r="AP24" s="115"/>
      <c r="AQ24" s="141"/>
      <c r="AR24" s="141"/>
      <c r="AS24" s="141"/>
      <c r="AT24" s="141"/>
    </row>
    <row r="25" ht="59" hidden="1" customHeight="1" spans="1:46">
      <c r="A25" s="115" t="s">
        <v>101</v>
      </c>
      <c r="B25" s="115" t="s">
        <v>102</v>
      </c>
      <c r="C25" s="115" t="s">
        <v>103</v>
      </c>
      <c r="D25" s="116">
        <v>24</v>
      </c>
      <c r="E25" s="117" t="s">
        <v>216</v>
      </c>
      <c r="F25" s="117" t="s">
        <v>19</v>
      </c>
      <c r="G25" s="118">
        <v>10.4266666666667</v>
      </c>
      <c r="H25" s="118">
        <v>8.373</v>
      </c>
      <c r="I25" s="118">
        <v>10.86</v>
      </c>
      <c r="J25" s="118">
        <v>6.64466666666667</v>
      </c>
      <c r="K25" s="127">
        <v>1</v>
      </c>
      <c r="L25" s="128"/>
      <c r="M25" s="128"/>
      <c r="N25" s="128" t="s">
        <v>105</v>
      </c>
      <c r="O25" s="128">
        <f t="shared" si="5"/>
        <v>12.8</v>
      </c>
      <c r="P25" s="128">
        <f t="shared" si="6"/>
        <v>11.2</v>
      </c>
      <c r="Q25" s="128">
        <f t="shared" si="7"/>
        <v>9.6</v>
      </c>
      <c r="R25" s="127">
        <v>8</v>
      </c>
      <c r="S25" s="128">
        <f t="shared" si="8"/>
        <v>6.4</v>
      </c>
      <c r="T25" s="128"/>
      <c r="U25" s="128" t="s">
        <v>217</v>
      </c>
      <c r="V25" s="135" t="s">
        <v>108</v>
      </c>
      <c r="W25" s="135" t="s">
        <v>109</v>
      </c>
      <c r="X25" s="136" t="s">
        <v>110</v>
      </c>
      <c r="Y25" s="135"/>
      <c r="Z25" s="135"/>
      <c r="AA25" s="135"/>
      <c r="AB25" s="128"/>
      <c r="AC25" s="128"/>
      <c r="AD25" s="127">
        <v>3.3</v>
      </c>
      <c r="AE25" s="128"/>
      <c r="AF25" s="128" t="s">
        <v>111</v>
      </c>
      <c r="AG25" s="139" t="s">
        <v>218</v>
      </c>
      <c r="AH25" s="139" t="s">
        <v>219</v>
      </c>
      <c r="AI25" s="121" t="s">
        <v>220</v>
      </c>
      <c r="AJ25" s="115" t="s">
        <v>114</v>
      </c>
      <c r="AK25" s="115"/>
      <c r="AL25" s="115"/>
      <c r="AM25" s="115"/>
      <c r="AN25" s="115"/>
      <c r="AO25" s="115"/>
      <c r="AP25" s="115"/>
      <c r="AQ25" s="141"/>
      <c r="AR25" s="141"/>
      <c r="AS25" s="141"/>
      <c r="AT25" s="141"/>
    </row>
    <row r="26" ht="64" hidden="1" customHeight="1" spans="1:46">
      <c r="A26" s="115" t="s">
        <v>101</v>
      </c>
      <c r="B26" s="115" t="s">
        <v>102</v>
      </c>
      <c r="C26" s="115" t="s">
        <v>103</v>
      </c>
      <c r="D26" s="116">
        <v>25</v>
      </c>
      <c r="E26" s="117" t="s">
        <v>221</v>
      </c>
      <c r="F26" s="117" t="s">
        <v>222</v>
      </c>
      <c r="G26" s="118">
        <v>0</v>
      </c>
      <c r="H26" s="118">
        <v>0.1</v>
      </c>
      <c r="I26" s="118">
        <v>0</v>
      </c>
      <c r="J26" s="118">
        <v>1.21</v>
      </c>
      <c r="K26" s="127">
        <v>1.5</v>
      </c>
      <c r="L26" s="128"/>
      <c r="M26" s="128"/>
      <c r="N26" s="128" t="s">
        <v>105</v>
      </c>
      <c r="O26" s="128">
        <f t="shared" si="5"/>
        <v>3.84</v>
      </c>
      <c r="P26" s="128">
        <f t="shared" si="6"/>
        <v>3.36</v>
      </c>
      <c r="Q26" s="128">
        <f t="shared" si="7"/>
        <v>2.88</v>
      </c>
      <c r="R26" s="127">
        <v>2.4</v>
      </c>
      <c r="S26" s="128">
        <f t="shared" si="8"/>
        <v>1.92</v>
      </c>
      <c r="T26" s="128" t="s">
        <v>106</v>
      </c>
      <c r="U26" s="128" t="s">
        <v>223</v>
      </c>
      <c r="V26" s="135" t="s">
        <v>224</v>
      </c>
      <c r="W26" s="135" t="s">
        <v>109</v>
      </c>
      <c r="X26" s="135"/>
      <c r="Y26" s="135"/>
      <c r="Z26" s="135"/>
      <c r="AA26" s="135"/>
      <c r="AB26" s="128"/>
      <c r="AC26" s="128"/>
      <c r="AD26" s="128"/>
      <c r="AE26" s="128"/>
      <c r="AF26" s="128" t="s">
        <v>111</v>
      </c>
      <c r="AG26" s="139" t="s">
        <v>225</v>
      </c>
      <c r="AH26" s="139" t="s">
        <v>219</v>
      </c>
      <c r="AI26" s="121" t="s">
        <v>226</v>
      </c>
      <c r="AJ26" s="115" t="s">
        <v>114</v>
      </c>
      <c r="AK26" s="115"/>
      <c r="AL26" s="115"/>
      <c r="AM26" s="115"/>
      <c r="AN26" s="115"/>
      <c r="AO26" s="115"/>
      <c r="AP26" s="115"/>
      <c r="AQ26" s="141"/>
      <c r="AR26" s="141"/>
      <c r="AS26" s="141"/>
      <c r="AT26" s="141"/>
    </row>
    <row r="27" ht="59" customHeight="1" spans="1:46">
      <c r="A27" s="115" t="s">
        <v>101</v>
      </c>
      <c r="B27" s="115" t="s">
        <v>102</v>
      </c>
      <c r="C27" s="115" t="s">
        <v>103</v>
      </c>
      <c r="D27" s="116">
        <v>26</v>
      </c>
      <c r="E27" s="117" t="s">
        <v>227</v>
      </c>
      <c r="F27" s="117" t="s">
        <v>228</v>
      </c>
      <c r="G27" s="118">
        <v>10.28</v>
      </c>
      <c r="H27" s="118">
        <v>10.4733333333333</v>
      </c>
      <c r="I27" s="118">
        <v>7</v>
      </c>
      <c r="J27" s="118">
        <v>4.52666666666667</v>
      </c>
      <c r="K27" s="127">
        <v>1.5</v>
      </c>
      <c r="L27" s="128" t="s">
        <v>9</v>
      </c>
      <c r="M27" s="128"/>
      <c r="N27" s="128" t="s">
        <v>105</v>
      </c>
      <c r="O27" s="128">
        <f t="shared" si="5"/>
        <v>3.2</v>
      </c>
      <c r="P27" s="128">
        <f t="shared" si="6"/>
        <v>2.8</v>
      </c>
      <c r="Q27" s="128">
        <f t="shared" si="7"/>
        <v>2.4</v>
      </c>
      <c r="R27" s="127">
        <v>2</v>
      </c>
      <c r="S27" s="128">
        <f t="shared" si="8"/>
        <v>1.6</v>
      </c>
      <c r="T27" s="128"/>
      <c r="U27" s="128"/>
      <c r="V27" s="135" t="s">
        <v>224</v>
      </c>
      <c r="W27" s="135" t="s">
        <v>109</v>
      </c>
      <c r="X27" s="135"/>
      <c r="Y27" s="135"/>
      <c r="Z27" s="135"/>
      <c r="AA27" s="135"/>
      <c r="AB27" s="128"/>
      <c r="AC27" s="128"/>
      <c r="AD27" s="128"/>
      <c r="AE27" s="128" t="s">
        <v>130</v>
      </c>
      <c r="AF27" s="128" t="s">
        <v>111</v>
      </c>
      <c r="AG27" s="139" t="s">
        <v>229</v>
      </c>
      <c r="AH27" s="139" t="s">
        <v>230</v>
      </c>
      <c r="AI27" s="121" t="s">
        <v>231</v>
      </c>
      <c r="AJ27" s="115" t="s">
        <v>134</v>
      </c>
      <c r="AK27" s="115"/>
      <c r="AL27" s="115"/>
      <c r="AM27" s="115"/>
      <c r="AN27" s="115"/>
      <c r="AO27" s="133">
        <v>11.25533333</v>
      </c>
      <c r="AP27" s="131">
        <f>(8.822+9.258+10.5)/3</f>
        <v>9.52666666666667</v>
      </c>
      <c r="AQ27" s="142">
        <f>(8.088+8.054+8.1)/3</f>
        <v>8.08066666666667</v>
      </c>
      <c r="AR27" s="142">
        <f>(13.733+10.9+4.235)/3</f>
        <v>9.62266666666667</v>
      </c>
      <c r="AS27" s="149">
        <f>(AR27-AQ27)/AQ27</f>
        <v>0.190825839452191</v>
      </c>
      <c r="AT27" s="150"/>
    </row>
    <row r="28" ht="59" customHeight="1" spans="1:46">
      <c r="A28" s="115" t="s">
        <v>101</v>
      </c>
      <c r="B28" s="115" t="s">
        <v>102</v>
      </c>
      <c r="C28" s="115" t="s">
        <v>103</v>
      </c>
      <c r="D28" s="116">
        <v>27</v>
      </c>
      <c r="E28" s="117" t="s">
        <v>232</v>
      </c>
      <c r="F28" s="117" t="s">
        <v>233</v>
      </c>
      <c r="G28" s="118">
        <v>4.98666666666667</v>
      </c>
      <c r="H28" s="118">
        <v>1.06666666666667</v>
      </c>
      <c r="I28" s="118">
        <v>4.16</v>
      </c>
      <c r="J28" s="118">
        <v>4.1</v>
      </c>
      <c r="K28" s="127">
        <v>0.5</v>
      </c>
      <c r="L28" s="128"/>
      <c r="M28" s="128"/>
      <c r="N28" s="128" t="s">
        <v>105</v>
      </c>
      <c r="O28" s="128">
        <f t="shared" si="5"/>
        <v>3.2</v>
      </c>
      <c r="P28" s="128">
        <f t="shared" si="6"/>
        <v>2.8</v>
      </c>
      <c r="Q28" s="128">
        <f t="shared" si="7"/>
        <v>2.4</v>
      </c>
      <c r="R28" s="127">
        <v>2</v>
      </c>
      <c r="S28" s="128">
        <f t="shared" si="8"/>
        <v>1.6</v>
      </c>
      <c r="T28" s="128"/>
      <c r="U28" s="128" t="s">
        <v>217</v>
      </c>
      <c r="V28" s="135" t="s">
        <v>224</v>
      </c>
      <c r="W28" s="135" t="s">
        <v>109</v>
      </c>
      <c r="X28" s="135"/>
      <c r="Y28" s="135"/>
      <c r="Z28" s="135"/>
      <c r="AA28" s="135"/>
      <c r="AB28" s="128"/>
      <c r="AC28" s="128"/>
      <c r="AD28" s="128"/>
      <c r="AE28" s="128"/>
      <c r="AF28" s="128" t="s">
        <v>111</v>
      </c>
      <c r="AG28" s="139" t="s">
        <v>234</v>
      </c>
      <c r="AH28" s="139" t="s">
        <v>235</v>
      </c>
      <c r="AI28" s="121" t="s">
        <v>236</v>
      </c>
      <c r="AJ28" s="115" t="s">
        <v>134</v>
      </c>
      <c r="AK28" s="115"/>
      <c r="AL28" s="115"/>
      <c r="AM28" s="115"/>
      <c r="AN28" s="115"/>
      <c r="AO28" s="133">
        <v>5.711</v>
      </c>
      <c r="AP28" s="131">
        <f>(5.31+7.153+4.5)/3</f>
        <v>5.65433333333333</v>
      </c>
      <c r="AQ28" s="142">
        <f>(6.418+6.45+6.717)/3</f>
        <v>6.52833333333333</v>
      </c>
      <c r="AR28" s="145">
        <f>(6.733+5.067+8.067)/3</f>
        <v>6.62233333333333</v>
      </c>
      <c r="AS28" s="149">
        <f>(AR28-AQ28)/AQ28</f>
        <v>0.0143987745723769</v>
      </c>
      <c r="AT28" s="141"/>
    </row>
    <row r="29" ht="59" customHeight="1" spans="1:46">
      <c r="A29" s="115" t="s">
        <v>101</v>
      </c>
      <c r="B29" s="115" t="s">
        <v>102</v>
      </c>
      <c r="C29" s="115" t="s">
        <v>103</v>
      </c>
      <c r="D29" s="116">
        <v>28</v>
      </c>
      <c r="E29" s="117" t="s">
        <v>237</v>
      </c>
      <c r="F29" s="117" t="s">
        <v>238</v>
      </c>
      <c r="G29" s="118">
        <v>5.77</v>
      </c>
      <c r="H29" s="118">
        <v>10.4766666666667</v>
      </c>
      <c r="I29" s="118">
        <v>5.37333333333333</v>
      </c>
      <c r="J29" s="118">
        <v>12.9333333333333</v>
      </c>
      <c r="K29" s="127">
        <v>1</v>
      </c>
      <c r="L29" s="128"/>
      <c r="M29" s="128" t="s">
        <v>105</v>
      </c>
      <c r="N29" s="128" t="s">
        <v>105</v>
      </c>
      <c r="O29" s="128">
        <f t="shared" si="5"/>
        <v>3.2</v>
      </c>
      <c r="P29" s="128">
        <f t="shared" si="6"/>
        <v>2.8</v>
      </c>
      <c r="Q29" s="128">
        <f t="shared" si="7"/>
        <v>2.4</v>
      </c>
      <c r="R29" s="127">
        <v>2</v>
      </c>
      <c r="S29" s="128">
        <f t="shared" si="8"/>
        <v>1.6</v>
      </c>
      <c r="T29" s="128"/>
      <c r="U29" s="128" t="s">
        <v>217</v>
      </c>
      <c r="V29" s="135" t="s">
        <v>108</v>
      </c>
      <c r="W29" s="135" t="s">
        <v>109</v>
      </c>
      <c r="X29" s="136" t="s">
        <v>110</v>
      </c>
      <c r="Y29" s="135"/>
      <c r="Z29" s="135"/>
      <c r="AA29" s="135"/>
      <c r="AB29" s="128"/>
      <c r="AC29" s="128"/>
      <c r="AD29" s="128"/>
      <c r="AE29" s="128"/>
      <c r="AF29" s="128" t="s">
        <v>111</v>
      </c>
      <c r="AG29" s="139" t="s">
        <v>239</v>
      </c>
      <c r="AH29" s="139" t="s">
        <v>235</v>
      </c>
      <c r="AI29" s="121" t="s">
        <v>240</v>
      </c>
      <c r="AJ29" s="115" t="s">
        <v>134</v>
      </c>
      <c r="AK29" s="115"/>
      <c r="AL29" s="115"/>
      <c r="AM29" s="115"/>
      <c r="AN29" s="115"/>
      <c r="AO29" s="133">
        <v>8.533333333</v>
      </c>
      <c r="AP29" s="131">
        <f>(6.317+6.45+5.4)/3</f>
        <v>6.05566666666667</v>
      </c>
      <c r="AQ29" s="142">
        <f>(7.72+7.386+7.5)/3</f>
        <v>7.53533333333333</v>
      </c>
      <c r="AR29" s="142">
        <f>(4.267+7.207+5.39)/3</f>
        <v>5.62133333333333</v>
      </c>
      <c r="AS29" s="149">
        <f>(AR29-AQ29)/AQ29</f>
        <v>-0.254003361939308</v>
      </c>
      <c r="AT29" s="150"/>
    </row>
    <row r="30" ht="59" hidden="1" customHeight="1" spans="1:46">
      <c r="A30" s="115" t="s">
        <v>101</v>
      </c>
      <c r="B30" s="115" t="s">
        <v>102</v>
      </c>
      <c r="C30" s="115" t="s">
        <v>103</v>
      </c>
      <c r="D30" s="116">
        <v>29</v>
      </c>
      <c r="E30" s="117" t="s">
        <v>241</v>
      </c>
      <c r="F30" s="117" t="s">
        <v>242</v>
      </c>
      <c r="G30" s="118">
        <v>2.52666666666667</v>
      </c>
      <c r="H30" s="118">
        <v>2.75833333333333</v>
      </c>
      <c r="I30" s="118">
        <v>2.57333333333333</v>
      </c>
      <c r="J30" s="118">
        <v>2.31333333333333</v>
      </c>
      <c r="K30" s="127">
        <v>0.5</v>
      </c>
      <c r="L30" s="128"/>
      <c r="M30" s="128"/>
      <c r="N30" s="128" t="s">
        <v>105</v>
      </c>
      <c r="O30" s="128">
        <f t="shared" si="5"/>
        <v>3.52</v>
      </c>
      <c r="P30" s="128">
        <f t="shared" si="6"/>
        <v>3.08</v>
      </c>
      <c r="Q30" s="128">
        <f t="shared" si="7"/>
        <v>2.64</v>
      </c>
      <c r="R30" s="127">
        <v>2.2</v>
      </c>
      <c r="S30" s="128">
        <f t="shared" si="8"/>
        <v>1.76</v>
      </c>
      <c r="T30" s="128" t="s">
        <v>243</v>
      </c>
      <c r="U30" s="128" t="s">
        <v>244</v>
      </c>
      <c r="V30" s="135" t="s">
        <v>158</v>
      </c>
      <c r="W30" s="135" t="s">
        <v>109</v>
      </c>
      <c r="X30" s="135"/>
      <c r="Y30" s="135"/>
      <c r="Z30" s="135"/>
      <c r="AA30" s="135"/>
      <c r="AB30" s="128"/>
      <c r="AC30" s="128"/>
      <c r="AD30" s="127">
        <v>1.5</v>
      </c>
      <c r="AE30" s="128"/>
      <c r="AF30" s="128" t="s">
        <v>111</v>
      </c>
      <c r="AG30" s="139"/>
      <c r="AH30" s="121" t="s">
        <v>245</v>
      </c>
      <c r="AI30" s="121" t="s">
        <v>246</v>
      </c>
      <c r="AJ30" s="115" t="s">
        <v>114</v>
      </c>
      <c r="AK30" s="115"/>
      <c r="AL30" s="115"/>
      <c r="AM30" s="115"/>
      <c r="AN30" s="115"/>
      <c r="AO30" s="115"/>
      <c r="AP30" s="115"/>
      <c r="AQ30" s="141"/>
      <c r="AR30" s="141"/>
      <c r="AS30" s="141"/>
      <c r="AT30" s="141"/>
    </row>
    <row r="31" ht="59" hidden="1" customHeight="1" spans="1:46">
      <c r="A31" s="115" t="s">
        <v>101</v>
      </c>
      <c r="B31" s="115" t="s">
        <v>102</v>
      </c>
      <c r="C31" s="115" t="s">
        <v>103</v>
      </c>
      <c r="D31" s="116">
        <v>30</v>
      </c>
      <c r="E31" s="117" t="s">
        <v>247</v>
      </c>
      <c r="F31" s="117" t="s">
        <v>22</v>
      </c>
      <c r="G31" s="118">
        <v>1.28</v>
      </c>
      <c r="H31" s="118">
        <v>0.642666666666667</v>
      </c>
      <c r="I31" s="118">
        <v>1.66</v>
      </c>
      <c r="J31" s="118">
        <v>1.34466666666667</v>
      </c>
      <c r="K31" s="127">
        <v>0.5</v>
      </c>
      <c r="L31" s="128"/>
      <c r="M31" s="128"/>
      <c r="N31" s="128" t="s">
        <v>105</v>
      </c>
      <c r="O31" s="128">
        <f t="shared" si="5"/>
        <v>3.2</v>
      </c>
      <c r="P31" s="128">
        <f t="shared" si="6"/>
        <v>2.8</v>
      </c>
      <c r="Q31" s="128">
        <f t="shared" si="7"/>
        <v>2.4</v>
      </c>
      <c r="R31" s="127">
        <v>2</v>
      </c>
      <c r="S31" s="128">
        <f t="shared" si="8"/>
        <v>1.6</v>
      </c>
      <c r="T31" s="128"/>
      <c r="U31" s="128" t="s">
        <v>244</v>
      </c>
      <c r="V31" s="135" t="s">
        <v>158</v>
      </c>
      <c r="W31" s="135" t="s">
        <v>109</v>
      </c>
      <c r="X31" s="136" t="s">
        <v>110</v>
      </c>
      <c r="Y31" s="135"/>
      <c r="Z31" s="135"/>
      <c r="AA31" s="135"/>
      <c r="AB31" s="128"/>
      <c r="AC31" s="128"/>
      <c r="AD31" s="127">
        <v>1.5</v>
      </c>
      <c r="AE31" s="128"/>
      <c r="AF31" s="128" t="s">
        <v>111</v>
      </c>
      <c r="AG31" s="139"/>
      <c r="AH31" s="121" t="s">
        <v>248</v>
      </c>
      <c r="AI31" s="121" t="s">
        <v>249</v>
      </c>
      <c r="AJ31" s="115" t="s">
        <v>114</v>
      </c>
      <c r="AK31" s="115"/>
      <c r="AL31" s="115"/>
      <c r="AM31" s="115"/>
      <c r="AN31" s="115"/>
      <c r="AO31" s="115"/>
      <c r="AP31" s="115"/>
      <c r="AQ31" s="141"/>
      <c r="AR31" s="141"/>
      <c r="AS31" s="141"/>
      <c r="AT31" s="141"/>
    </row>
    <row r="32" ht="59" hidden="1" customHeight="1" spans="1:46">
      <c r="A32" s="115" t="s">
        <v>101</v>
      </c>
      <c r="B32" s="115" t="s">
        <v>102</v>
      </c>
      <c r="C32" s="115" t="s">
        <v>103</v>
      </c>
      <c r="D32" s="116">
        <v>31</v>
      </c>
      <c r="E32" s="117" t="s">
        <v>250</v>
      </c>
      <c r="F32" s="117" t="s">
        <v>251</v>
      </c>
      <c r="G32" s="118">
        <v>1.21666666666667</v>
      </c>
      <c r="H32" s="118">
        <v>0.491333333333333</v>
      </c>
      <c r="I32" s="118">
        <v>1.16666666666667</v>
      </c>
      <c r="J32" s="118">
        <v>1.04933333333333</v>
      </c>
      <c r="K32" s="127">
        <v>0.5</v>
      </c>
      <c r="L32" s="128"/>
      <c r="M32" s="128"/>
      <c r="N32" s="128"/>
      <c r="O32" s="128">
        <f t="shared" si="5"/>
        <v>1.6</v>
      </c>
      <c r="P32" s="128">
        <f t="shared" si="6"/>
        <v>1.4</v>
      </c>
      <c r="Q32" s="128">
        <f t="shared" si="7"/>
        <v>1.2</v>
      </c>
      <c r="R32" s="127">
        <v>1</v>
      </c>
      <c r="S32" s="128">
        <f t="shared" si="8"/>
        <v>0.8</v>
      </c>
      <c r="T32" s="128"/>
      <c r="U32" s="128" t="s">
        <v>142</v>
      </c>
      <c r="V32" s="135" t="s">
        <v>194</v>
      </c>
      <c r="W32" s="135" t="s">
        <v>109</v>
      </c>
      <c r="X32" s="135"/>
      <c r="Y32" s="135"/>
      <c r="Z32" s="135"/>
      <c r="AA32" s="135"/>
      <c r="AB32" s="128"/>
      <c r="AC32" s="128"/>
      <c r="AD32" s="127">
        <v>0.65</v>
      </c>
      <c r="AE32" s="128"/>
      <c r="AF32" s="128" t="s">
        <v>111</v>
      </c>
      <c r="AG32" s="139"/>
      <c r="AH32" s="139" t="s">
        <v>252</v>
      </c>
      <c r="AI32" s="121" t="s">
        <v>253</v>
      </c>
      <c r="AJ32" s="115" t="s">
        <v>114</v>
      </c>
      <c r="AK32" s="115"/>
      <c r="AL32" s="115"/>
      <c r="AM32" s="115"/>
      <c r="AN32" s="115"/>
      <c r="AO32" s="115"/>
      <c r="AP32" s="115"/>
      <c r="AQ32" s="141"/>
      <c r="AR32" s="141"/>
      <c r="AS32" s="141"/>
      <c r="AT32" s="141"/>
    </row>
    <row r="33" ht="59" hidden="1" customHeight="1" spans="1:46">
      <c r="A33" s="115" t="s">
        <v>101</v>
      </c>
      <c r="B33" s="115" t="s">
        <v>102</v>
      </c>
      <c r="C33" s="115" t="s">
        <v>103</v>
      </c>
      <c r="D33" s="116">
        <v>32</v>
      </c>
      <c r="E33" s="117" t="s">
        <v>254</v>
      </c>
      <c r="F33" s="117" t="s">
        <v>255</v>
      </c>
      <c r="G33" s="118"/>
      <c r="H33" s="118">
        <v>2.933</v>
      </c>
      <c r="I33" s="118"/>
      <c r="J33" s="118"/>
      <c r="K33" s="127">
        <v>0.5</v>
      </c>
      <c r="L33" s="128"/>
      <c r="M33" s="128"/>
      <c r="N33" s="128" t="s">
        <v>105</v>
      </c>
      <c r="O33" s="128">
        <f t="shared" si="5"/>
        <v>5.28</v>
      </c>
      <c r="P33" s="128">
        <f t="shared" si="6"/>
        <v>4.62</v>
      </c>
      <c r="Q33" s="128">
        <f t="shared" si="7"/>
        <v>3.96</v>
      </c>
      <c r="R33" s="127">
        <v>3.3</v>
      </c>
      <c r="S33" s="128">
        <f t="shared" si="8"/>
        <v>2.64</v>
      </c>
      <c r="T33" s="128"/>
      <c r="U33" s="128" t="s">
        <v>244</v>
      </c>
      <c r="V33" s="135" t="s">
        <v>158</v>
      </c>
      <c r="W33" s="135"/>
      <c r="X33" s="135"/>
      <c r="Y33" s="135"/>
      <c r="Z33" s="135"/>
      <c r="AA33" s="135"/>
      <c r="AB33" s="128"/>
      <c r="AC33" s="128"/>
      <c r="AD33" s="128"/>
      <c r="AE33" s="128"/>
      <c r="AF33" s="128" t="s">
        <v>111</v>
      </c>
      <c r="AG33" s="139"/>
      <c r="AH33" s="121" t="s">
        <v>256</v>
      </c>
      <c r="AI33" s="121" t="s">
        <v>257</v>
      </c>
      <c r="AJ33" s="115" t="s">
        <v>114</v>
      </c>
      <c r="AK33" s="115"/>
      <c r="AL33" s="115"/>
      <c r="AM33" s="115"/>
      <c r="AN33" s="115"/>
      <c r="AO33" s="115"/>
      <c r="AP33" s="115"/>
      <c r="AQ33" s="141"/>
      <c r="AR33" s="141"/>
      <c r="AS33" s="141"/>
      <c r="AT33" s="141"/>
    </row>
    <row r="34" ht="59" hidden="1" customHeight="1" spans="1:46">
      <c r="A34" s="115" t="s">
        <v>101</v>
      </c>
      <c r="B34" s="115" t="s">
        <v>102</v>
      </c>
      <c r="C34" s="115" t="s">
        <v>103</v>
      </c>
      <c r="D34" s="116">
        <v>33</v>
      </c>
      <c r="E34" s="117" t="s">
        <v>258</v>
      </c>
      <c r="F34" s="117" t="s">
        <v>258</v>
      </c>
      <c r="G34" s="118"/>
      <c r="H34" s="118"/>
      <c r="I34" s="118"/>
      <c r="J34" s="118"/>
      <c r="K34" s="127">
        <v>0.5</v>
      </c>
      <c r="L34" s="128"/>
      <c r="M34" s="128"/>
      <c r="N34" s="128" t="s">
        <v>105</v>
      </c>
      <c r="O34" s="128"/>
      <c r="P34" s="128"/>
      <c r="Q34" s="128"/>
      <c r="R34" s="128"/>
      <c r="S34" s="128"/>
      <c r="T34" s="128"/>
      <c r="U34" s="128" t="s">
        <v>188</v>
      </c>
      <c r="V34" s="135" t="s">
        <v>194</v>
      </c>
      <c r="W34" s="135"/>
      <c r="X34" s="135"/>
      <c r="Y34" s="135"/>
      <c r="Z34" s="135"/>
      <c r="AA34" s="135"/>
      <c r="AB34" s="128"/>
      <c r="AC34" s="128"/>
      <c r="AD34" s="128"/>
      <c r="AE34" s="128"/>
      <c r="AF34" s="128" t="s">
        <v>111</v>
      </c>
      <c r="AG34" s="139"/>
      <c r="AH34" s="121" t="s">
        <v>259</v>
      </c>
      <c r="AI34" s="121" t="s">
        <v>260</v>
      </c>
      <c r="AJ34" s="115" t="s">
        <v>114</v>
      </c>
      <c r="AK34" s="115"/>
      <c r="AL34" s="115"/>
      <c r="AM34" s="115"/>
      <c r="AN34" s="115"/>
      <c r="AO34" s="115"/>
      <c r="AP34" s="115"/>
      <c r="AQ34" s="141"/>
      <c r="AR34" s="141"/>
      <c r="AS34" s="141"/>
      <c r="AT34" s="141"/>
    </row>
    <row r="35" ht="59" hidden="1" customHeight="1" spans="1:46">
      <c r="A35" s="115" t="s">
        <v>101</v>
      </c>
      <c r="B35" s="115" t="s">
        <v>102</v>
      </c>
      <c r="C35" s="115" t="s">
        <v>103</v>
      </c>
      <c r="D35" s="116">
        <v>34</v>
      </c>
      <c r="E35" s="119" t="s">
        <v>261</v>
      </c>
      <c r="F35" s="119" t="s">
        <v>261</v>
      </c>
      <c r="G35" s="120"/>
      <c r="H35" s="120">
        <v>44.3976666666667</v>
      </c>
      <c r="I35" s="120"/>
      <c r="J35" s="120">
        <v>47.6766666666667</v>
      </c>
      <c r="K35" s="127">
        <v>2</v>
      </c>
      <c r="L35" s="128"/>
      <c r="M35" s="128"/>
      <c r="N35" s="128" t="s">
        <v>105</v>
      </c>
      <c r="O35" s="128">
        <f t="shared" ref="O35:O66" si="9">R35*1.6</f>
        <v>111.2496</v>
      </c>
      <c r="P35" s="128">
        <f t="shared" ref="P35:P66" si="10">R35*1.4</f>
        <v>97.3434</v>
      </c>
      <c r="Q35" s="128">
        <f t="shared" ref="Q35:Q66" si="11">R35*1.2</f>
        <v>83.4372</v>
      </c>
      <c r="R35" s="127">
        <v>69.531</v>
      </c>
      <c r="S35" s="128">
        <f t="shared" ref="S35:S52" si="12">R35*0.8</f>
        <v>55.6248</v>
      </c>
      <c r="T35" s="128"/>
      <c r="U35" s="128" t="s">
        <v>262</v>
      </c>
      <c r="V35" s="135" t="s">
        <v>194</v>
      </c>
      <c r="W35" s="135"/>
      <c r="X35" s="135"/>
      <c r="Y35" s="135"/>
      <c r="Z35" s="135"/>
      <c r="AA35" s="135"/>
      <c r="AB35" s="128"/>
      <c r="AC35" s="128"/>
      <c r="AD35" s="128"/>
      <c r="AE35" s="128"/>
      <c r="AF35" s="128" t="s">
        <v>111</v>
      </c>
      <c r="AG35" s="139"/>
      <c r="AH35" s="139" t="s">
        <v>263</v>
      </c>
      <c r="AI35" s="121" t="s">
        <v>264</v>
      </c>
      <c r="AJ35" s="115" t="s">
        <v>114</v>
      </c>
      <c r="AK35" s="115"/>
      <c r="AL35" s="115"/>
      <c r="AM35" s="115"/>
      <c r="AN35" s="115"/>
      <c r="AO35" s="115"/>
      <c r="AP35" s="115"/>
      <c r="AQ35" s="141"/>
      <c r="AR35" s="141"/>
      <c r="AS35" s="141"/>
      <c r="AT35" s="141"/>
    </row>
    <row r="36" ht="107" customHeight="1" spans="1:46">
      <c r="A36" s="115" t="s">
        <v>101</v>
      </c>
      <c r="B36" s="115" t="s">
        <v>102</v>
      </c>
      <c r="C36" s="115" t="s">
        <v>33</v>
      </c>
      <c r="D36" s="116">
        <v>35</v>
      </c>
      <c r="E36" s="121" t="s">
        <v>265</v>
      </c>
      <c r="F36" s="121" t="s">
        <v>266</v>
      </c>
      <c r="G36" s="122">
        <v>2.46</v>
      </c>
      <c r="H36" s="122">
        <v>1.70333333333333</v>
      </c>
      <c r="I36" s="122">
        <v>3.22666666666667</v>
      </c>
      <c r="J36" s="122">
        <v>1.92666666666667</v>
      </c>
      <c r="K36" s="129">
        <v>1.5</v>
      </c>
      <c r="L36" s="130"/>
      <c r="M36" s="128"/>
      <c r="N36" s="128"/>
      <c r="O36" s="128">
        <f t="shared" si="9"/>
        <v>2.4</v>
      </c>
      <c r="P36" s="128">
        <f t="shared" si="10"/>
        <v>2.1</v>
      </c>
      <c r="Q36" s="128">
        <f t="shared" si="11"/>
        <v>1.8</v>
      </c>
      <c r="R36" s="127">
        <v>1.5</v>
      </c>
      <c r="S36" s="128">
        <f t="shared" si="12"/>
        <v>1.2</v>
      </c>
      <c r="T36" s="128"/>
      <c r="U36" s="128" t="s">
        <v>142</v>
      </c>
      <c r="V36" s="135" t="s">
        <v>108</v>
      </c>
      <c r="W36" s="135" t="s">
        <v>109</v>
      </c>
      <c r="X36" s="136" t="s">
        <v>110</v>
      </c>
      <c r="Y36" s="135"/>
      <c r="Z36" s="135"/>
      <c r="AA36" s="135"/>
      <c r="AB36" s="128"/>
      <c r="AC36" s="128"/>
      <c r="AD36" s="127">
        <v>0.5</v>
      </c>
      <c r="AE36" s="128"/>
      <c r="AF36" s="128" t="s">
        <v>111</v>
      </c>
      <c r="AG36" s="139" t="s">
        <v>267</v>
      </c>
      <c r="AH36" s="139" t="s">
        <v>230</v>
      </c>
      <c r="AI36" s="140" t="s">
        <v>268</v>
      </c>
      <c r="AJ36" s="115" t="s">
        <v>134</v>
      </c>
      <c r="AK36" s="115"/>
      <c r="AL36" s="115"/>
      <c r="AM36" s="115"/>
      <c r="AN36" s="115"/>
      <c r="AO36" s="131" t="s">
        <v>9</v>
      </c>
      <c r="AP36" s="131">
        <f>(1.667+2.267+2.734)/3</f>
        <v>2.22266666666667</v>
      </c>
      <c r="AQ36" s="142">
        <f>(2.967+2.333+2.634)/3</f>
        <v>2.64466666666667</v>
      </c>
      <c r="AR36" s="145">
        <f>(1.333+2.767+2.4)/3</f>
        <v>2.16666666666667</v>
      </c>
      <c r="AS36" s="149">
        <f>(AR36-AQ36)/AQ36</f>
        <v>-0.180741114192085</v>
      </c>
      <c r="AT36" s="141"/>
    </row>
    <row r="37" ht="59" customHeight="1" spans="1:46">
      <c r="A37" s="115" t="s">
        <v>101</v>
      </c>
      <c r="B37" s="115" t="s">
        <v>102</v>
      </c>
      <c r="C37" s="115" t="s">
        <v>202</v>
      </c>
      <c r="D37" s="116">
        <v>36</v>
      </c>
      <c r="E37" s="121" t="s">
        <v>269</v>
      </c>
      <c r="F37" s="121" t="s">
        <v>270</v>
      </c>
      <c r="G37" s="122"/>
      <c r="H37" s="122">
        <v>9.32333333333333</v>
      </c>
      <c r="I37" s="122"/>
      <c r="J37" s="122">
        <v>4.79</v>
      </c>
      <c r="K37" s="129">
        <v>1.5</v>
      </c>
      <c r="L37" s="130"/>
      <c r="M37" s="128"/>
      <c r="N37" s="128"/>
      <c r="O37" s="128">
        <f t="shared" si="9"/>
        <v>6.72</v>
      </c>
      <c r="P37" s="128">
        <f t="shared" si="10"/>
        <v>5.88</v>
      </c>
      <c r="Q37" s="128">
        <f t="shared" si="11"/>
        <v>5.04</v>
      </c>
      <c r="R37" s="127">
        <v>4.2</v>
      </c>
      <c r="S37" s="128">
        <f t="shared" si="12"/>
        <v>3.36</v>
      </c>
      <c r="T37" s="128"/>
      <c r="U37" s="128" t="s">
        <v>142</v>
      </c>
      <c r="V37" s="135" t="s">
        <v>194</v>
      </c>
      <c r="W37" s="135"/>
      <c r="X37" s="135"/>
      <c r="Y37" s="135"/>
      <c r="Z37" s="135"/>
      <c r="AA37" s="135"/>
      <c r="AB37" s="128"/>
      <c r="AC37" s="128"/>
      <c r="AD37" s="128"/>
      <c r="AE37" s="128"/>
      <c r="AF37" s="128" t="s">
        <v>111</v>
      </c>
      <c r="AG37" s="139" t="s">
        <v>271</v>
      </c>
      <c r="AH37" s="139" t="s">
        <v>230</v>
      </c>
      <c r="AI37" s="140" t="s">
        <v>272</v>
      </c>
      <c r="AJ37" s="115" t="s">
        <v>134</v>
      </c>
      <c r="AK37" s="115"/>
      <c r="AL37" s="115"/>
      <c r="AM37" s="115"/>
      <c r="AN37" s="115"/>
      <c r="AO37" s="133">
        <v>8.337333333</v>
      </c>
      <c r="AP37" s="131">
        <f>(3.233+3.7+3.6)/3</f>
        <v>3.511</v>
      </c>
      <c r="AQ37" s="142">
        <f>(5.4+5.134+5.966)/3</f>
        <v>5.5</v>
      </c>
      <c r="AR37" s="145">
        <f>(5.433+4.843+4.6)/3</f>
        <v>4.95866666666667</v>
      </c>
      <c r="AS37" s="149">
        <f>(AR37-AQ37)/AQ37</f>
        <v>-0.0984242424242424</v>
      </c>
      <c r="AT37" s="141"/>
    </row>
    <row r="38" ht="59" customHeight="1" spans="1:46">
      <c r="A38" s="115" t="s">
        <v>101</v>
      </c>
      <c r="B38" s="115" t="s">
        <v>102</v>
      </c>
      <c r="C38" s="115" t="s">
        <v>33</v>
      </c>
      <c r="D38" s="116">
        <v>37</v>
      </c>
      <c r="E38" s="121" t="s">
        <v>273</v>
      </c>
      <c r="F38" s="121" t="s">
        <v>274</v>
      </c>
      <c r="G38" s="122">
        <v>3.07666666666667</v>
      </c>
      <c r="H38" s="122">
        <v>3.87933333333333</v>
      </c>
      <c r="I38" s="122" t="s">
        <v>275</v>
      </c>
      <c r="J38" s="122"/>
      <c r="K38" s="129">
        <v>1.5</v>
      </c>
      <c r="L38" s="130" t="s">
        <v>9</v>
      </c>
      <c r="M38" s="128"/>
      <c r="N38" s="128"/>
      <c r="O38" s="128">
        <f t="shared" si="9"/>
        <v>8</v>
      </c>
      <c r="P38" s="128">
        <f t="shared" si="10"/>
        <v>7</v>
      </c>
      <c r="Q38" s="128">
        <f t="shared" si="11"/>
        <v>6</v>
      </c>
      <c r="R38" s="127">
        <v>5</v>
      </c>
      <c r="S38" s="128">
        <f t="shared" si="12"/>
        <v>4</v>
      </c>
      <c r="T38" s="128"/>
      <c r="U38" s="128" t="s">
        <v>106</v>
      </c>
      <c r="V38" s="135" t="s">
        <v>194</v>
      </c>
      <c r="W38" s="135" t="s">
        <v>109</v>
      </c>
      <c r="X38" s="135"/>
      <c r="Y38" s="135"/>
      <c r="Z38" s="135"/>
      <c r="AA38" s="135"/>
      <c r="AB38" s="128"/>
      <c r="AC38" s="128"/>
      <c r="AD38" s="128"/>
      <c r="AE38" s="128"/>
      <c r="AF38" s="128" t="s">
        <v>111</v>
      </c>
      <c r="AG38" s="139" t="s">
        <v>276</v>
      </c>
      <c r="AH38" s="139" t="s">
        <v>230</v>
      </c>
      <c r="AI38" s="140" t="s">
        <v>277</v>
      </c>
      <c r="AJ38" s="115" t="s">
        <v>134</v>
      </c>
      <c r="AK38" s="115"/>
      <c r="AL38" s="115"/>
      <c r="AM38" s="115"/>
      <c r="AN38" s="115"/>
      <c r="AO38" s="131" t="s">
        <v>278</v>
      </c>
      <c r="AP38" s="131" t="s">
        <v>278</v>
      </c>
      <c r="AQ38" s="131" t="s">
        <v>278</v>
      </c>
      <c r="AR38" s="131" t="s">
        <v>278</v>
      </c>
      <c r="AS38" s="149" t="e">
        <f>(AR38-AQ38)/AQ38</f>
        <v>#VALUE!</v>
      </c>
      <c r="AT38" s="141"/>
    </row>
    <row r="39" ht="106" customHeight="1" spans="1:46">
      <c r="A39" s="115" t="s">
        <v>101</v>
      </c>
      <c r="B39" s="115" t="s">
        <v>102</v>
      </c>
      <c r="C39" s="115" t="s">
        <v>33</v>
      </c>
      <c r="D39" s="116">
        <v>38</v>
      </c>
      <c r="E39" s="121" t="s">
        <v>279</v>
      </c>
      <c r="F39" s="121" t="s">
        <v>280</v>
      </c>
      <c r="G39" s="122">
        <v>6.84</v>
      </c>
      <c r="H39" s="122">
        <v>10.007</v>
      </c>
      <c r="I39" s="122" t="s">
        <v>275</v>
      </c>
      <c r="J39" s="122"/>
      <c r="K39" s="129">
        <v>1.5</v>
      </c>
      <c r="L39" s="130" t="s">
        <v>9</v>
      </c>
      <c r="M39" s="128"/>
      <c r="N39" s="128"/>
      <c r="O39" s="128">
        <f t="shared" si="9"/>
        <v>24</v>
      </c>
      <c r="P39" s="128">
        <f t="shared" si="10"/>
        <v>21</v>
      </c>
      <c r="Q39" s="128">
        <f t="shared" si="11"/>
        <v>18</v>
      </c>
      <c r="R39" s="127">
        <v>15</v>
      </c>
      <c r="S39" s="128">
        <f t="shared" si="12"/>
        <v>12</v>
      </c>
      <c r="T39" s="128"/>
      <c r="U39" s="128" t="s">
        <v>106</v>
      </c>
      <c r="V39" s="135" t="s">
        <v>224</v>
      </c>
      <c r="W39" s="135" t="s">
        <v>109</v>
      </c>
      <c r="X39" s="135"/>
      <c r="Y39" s="135"/>
      <c r="Z39" s="135"/>
      <c r="AA39" s="135"/>
      <c r="AB39" s="128"/>
      <c r="AC39" s="128"/>
      <c r="AD39" s="128"/>
      <c r="AE39" s="128"/>
      <c r="AF39" s="128" t="s">
        <v>111</v>
      </c>
      <c r="AG39" s="121" t="s">
        <v>281</v>
      </c>
      <c r="AH39" s="139" t="s">
        <v>230</v>
      </c>
      <c r="AI39" s="140" t="s">
        <v>282</v>
      </c>
      <c r="AJ39" s="115" t="s">
        <v>134</v>
      </c>
      <c r="AK39" s="115"/>
      <c r="AL39" s="115"/>
      <c r="AM39" s="115"/>
      <c r="AN39" s="115"/>
      <c r="AO39" s="131" t="s">
        <v>278</v>
      </c>
      <c r="AP39" s="131" t="s">
        <v>278</v>
      </c>
      <c r="AQ39" s="131" t="s">
        <v>278</v>
      </c>
      <c r="AR39" s="131" t="s">
        <v>278</v>
      </c>
      <c r="AS39" s="149" t="e">
        <f>(AR39-AQ39)/AQ39</f>
        <v>#VALUE!</v>
      </c>
      <c r="AT39" s="141"/>
    </row>
    <row r="40" ht="59" hidden="1" customHeight="1" spans="1:46">
      <c r="A40" s="115" t="s">
        <v>101</v>
      </c>
      <c r="B40" s="115" t="s">
        <v>102</v>
      </c>
      <c r="C40" s="115" t="s">
        <v>103</v>
      </c>
      <c r="D40" s="116">
        <v>39</v>
      </c>
      <c r="E40" s="119" t="s">
        <v>283</v>
      </c>
      <c r="F40" s="119" t="s">
        <v>283</v>
      </c>
      <c r="G40" s="120">
        <v>2.69333333333333</v>
      </c>
      <c r="H40" s="120">
        <v>0.859333333333333</v>
      </c>
      <c r="I40" s="120">
        <v>1.58</v>
      </c>
      <c r="J40" s="120">
        <v>0.868666666666667</v>
      </c>
      <c r="K40" s="127">
        <v>0.5</v>
      </c>
      <c r="L40" s="128"/>
      <c r="M40" s="128"/>
      <c r="N40" s="128" t="s">
        <v>105</v>
      </c>
      <c r="O40" s="128">
        <f t="shared" si="9"/>
        <v>2.56</v>
      </c>
      <c r="P40" s="128">
        <f t="shared" si="10"/>
        <v>2.24</v>
      </c>
      <c r="Q40" s="128">
        <f t="shared" si="11"/>
        <v>1.92</v>
      </c>
      <c r="R40" s="127">
        <v>1.6</v>
      </c>
      <c r="S40" s="128">
        <f t="shared" si="12"/>
        <v>1.28</v>
      </c>
      <c r="T40" s="128"/>
      <c r="U40" s="128" t="s">
        <v>183</v>
      </c>
      <c r="V40" s="135" t="s">
        <v>143</v>
      </c>
      <c r="W40" s="135" t="s">
        <v>109</v>
      </c>
      <c r="X40" s="135"/>
      <c r="Y40" s="135"/>
      <c r="Z40" s="135"/>
      <c r="AA40" s="135"/>
      <c r="AB40" s="128"/>
      <c r="AC40" s="128"/>
      <c r="AD40" s="127">
        <v>0.95</v>
      </c>
      <c r="AE40" s="128"/>
      <c r="AF40" s="128" t="s">
        <v>111</v>
      </c>
      <c r="AG40" s="139"/>
      <c r="AH40" s="139" t="s">
        <v>284</v>
      </c>
      <c r="AI40" s="121" t="s">
        <v>285</v>
      </c>
      <c r="AJ40" s="115" t="s">
        <v>114</v>
      </c>
      <c r="AK40" s="115"/>
      <c r="AL40" s="115"/>
      <c r="AM40" s="115"/>
      <c r="AN40" s="115"/>
      <c r="AO40" s="115"/>
      <c r="AP40" s="115"/>
      <c r="AQ40" s="141"/>
      <c r="AR40" s="141"/>
      <c r="AS40" s="141"/>
      <c r="AT40" s="141"/>
    </row>
    <row r="41" ht="59" customHeight="1" spans="1:46">
      <c r="A41" s="115" t="s">
        <v>101</v>
      </c>
      <c r="B41" s="115" t="s">
        <v>102</v>
      </c>
      <c r="C41" s="115" t="s">
        <v>103</v>
      </c>
      <c r="D41" s="116">
        <v>40</v>
      </c>
      <c r="E41" s="119" t="s">
        <v>286</v>
      </c>
      <c r="F41" s="119" t="s">
        <v>287</v>
      </c>
      <c r="G41" s="120"/>
      <c r="H41" s="120"/>
      <c r="I41" s="120"/>
      <c r="J41" s="120"/>
      <c r="K41" s="127">
        <v>1</v>
      </c>
      <c r="L41" s="128"/>
      <c r="M41" s="128"/>
      <c r="N41" s="128" t="s">
        <v>105</v>
      </c>
      <c r="O41" s="128">
        <f t="shared" si="9"/>
        <v>4.8</v>
      </c>
      <c r="P41" s="128">
        <f t="shared" si="10"/>
        <v>4.2</v>
      </c>
      <c r="Q41" s="128">
        <f t="shared" si="11"/>
        <v>3.6</v>
      </c>
      <c r="R41" s="127">
        <v>3</v>
      </c>
      <c r="S41" s="128">
        <f t="shared" si="12"/>
        <v>2.4</v>
      </c>
      <c r="T41" s="128"/>
      <c r="U41" s="128" t="s">
        <v>183</v>
      </c>
      <c r="V41" s="135" t="s">
        <v>210</v>
      </c>
      <c r="W41" s="135"/>
      <c r="X41" s="135"/>
      <c r="Y41" s="135"/>
      <c r="Z41" s="135"/>
      <c r="AA41" s="135"/>
      <c r="AB41" s="128"/>
      <c r="AC41" s="128"/>
      <c r="AD41" s="128"/>
      <c r="AE41" s="128" t="s">
        <v>130</v>
      </c>
      <c r="AF41" s="128" t="s">
        <v>111</v>
      </c>
      <c r="AG41" s="139" t="s">
        <v>288</v>
      </c>
      <c r="AH41" s="139" t="s">
        <v>289</v>
      </c>
      <c r="AI41" s="121" t="s">
        <v>290</v>
      </c>
      <c r="AJ41" s="115" t="s">
        <v>134</v>
      </c>
      <c r="AK41" s="115"/>
      <c r="AL41" s="115"/>
      <c r="AM41" s="115"/>
      <c r="AN41" s="115"/>
      <c r="AO41" s="133">
        <v>4.322</v>
      </c>
      <c r="AP41" s="133">
        <v>4.909333333</v>
      </c>
      <c r="AQ41" s="142">
        <f>(4.678+4.645+4.6)/3</f>
        <v>4.641</v>
      </c>
      <c r="AR41" s="142">
        <f>(4.667+5.1+4.7)/3</f>
        <v>4.82233333333333</v>
      </c>
      <c r="AS41" s="149">
        <f>(AR41-AQ41)/AQ41</f>
        <v>0.039072039072039</v>
      </c>
      <c r="AT41" s="141"/>
    </row>
    <row r="42" ht="68" customHeight="1" spans="1:46">
      <c r="A42" s="115" t="s">
        <v>101</v>
      </c>
      <c r="B42" s="115" t="s">
        <v>102</v>
      </c>
      <c r="C42" s="115" t="s">
        <v>103</v>
      </c>
      <c r="D42" s="116">
        <v>41</v>
      </c>
      <c r="E42" s="119" t="s">
        <v>291</v>
      </c>
      <c r="F42" s="119" t="s">
        <v>292</v>
      </c>
      <c r="G42" s="120">
        <v>2.94333333333333</v>
      </c>
      <c r="H42" s="120"/>
      <c r="I42" s="120">
        <v>2.1</v>
      </c>
      <c r="J42" s="120"/>
      <c r="K42" s="127">
        <v>1</v>
      </c>
      <c r="L42" s="128" t="s">
        <v>293</v>
      </c>
      <c r="M42" s="132"/>
      <c r="N42" s="128" t="s">
        <v>105</v>
      </c>
      <c r="O42" s="128">
        <f t="shared" si="9"/>
        <v>4</v>
      </c>
      <c r="P42" s="128">
        <f t="shared" si="10"/>
        <v>3.5</v>
      </c>
      <c r="Q42" s="128">
        <f t="shared" si="11"/>
        <v>3</v>
      </c>
      <c r="R42" s="127">
        <v>2.5</v>
      </c>
      <c r="S42" s="128">
        <f t="shared" si="12"/>
        <v>2</v>
      </c>
      <c r="T42" s="128"/>
      <c r="U42" s="128" t="s">
        <v>183</v>
      </c>
      <c r="V42" s="135" t="s">
        <v>210</v>
      </c>
      <c r="W42" s="135" t="s">
        <v>109</v>
      </c>
      <c r="X42" s="135"/>
      <c r="Y42" s="135"/>
      <c r="Z42" s="135"/>
      <c r="AA42" s="135"/>
      <c r="AB42" s="128"/>
      <c r="AC42" s="128"/>
      <c r="AD42" s="127">
        <v>1.93</v>
      </c>
      <c r="AE42" s="128" t="s">
        <v>130</v>
      </c>
      <c r="AF42" s="128" t="s">
        <v>111</v>
      </c>
      <c r="AG42" s="121" t="s">
        <v>294</v>
      </c>
      <c r="AH42" s="119" t="s">
        <v>289</v>
      </c>
      <c r="AI42" s="121" t="s">
        <v>295</v>
      </c>
      <c r="AJ42" s="115" t="s">
        <v>134</v>
      </c>
      <c r="AK42" s="115"/>
      <c r="AL42" s="115"/>
      <c r="AM42" s="115"/>
      <c r="AN42" s="115"/>
      <c r="AO42" s="133">
        <v>1.877666667</v>
      </c>
      <c r="AP42" s="133">
        <v>4.086666667</v>
      </c>
      <c r="AQ42" s="142">
        <f>(4.38+4.078+4.1)/3</f>
        <v>4.186</v>
      </c>
      <c r="AR42" s="142">
        <f>(1.766+1.7+1.833)/3</f>
        <v>1.76633333333333</v>
      </c>
      <c r="AS42" s="149">
        <f>(AR42-AQ42)/AQ42</f>
        <v>-0.578037904124861</v>
      </c>
      <c r="AT42" s="141"/>
    </row>
    <row r="43" ht="59" customHeight="1" spans="1:46">
      <c r="A43" s="115" t="s">
        <v>101</v>
      </c>
      <c r="B43" s="115" t="s">
        <v>102</v>
      </c>
      <c r="C43" s="115" t="s">
        <v>103</v>
      </c>
      <c r="D43" s="116">
        <v>42</v>
      </c>
      <c r="E43" s="117" t="s">
        <v>296</v>
      </c>
      <c r="F43" s="117" t="s">
        <v>296</v>
      </c>
      <c r="G43" s="118">
        <v>1.47333333333333</v>
      </c>
      <c r="H43" s="118">
        <v>1.90666666666667</v>
      </c>
      <c r="I43" s="118">
        <v>1.55666666666667</v>
      </c>
      <c r="J43" s="118">
        <v>0.993333333333333</v>
      </c>
      <c r="K43" s="127">
        <v>1</v>
      </c>
      <c r="L43" s="128" t="s">
        <v>293</v>
      </c>
      <c r="M43" s="128"/>
      <c r="N43" s="128"/>
      <c r="O43" s="128">
        <f t="shared" si="9"/>
        <v>2.4</v>
      </c>
      <c r="P43" s="128">
        <f t="shared" si="10"/>
        <v>2.1</v>
      </c>
      <c r="Q43" s="128">
        <f t="shared" si="11"/>
        <v>1.8</v>
      </c>
      <c r="R43" s="127">
        <v>1.5</v>
      </c>
      <c r="S43" s="128">
        <f t="shared" si="12"/>
        <v>1.2</v>
      </c>
      <c r="T43" s="128"/>
      <c r="U43" s="128" t="s">
        <v>183</v>
      </c>
      <c r="V43" s="135" t="s">
        <v>143</v>
      </c>
      <c r="W43" s="135" t="s">
        <v>109</v>
      </c>
      <c r="X43" s="135"/>
      <c r="Y43" s="135"/>
      <c r="Z43" s="135"/>
      <c r="AA43" s="135"/>
      <c r="AB43" s="128"/>
      <c r="AC43" s="128"/>
      <c r="AD43" s="127">
        <v>1.616666667</v>
      </c>
      <c r="AE43" s="128" t="s">
        <v>130</v>
      </c>
      <c r="AF43" s="128" t="s">
        <v>111</v>
      </c>
      <c r="AG43" s="139" t="s">
        <v>297</v>
      </c>
      <c r="AH43" s="139" t="s">
        <v>298</v>
      </c>
      <c r="AI43" s="121" t="s">
        <v>299</v>
      </c>
      <c r="AJ43" s="115" t="s">
        <v>134</v>
      </c>
      <c r="AK43" s="115"/>
      <c r="AL43" s="115"/>
      <c r="AM43" s="115"/>
      <c r="AN43" s="115"/>
      <c r="AO43" s="133">
        <v>1.681333333</v>
      </c>
      <c r="AP43" s="133">
        <v>2.123666667</v>
      </c>
      <c r="AQ43" s="142">
        <f>(1.954+1.93+1.98)/3</f>
        <v>1.95466666666667</v>
      </c>
      <c r="AR43" s="142">
        <f>(1.866+1.9+1.634)/3</f>
        <v>1.8</v>
      </c>
      <c r="AS43" s="149">
        <f>(AR43-AQ43)/AQ43</f>
        <v>-0.0791268758526602</v>
      </c>
      <c r="AT43" s="141"/>
    </row>
    <row r="44" ht="59" customHeight="1" spans="1:46">
      <c r="A44" s="115" t="s">
        <v>101</v>
      </c>
      <c r="B44" s="115" t="s">
        <v>102</v>
      </c>
      <c r="C44" s="115" t="s">
        <v>103</v>
      </c>
      <c r="D44" s="116">
        <v>43</v>
      </c>
      <c r="E44" s="117" t="s">
        <v>300</v>
      </c>
      <c r="F44" s="117" t="s">
        <v>300</v>
      </c>
      <c r="G44" s="118">
        <v>1.63666666666667</v>
      </c>
      <c r="H44" s="118">
        <v>1.93666666666667</v>
      </c>
      <c r="I44" s="118">
        <v>1.79333333333333</v>
      </c>
      <c r="J44" s="118">
        <v>1.1</v>
      </c>
      <c r="K44" s="127">
        <v>1</v>
      </c>
      <c r="L44" s="128" t="s">
        <v>293</v>
      </c>
      <c r="M44" s="128"/>
      <c r="N44" s="128"/>
      <c r="O44" s="128">
        <f t="shared" si="9"/>
        <v>2.4</v>
      </c>
      <c r="P44" s="128">
        <f t="shared" si="10"/>
        <v>2.1</v>
      </c>
      <c r="Q44" s="128">
        <f t="shared" si="11"/>
        <v>1.8</v>
      </c>
      <c r="R44" s="127">
        <v>1.5</v>
      </c>
      <c r="S44" s="128">
        <f t="shared" si="12"/>
        <v>1.2</v>
      </c>
      <c r="T44" s="128"/>
      <c r="U44" s="128" t="s">
        <v>183</v>
      </c>
      <c r="V44" s="135" t="s">
        <v>143</v>
      </c>
      <c r="W44" s="135" t="s">
        <v>109</v>
      </c>
      <c r="X44" s="135"/>
      <c r="Y44" s="135"/>
      <c r="Z44" s="135"/>
      <c r="AA44" s="135"/>
      <c r="AB44" s="128"/>
      <c r="AC44" s="128"/>
      <c r="AD44" s="127">
        <v>2.486666667</v>
      </c>
      <c r="AE44" s="128" t="s">
        <v>130</v>
      </c>
      <c r="AF44" s="128" t="s">
        <v>111</v>
      </c>
      <c r="AG44" s="139" t="s">
        <v>297</v>
      </c>
      <c r="AH44" s="139" t="s">
        <v>301</v>
      </c>
      <c r="AI44" s="121" t="s">
        <v>149</v>
      </c>
      <c r="AJ44" s="115" t="s">
        <v>134</v>
      </c>
      <c r="AK44" s="115"/>
      <c r="AL44" s="115"/>
      <c r="AM44" s="115"/>
      <c r="AN44" s="115"/>
      <c r="AO44" s="133">
        <v>2.733666667</v>
      </c>
      <c r="AP44" s="133">
        <v>2.181333333</v>
      </c>
      <c r="AQ44" s="142">
        <f>(2.273+2.3+2.22)/3</f>
        <v>2.26433333333333</v>
      </c>
      <c r="AR44" s="142">
        <f>(2+1.633+1.767)/3</f>
        <v>1.8</v>
      </c>
      <c r="AS44" s="149">
        <f>(AR44-AQ44)/AQ44</f>
        <v>-0.20506403650817</v>
      </c>
      <c r="AT44" s="141"/>
    </row>
    <row r="45" ht="50" customHeight="1" spans="1:46">
      <c r="A45" s="115" t="s">
        <v>101</v>
      </c>
      <c r="B45" s="115" t="s">
        <v>102</v>
      </c>
      <c r="C45" s="115" t="s">
        <v>103</v>
      </c>
      <c r="D45" s="116">
        <v>44</v>
      </c>
      <c r="E45" s="119" t="s">
        <v>302</v>
      </c>
      <c r="F45" s="117" t="s">
        <v>303</v>
      </c>
      <c r="G45" s="120"/>
      <c r="H45" s="120">
        <v>1.57666666666667</v>
      </c>
      <c r="I45" s="120"/>
      <c r="J45" s="120">
        <v>1.66666666666667</v>
      </c>
      <c r="K45" s="127">
        <v>0.5</v>
      </c>
      <c r="L45" s="128"/>
      <c r="M45" s="128"/>
      <c r="N45" s="128" t="s">
        <v>105</v>
      </c>
      <c r="O45" s="128">
        <f t="shared" si="9"/>
        <v>1.92</v>
      </c>
      <c r="P45" s="128">
        <f t="shared" si="10"/>
        <v>1.68</v>
      </c>
      <c r="Q45" s="128">
        <f t="shared" si="11"/>
        <v>1.44</v>
      </c>
      <c r="R45" s="127">
        <v>1.2</v>
      </c>
      <c r="S45" s="128">
        <f t="shared" si="12"/>
        <v>0.96</v>
      </c>
      <c r="T45" s="128"/>
      <c r="U45" s="128" t="s">
        <v>183</v>
      </c>
      <c r="V45" s="135" t="s">
        <v>210</v>
      </c>
      <c r="W45" s="135"/>
      <c r="X45" s="135"/>
      <c r="Y45" s="135"/>
      <c r="Z45" s="135"/>
      <c r="AA45" s="135"/>
      <c r="AB45" s="128"/>
      <c r="AC45" s="128"/>
      <c r="AD45" s="128"/>
      <c r="AE45" s="128"/>
      <c r="AF45" s="128" t="s">
        <v>111</v>
      </c>
      <c r="AG45" s="139" t="s">
        <v>304</v>
      </c>
      <c r="AH45" s="139" t="s">
        <v>305</v>
      </c>
      <c r="AI45" s="121" t="s">
        <v>306</v>
      </c>
      <c r="AJ45" s="115" t="s">
        <v>134</v>
      </c>
      <c r="AK45" s="115"/>
      <c r="AL45" s="115"/>
      <c r="AM45" s="115"/>
      <c r="AN45" s="115"/>
      <c r="AO45" s="133">
        <v>2.244333333</v>
      </c>
      <c r="AP45" s="133">
        <v>2.446333333</v>
      </c>
      <c r="AQ45" s="142">
        <f>(2.54+2.48+2.65)/3</f>
        <v>2.55666666666667</v>
      </c>
      <c r="AR45" s="142">
        <f>(3+3.067+2.667)/3</f>
        <v>2.91133333333333</v>
      </c>
      <c r="AS45" s="149">
        <f>(AR45-AQ45)/AQ45</f>
        <v>0.138722294654498</v>
      </c>
      <c r="AT45" s="141"/>
    </row>
    <row r="46" ht="112" hidden="1" customHeight="1" spans="1:46">
      <c r="A46" s="115" t="s">
        <v>101</v>
      </c>
      <c r="B46" s="115" t="s">
        <v>102</v>
      </c>
      <c r="C46" s="115" t="s">
        <v>103</v>
      </c>
      <c r="D46" s="116">
        <v>45</v>
      </c>
      <c r="E46" s="119" t="s">
        <v>307</v>
      </c>
      <c r="F46" s="117" t="s">
        <v>308</v>
      </c>
      <c r="G46" s="120">
        <v>1.69666666666667</v>
      </c>
      <c r="H46" s="120">
        <v>1.23333333333333</v>
      </c>
      <c r="I46" s="120">
        <v>1.71666666666667</v>
      </c>
      <c r="J46" s="120">
        <v>1.596</v>
      </c>
      <c r="K46" s="127">
        <v>1</v>
      </c>
      <c r="L46" s="128" t="s">
        <v>309</v>
      </c>
      <c r="M46" s="128"/>
      <c r="N46" s="128" t="s">
        <v>105</v>
      </c>
      <c r="O46" s="128">
        <f t="shared" si="9"/>
        <v>1.92</v>
      </c>
      <c r="P46" s="128">
        <f t="shared" si="10"/>
        <v>1.68</v>
      </c>
      <c r="Q46" s="128">
        <f t="shared" si="11"/>
        <v>1.44</v>
      </c>
      <c r="R46" s="127">
        <v>1.2</v>
      </c>
      <c r="S46" s="128">
        <f t="shared" si="12"/>
        <v>0.96</v>
      </c>
      <c r="T46" s="128"/>
      <c r="U46" s="128" t="s">
        <v>183</v>
      </c>
      <c r="V46" s="135" t="s">
        <v>210</v>
      </c>
      <c r="W46" s="135" t="s">
        <v>109</v>
      </c>
      <c r="X46" s="135"/>
      <c r="Y46" s="135"/>
      <c r="Z46" s="135"/>
      <c r="AA46" s="135"/>
      <c r="AB46" s="128"/>
      <c r="AC46" s="128"/>
      <c r="AD46" s="127">
        <v>1.306666667</v>
      </c>
      <c r="AE46" s="128"/>
      <c r="AF46" s="128" t="s">
        <v>111</v>
      </c>
      <c r="AG46" s="139" t="s">
        <v>153</v>
      </c>
      <c r="AH46" s="139" t="s">
        <v>310</v>
      </c>
      <c r="AI46" s="121" t="s">
        <v>311</v>
      </c>
      <c r="AJ46" s="115" t="s">
        <v>114</v>
      </c>
      <c r="AK46" s="115"/>
      <c r="AL46" s="115"/>
      <c r="AM46" s="115"/>
      <c r="AN46" s="115"/>
      <c r="AO46" s="115"/>
      <c r="AP46" s="115"/>
      <c r="AQ46" s="141"/>
      <c r="AR46" s="141"/>
      <c r="AS46" s="141"/>
      <c r="AT46" s="141"/>
    </row>
    <row r="47" ht="59" hidden="1" customHeight="1" spans="1:46">
      <c r="A47" s="115" t="s">
        <v>101</v>
      </c>
      <c r="B47" s="115" t="s">
        <v>102</v>
      </c>
      <c r="C47" s="115" t="s">
        <v>103</v>
      </c>
      <c r="D47" s="116">
        <v>46</v>
      </c>
      <c r="E47" s="119" t="s">
        <v>312</v>
      </c>
      <c r="F47" s="117" t="s">
        <v>313</v>
      </c>
      <c r="G47" s="120"/>
      <c r="H47" s="120">
        <v>1.08766666666667</v>
      </c>
      <c r="I47" s="120"/>
      <c r="J47" s="120">
        <v>0.815333333333333</v>
      </c>
      <c r="K47" s="127">
        <v>1</v>
      </c>
      <c r="L47" s="128"/>
      <c r="M47" s="128"/>
      <c r="N47" s="128" t="s">
        <v>105</v>
      </c>
      <c r="O47" s="128">
        <f t="shared" si="9"/>
        <v>1.92</v>
      </c>
      <c r="P47" s="128">
        <f t="shared" si="10"/>
        <v>1.68</v>
      </c>
      <c r="Q47" s="128">
        <f t="shared" si="11"/>
        <v>1.44</v>
      </c>
      <c r="R47" s="127">
        <v>1.2</v>
      </c>
      <c r="S47" s="128">
        <f t="shared" si="12"/>
        <v>0.96</v>
      </c>
      <c r="T47" s="128"/>
      <c r="U47" s="128" t="s">
        <v>183</v>
      </c>
      <c r="V47" s="135" t="s">
        <v>210</v>
      </c>
      <c r="W47" s="135"/>
      <c r="X47" s="135"/>
      <c r="Y47" s="135"/>
      <c r="Z47" s="135"/>
      <c r="AA47" s="135"/>
      <c r="AB47" s="128"/>
      <c r="AC47" s="128"/>
      <c r="AD47" s="128"/>
      <c r="AE47" s="128"/>
      <c r="AF47" s="128" t="s">
        <v>111</v>
      </c>
      <c r="AG47" s="139" t="s">
        <v>153</v>
      </c>
      <c r="AH47" s="139" t="s">
        <v>314</v>
      </c>
      <c r="AI47" s="121" t="s">
        <v>315</v>
      </c>
      <c r="AJ47" s="115" t="s">
        <v>114</v>
      </c>
      <c r="AK47" s="115"/>
      <c r="AL47" s="115"/>
      <c r="AM47" s="115"/>
      <c r="AN47" s="115"/>
      <c r="AO47" s="115"/>
      <c r="AP47" s="115"/>
      <c r="AQ47" s="141"/>
      <c r="AR47" s="141"/>
      <c r="AS47" s="141"/>
      <c r="AT47" s="141"/>
    </row>
    <row r="48" ht="59" customHeight="1" spans="1:46">
      <c r="A48" s="115" t="s">
        <v>101</v>
      </c>
      <c r="B48" s="115" t="s">
        <v>102</v>
      </c>
      <c r="C48" s="115" t="s">
        <v>103</v>
      </c>
      <c r="D48" s="116">
        <v>47</v>
      </c>
      <c r="E48" s="119" t="s">
        <v>316</v>
      </c>
      <c r="F48" s="119" t="s">
        <v>317</v>
      </c>
      <c r="G48" s="120"/>
      <c r="H48" s="120"/>
      <c r="I48" s="120"/>
      <c r="J48" s="120"/>
      <c r="K48" s="127">
        <v>1</v>
      </c>
      <c r="L48" s="128"/>
      <c r="M48" s="128"/>
      <c r="N48" s="128" t="s">
        <v>105</v>
      </c>
      <c r="O48" s="128">
        <f t="shared" si="9"/>
        <v>1.92</v>
      </c>
      <c r="P48" s="128">
        <f t="shared" si="10"/>
        <v>1.68</v>
      </c>
      <c r="Q48" s="128">
        <f t="shared" si="11"/>
        <v>1.44</v>
      </c>
      <c r="R48" s="127">
        <v>1.2</v>
      </c>
      <c r="S48" s="128">
        <f t="shared" si="12"/>
        <v>0.96</v>
      </c>
      <c r="T48" s="128"/>
      <c r="U48" s="128" t="s">
        <v>183</v>
      </c>
      <c r="V48" s="135" t="s">
        <v>210</v>
      </c>
      <c r="W48" s="135"/>
      <c r="X48" s="135"/>
      <c r="Y48" s="135"/>
      <c r="Z48" s="135"/>
      <c r="AA48" s="135"/>
      <c r="AB48" s="128"/>
      <c r="AC48" s="128"/>
      <c r="AD48" s="128"/>
      <c r="AE48" s="128"/>
      <c r="AF48" s="128" t="s">
        <v>111</v>
      </c>
      <c r="AG48" s="139" t="s">
        <v>153</v>
      </c>
      <c r="AH48" s="139" t="s">
        <v>318</v>
      </c>
      <c r="AI48" s="121" t="s">
        <v>319</v>
      </c>
      <c r="AJ48" s="115" t="s">
        <v>134</v>
      </c>
      <c r="AK48" s="115"/>
      <c r="AL48" s="115"/>
      <c r="AM48" s="115"/>
      <c r="AN48" s="115"/>
      <c r="AO48" s="133">
        <v>3.256</v>
      </c>
      <c r="AP48" s="133">
        <v>2.722666667</v>
      </c>
      <c r="AQ48" s="142">
        <f>(2.875+2.8+2.88)/3</f>
        <v>2.85166666666667</v>
      </c>
      <c r="AR48" s="145">
        <f>(2.7+2.667+2.733)/3</f>
        <v>2.7</v>
      </c>
      <c r="AS48" s="149">
        <f>(AR48-AQ48)/AQ48</f>
        <v>-0.0531852717708943</v>
      </c>
      <c r="AT48" s="141"/>
    </row>
    <row r="49" ht="59" customHeight="1" spans="1:46">
      <c r="A49" s="115" t="s">
        <v>101</v>
      </c>
      <c r="B49" s="115" t="s">
        <v>102</v>
      </c>
      <c r="C49" s="115" t="s">
        <v>202</v>
      </c>
      <c r="D49" s="116">
        <v>48</v>
      </c>
      <c r="E49" s="123" t="s">
        <v>320</v>
      </c>
      <c r="F49" s="123" t="s">
        <v>320</v>
      </c>
      <c r="G49" s="124"/>
      <c r="H49" s="124">
        <v>2.41666666666667</v>
      </c>
      <c r="I49" s="124"/>
      <c r="J49" s="124">
        <v>1.85</v>
      </c>
      <c r="K49" s="127">
        <v>1</v>
      </c>
      <c r="L49" s="128"/>
      <c r="M49" s="128"/>
      <c r="N49" s="128" t="s">
        <v>105</v>
      </c>
      <c r="O49" s="128">
        <f t="shared" si="9"/>
        <v>1.92</v>
      </c>
      <c r="P49" s="128">
        <f t="shared" si="10"/>
        <v>1.68</v>
      </c>
      <c r="Q49" s="128">
        <f t="shared" si="11"/>
        <v>1.44</v>
      </c>
      <c r="R49" s="127">
        <v>1.2</v>
      </c>
      <c r="S49" s="128">
        <f t="shared" si="12"/>
        <v>0.96</v>
      </c>
      <c r="T49" s="128"/>
      <c r="U49" s="128" t="s">
        <v>183</v>
      </c>
      <c r="V49" s="135" t="s">
        <v>210</v>
      </c>
      <c r="W49" s="135"/>
      <c r="X49" s="135"/>
      <c r="Y49" s="135"/>
      <c r="Z49" s="135"/>
      <c r="AA49" s="135"/>
      <c r="AB49" s="128"/>
      <c r="AC49" s="128"/>
      <c r="AD49" s="128"/>
      <c r="AE49" s="128"/>
      <c r="AF49" s="128" t="s">
        <v>111</v>
      </c>
      <c r="AG49" s="139" t="s">
        <v>153</v>
      </c>
      <c r="AH49" s="139" t="s">
        <v>321</v>
      </c>
      <c r="AI49" s="121" t="s">
        <v>322</v>
      </c>
      <c r="AJ49" s="115" t="s">
        <v>134</v>
      </c>
      <c r="AK49" s="115"/>
      <c r="AL49" s="115"/>
      <c r="AM49" s="115"/>
      <c r="AN49" s="115"/>
      <c r="AO49" s="133">
        <v>3.322333333</v>
      </c>
      <c r="AP49" s="133">
        <v>3.886666667</v>
      </c>
      <c r="AQ49" s="142">
        <f>(2.974+2.81+2.865)/3</f>
        <v>2.883</v>
      </c>
      <c r="AR49" s="142">
        <f>(2.434+2.767+3.233)/3</f>
        <v>2.81133333333333</v>
      </c>
      <c r="AS49" s="149">
        <f>(AR49-AQ49)/AQ49</f>
        <v>-0.0248583651289167</v>
      </c>
      <c r="AT49" s="141"/>
    </row>
    <row r="50" ht="59" customHeight="1" spans="1:46">
      <c r="A50" s="115" t="s">
        <v>101</v>
      </c>
      <c r="B50" s="115" t="s">
        <v>102</v>
      </c>
      <c r="C50" s="115" t="s">
        <v>103</v>
      </c>
      <c r="D50" s="116">
        <v>49</v>
      </c>
      <c r="E50" s="123" t="s">
        <v>323</v>
      </c>
      <c r="F50" s="123" t="s">
        <v>323</v>
      </c>
      <c r="G50" s="124"/>
      <c r="H50" s="124"/>
      <c r="I50" s="124"/>
      <c r="J50" s="124"/>
      <c r="K50" s="127">
        <v>1</v>
      </c>
      <c r="L50" s="128"/>
      <c r="M50" s="128"/>
      <c r="N50" s="128" t="s">
        <v>105</v>
      </c>
      <c r="O50" s="128">
        <f t="shared" si="9"/>
        <v>1.92</v>
      </c>
      <c r="P50" s="128">
        <f t="shared" si="10"/>
        <v>1.68</v>
      </c>
      <c r="Q50" s="128">
        <f t="shared" si="11"/>
        <v>1.44</v>
      </c>
      <c r="R50" s="127">
        <v>1.2</v>
      </c>
      <c r="S50" s="128">
        <f t="shared" si="12"/>
        <v>0.96</v>
      </c>
      <c r="T50" s="128"/>
      <c r="U50" s="128" t="s">
        <v>183</v>
      </c>
      <c r="V50" s="135" t="s">
        <v>210</v>
      </c>
      <c r="W50" s="135"/>
      <c r="X50" s="135"/>
      <c r="Y50" s="135"/>
      <c r="Z50" s="135"/>
      <c r="AA50" s="135"/>
      <c r="AB50" s="128"/>
      <c r="AC50" s="128"/>
      <c r="AD50" s="128"/>
      <c r="AE50" s="128"/>
      <c r="AF50" s="128" t="s">
        <v>111</v>
      </c>
      <c r="AG50" s="139" t="s">
        <v>153</v>
      </c>
      <c r="AH50" s="139" t="s">
        <v>321</v>
      </c>
      <c r="AI50" s="121" t="s">
        <v>324</v>
      </c>
      <c r="AJ50" s="115" t="s">
        <v>134</v>
      </c>
      <c r="AK50" s="115"/>
      <c r="AL50" s="115"/>
      <c r="AM50" s="115"/>
      <c r="AN50" s="115"/>
      <c r="AO50" s="133">
        <v>2.289</v>
      </c>
      <c r="AP50" s="133">
        <v>1.869333333</v>
      </c>
      <c r="AQ50" s="142">
        <f>(1.88+1.88+1.854)/3</f>
        <v>1.87133333333333</v>
      </c>
      <c r="AR50" s="142">
        <f>(2.6+2.533+2.666)/3</f>
        <v>2.59966666666667</v>
      </c>
      <c r="AS50" s="149">
        <f>(AR50-AQ50)/AQ50</f>
        <v>0.389205557534734</v>
      </c>
      <c r="AT50" s="141"/>
    </row>
    <row r="51" ht="59" customHeight="1" spans="1:46">
      <c r="A51" s="115" t="s">
        <v>101</v>
      </c>
      <c r="B51" s="115" t="s">
        <v>102</v>
      </c>
      <c r="C51" s="115" t="s">
        <v>103</v>
      </c>
      <c r="D51" s="116">
        <v>50</v>
      </c>
      <c r="E51" s="119" t="s">
        <v>325</v>
      </c>
      <c r="F51" s="119" t="s">
        <v>325</v>
      </c>
      <c r="G51" s="120">
        <v>3.78333333333333</v>
      </c>
      <c r="H51" s="120">
        <v>5.69666666666667</v>
      </c>
      <c r="I51" s="120">
        <v>5.53333333333333</v>
      </c>
      <c r="J51" s="120">
        <v>5.21666666666667</v>
      </c>
      <c r="K51" s="127">
        <v>1</v>
      </c>
      <c r="L51" s="128" t="s">
        <v>293</v>
      </c>
      <c r="M51" s="128"/>
      <c r="N51" s="128" t="s">
        <v>105</v>
      </c>
      <c r="O51" s="128">
        <f t="shared" si="9"/>
        <v>5.28</v>
      </c>
      <c r="P51" s="128">
        <f t="shared" si="10"/>
        <v>4.62</v>
      </c>
      <c r="Q51" s="128">
        <f t="shared" si="11"/>
        <v>3.96</v>
      </c>
      <c r="R51" s="127">
        <v>3.3</v>
      </c>
      <c r="S51" s="128">
        <f t="shared" si="12"/>
        <v>2.64</v>
      </c>
      <c r="T51" s="128"/>
      <c r="U51" s="128" t="s">
        <v>326</v>
      </c>
      <c r="V51" s="135" t="s">
        <v>210</v>
      </c>
      <c r="W51" s="135" t="s">
        <v>109</v>
      </c>
      <c r="X51" s="136" t="s">
        <v>110</v>
      </c>
      <c r="Y51" s="135"/>
      <c r="Z51" s="135"/>
      <c r="AA51" s="135"/>
      <c r="AB51" s="128"/>
      <c r="AC51" s="128"/>
      <c r="AD51" s="127">
        <v>1.5</v>
      </c>
      <c r="AE51" s="128"/>
      <c r="AF51" s="128" t="s">
        <v>111</v>
      </c>
      <c r="AG51" s="139" t="s">
        <v>327</v>
      </c>
      <c r="AH51" s="139" t="s">
        <v>328</v>
      </c>
      <c r="AI51" s="121" t="s">
        <v>329</v>
      </c>
      <c r="AJ51" s="115" t="s">
        <v>134</v>
      </c>
      <c r="AK51" s="115"/>
      <c r="AL51" s="115"/>
      <c r="AM51" s="115"/>
      <c r="AN51" s="115"/>
      <c r="AO51" s="133">
        <v>4.244666667</v>
      </c>
      <c r="AP51" s="131" t="s">
        <v>9</v>
      </c>
      <c r="AQ51" s="131" t="s">
        <v>9</v>
      </c>
      <c r="AR51" s="146">
        <v>4.81</v>
      </c>
      <c r="AS51" s="149" t="e">
        <f>(AR51-AQ51)/AQ51</f>
        <v>#VALUE!</v>
      </c>
      <c r="AT51" s="141"/>
    </row>
    <row r="52" ht="59" customHeight="1" spans="1:46">
      <c r="A52" s="115" t="s">
        <v>101</v>
      </c>
      <c r="B52" s="115" t="s">
        <v>102</v>
      </c>
      <c r="C52" s="115" t="s">
        <v>103</v>
      </c>
      <c r="D52" s="116">
        <v>51</v>
      </c>
      <c r="E52" s="117" t="s">
        <v>330</v>
      </c>
      <c r="F52" s="117" t="s">
        <v>330</v>
      </c>
      <c r="G52" s="118">
        <v>1.07666666666667</v>
      </c>
      <c r="H52" s="118">
        <v>9.05333333333333</v>
      </c>
      <c r="I52" s="118">
        <v>1.49666666666667</v>
      </c>
      <c r="J52" s="118">
        <v>8.16</v>
      </c>
      <c r="K52" s="127">
        <v>1</v>
      </c>
      <c r="L52" s="128" t="s">
        <v>293</v>
      </c>
      <c r="M52" s="128"/>
      <c r="N52" s="128"/>
      <c r="O52" s="128">
        <f t="shared" si="9"/>
        <v>1.28</v>
      </c>
      <c r="P52" s="128">
        <f t="shared" si="10"/>
        <v>1.12</v>
      </c>
      <c r="Q52" s="128">
        <f t="shared" si="11"/>
        <v>0.96</v>
      </c>
      <c r="R52" s="127">
        <v>0.8</v>
      </c>
      <c r="S52" s="128">
        <f t="shared" si="12"/>
        <v>0.64</v>
      </c>
      <c r="T52" s="128"/>
      <c r="U52" s="128" t="s">
        <v>142</v>
      </c>
      <c r="V52" s="135" t="s">
        <v>210</v>
      </c>
      <c r="W52" s="135" t="s">
        <v>109</v>
      </c>
      <c r="X52" s="136" t="s">
        <v>110</v>
      </c>
      <c r="Y52" s="135"/>
      <c r="Z52" s="135"/>
      <c r="AA52" s="135"/>
      <c r="AB52" s="128"/>
      <c r="AC52" s="128"/>
      <c r="AD52" s="127">
        <v>0.83</v>
      </c>
      <c r="AE52" s="128"/>
      <c r="AF52" s="128" t="s">
        <v>111</v>
      </c>
      <c r="AG52" s="139" t="s">
        <v>327</v>
      </c>
      <c r="AH52" s="139" t="s">
        <v>331</v>
      </c>
      <c r="AI52" s="121" t="s">
        <v>332</v>
      </c>
      <c r="AJ52" s="115" t="s">
        <v>134</v>
      </c>
      <c r="AK52" s="115"/>
      <c r="AL52" s="115"/>
      <c r="AM52" s="115"/>
      <c r="AN52" s="115"/>
      <c r="AO52" s="133">
        <v>0.7123333333</v>
      </c>
      <c r="AP52" s="131" t="s">
        <v>9</v>
      </c>
      <c r="AQ52" s="131" t="s">
        <v>9</v>
      </c>
      <c r="AR52" s="146">
        <v>0.93</v>
      </c>
      <c r="AS52" s="149" t="e">
        <f>(AR52-AQ52)/AQ52</f>
        <v>#VALUE!</v>
      </c>
      <c r="AT52" s="141"/>
    </row>
    <row r="53" ht="59" hidden="1" customHeight="1" spans="1:46">
      <c r="A53" s="115"/>
      <c r="B53" s="115" t="s">
        <v>102</v>
      </c>
      <c r="C53" s="115" t="s">
        <v>103</v>
      </c>
      <c r="D53" s="116">
        <v>52</v>
      </c>
      <c r="E53" s="117" t="s">
        <v>333</v>
      </c>
      <c r="F53" s="117" t="s">
        <v>333</v>
      </c>
      <c r="G53" s="118">
        <v>0.66</v>
      </c>
      <c r="H53" s="118"/>
      <c r="I53" s="118">
        <v>0.543333333333333</v>
      </c>
      <c r="J53" s="118"/>
      <c r="K53" s="127">
        <v>1</v>
      </c>
      <c r="L53" s="128" t="s">
        <v>293</v>
      </c>
      <c r="M53" s="128"/>
      <c r="N53" s="128"/>
      <c r="O53" s="128">
        <f t="shared" si="9"/>
        <v>1</v>
      </c>
      <c r="P53" s="128">
        <f t="shared" si="10"/>
        <v>0.875</v>
      </c>
      <c r="Q53" s="128">
        <f t="shared" si="11"/>
        <v>0.75</v>
      </c>
      <c r="R53" s="127">
        <v>0.625</v>
      </c>
      <c r="S53" s="127">
        <v>0.5</v>
      </c>
      <c r="T53" s="128"/>
      <c r="U53" s="128"/>
      <c r="V53" s="135" t="s">
        <v>210</v>
      </c>
      <c r="W53" s="135" t="s">
        <v>109</v>
      </c>
      <c r="X53" s="135"/>
      <c r="Y53" s="135"/>
      <c r="Z53" s="135"/>
      <c r="AA53" s="135"/>
      <c r="AB53" s="128"/>
      <c r="AC53" s="128"/>
      <c r="AD53" s="127">
        <v>0.3</v>
      </c>
      <c r="AE53" s="128"/>
      <c r="AF53" s="128" t="s">
        <v>334</v>
      </c>
      <c r="AG53" s="139"/>
      <c r="AH53" s="139" t="s">
        <v>335</v>
      </c>
      <c r="AI53" s="121" t="s">
        <v>336</v>
      </c>
      <c r="AJ53" s="115" t="s">
        <v>114</v>
      </c>
      <c r="AK53" s="115"/>
      <c r="AL53" s="115"/>
      <c r="AM53" s="115"/>
      <c r="AN53" s="115"/>
      <c r="AO53" s="115"/>
      <c r="AP53" s="115"/>
      <c r="AQ53" s="141"/>
      <c r="AR53" s="141"/>
      <c r="AS53" s="141"/>
      <c r="AT53" s="141"/>
    </row>
    <row r="54" ht="59" hidden="1" customHeight="1" spans="1:46">
      <c r="A54" s="115"/>
      <c r="B54" s="115" t="s">
        <v>102</v>
      </c>
      <c r="C54" s="115" t="s">
        <v>33</v>
      </c>
      <c r="D54" s="116">
        <v>53</v>
      </c>
      <c r="E54" s="117" t="s">
        <v>337</v>
      </c>
      <c r="F54" s="117" t="s">
        <v>337</v>
      </c>
      <c r="G54" s="118"/>
      <c r="H54" s="118"/>
      <c r="I54" s="118">
        <v>0.78</v>
      </c>
      <c r="J54" s="118"/>
      <c r="K54" s="127">
        <v>1</v>
      </c>
      <c r="L54" s="128" t="s">
        <v>293</v>
      </c>
      <c r="M54" s="128"/>
      <c r="N54" s="128"/>
      <c r="O54" s="128">
        <f t="shared" si="9"/>
        <v>1</v>
      </c>
      <c r="P54" s="128">
        <f t="shared" si="10"/>
        <v>0.875</v>
      </c>
      <c r="Q54" s="128">
        <f t="shared" si="11"/>
        <v>0.75</v>
      </c>
      <c r="R54" s="127">
        <v>0.625</v>
      </c>
      <c r="S54" s="127">
        <v>0.5</v>
      </c>
      <c r="T54" s="128"/>
      <c r="U54" s="128"/>
      <c r="V54" s="135" t="s">
        <v>210</v>
      </c>
      <c r="W54" s="135" t="s">
        <v>109</v>
      </c>
      <c r="X54" s="135"/>
      <c r="Y54" s="135"/>
      <c r="Z54" s="135"/>
      <c r="AA54" s="135"/>
      <c r="AB54" s="128"/>
      <c r="AC54" s="128"/>
      <c r="AD54" s="127">
        <v>0.3</v>
      </c>
      <c r="AE54" s="128"/>
      <c r="AF54" s="128" t="s">
        <v>334</v>
      </c>
      <c r="AG54" s="139"/>
      <c r="AH54" s="139" t="s">
        <v>338</v>
      </c>
      <c r="AI54" s="121" t="s">
        <v>339</v>
      </c>
      <c r="AJ54" s="115" t="s">
        <v>114</v>
      </c>
      <c r="AK54" s="115"/>
      <c r="AL54" s="115"/>
      <c r="AM54" s="115"/>
      <c r="AN54" s="115"/>
      <c r="AO54" s="115"/>
      <c r="AP54" s="115"/>
      <c r="AQ54" s="141"/>
      <c r="AR54" s="141"/>
      <c r="AS54" s="141"/>
      <c r="AT54" s="141"/>
    </row>
    <row r="55" ht="59" hidden="1" customHeight="1" spans="1:46">
      <c r="A55" s="115"/>
      <c r="B55" s="115" t="s">
        <v>102</v>
      </c>
      <c r="C55" s="115" t="s">
        <v>103</v>
      </c>
      <c r="D55" s="116">
        <v>54</v>
      </c>
      <c r="E55" s="117" t="s">
        <v>340</v>
      </c>
      <c r="F55" s="117" t="s">
        <v>340</v>
      </c>
      <c r="G55" s="118">
        <v>0.62</v>
      </c>
      <c r="H55" s="118"/>
      <c r="I55" s="118">
        <v>0.5</v>
      </c>
      <c r="J55" s="118"/>
      <c r="K55" s="127">
        <v>1</v>
      </c>
      <c r="L55" s="128" t="s">
        <v>293</v>
      </c>
      <c r="M55" s="128"/>
      <c r="N55" s="128"/>
      <c r="O55" s="128">
        <f t="shared" si="9"/>
        <v>1</v>
      </c>
      <c r="P55" s="128">
        <f t="shared" si="10"/>
        <v>0.875</v>
      </c>
      <c r="Q55" s="128">
        <f t="shared" si="11"/>
        <v>0.75</v>
      </c>
      <c r="R55" s="127">
        <v>0.625</v>
      </c>
      <c r="S55" s="127">
        <v>0.5</v>
      </c>
      <c r="T55" s="128"/>
      <c r="U55" s="128"/>
      <c r="V55" s="135" t="s">
        <v>210</v>
      </c>
      <c r="W55" s="135" t="s">
        <v>109</v>
      </c>
      <c r="X55" s="135"/>
      <c r="Y55" s="135"/>
      <c r="Z55" s="135"/>
      <c r="AA55" s="135"/>
      <c r="AB55" s="128"/>
      <c r="AC55" s="128"/>
      <c r="AD55" s="127">
        <v>0.3</v>
      </c>
      <c r="AE55" s="128"/>
      <c r="AF55" s="128" t="s">
        <v>334</v>
      </c>
      <c r="AG55" s="139"/>
      <c r="AH55" s="139" t="s">
        <v>341</v>
      </c>
      <c r="AI55" s="121" t="s">
        <v>342</v>
      </c>
      <c r="AJ55" s="115" t="s">
        <v>114</v>
      </c>
      <c r="AK55" s="115"/>
      <c r="AL55" s="115"/>
      <c r="AM55" s="115"/>
      <c r="AN55" s="115"/>
      <c r="AO55" s="115"/>
      <c r="AP55" s="115"/>
      <c r="AQ55" s="141"/>
      <c r="AR55" s="141"/>
      <c r="AS55" s="141"/>
      <c r="AT55" s="141"/>
    </row>
    <row r="56" ht="59" customHeight="1" spans="1:46">
      <c r="A56" s="115"/>
      <c r="B56" s="115" t="s">
        <v>102</v>
      </c>
      <c r="C56" s="115" t="s">
        <v>103</v>
      </c>
      <c r="D56" s="116">
        <v>55</v>
      </c>
      <c r="E56" s="117" t="s">
        <v>343</v>
      </c>
      <c r="F56" s="117" t="s">
        <v>343</v>
      </c>
      <c r="G56" s="118"/>
      <c r="H56" s="118"/>
      <c r="I56" s="118">
        <v>0.5</v>
      </c>
      <c r="J56" s="118"/>
      <c r="K56" s="127">
        <v>1</v>
      </c>
      <c r="L56" s="128"/>
      <c r="M56" s="128"/>
      <c r="N56" s="128"/>
      <c r="O56" s="128">
        <f t="shared" si="9"/>
        <v>1</v>
      </c>
      <c r="P56" s="128">
        <f t="shared" si="10"/>
        <v>0.875</v>
      </c>
      <c r="Q56" s="128">
        <f t="shared" si="11"/>
        <v>0.75</v>
      </c>
      <c r="R56" s="127">
        <v>0.625</v>
      </c>
      <c r="S56" s="127">
        <v>0.5</v>
      </c>
      <c r="T56" s="128"/>
      <c r="U56" s="128"/>
      <c r="V56" s="135" t="s">
        <v>210</v>
      </c>
      <c r="W56" s="135" t="s">
        <v>109</v>
      </c>
      <c r="X56" s="135"/>
      <c r="Y56" s="135"/>
      <c r="Z56" s="135"/>
      <c r="AA56" s="135"/>
      <c r="AB56" s="128"/>
      <c r="AC56" s="128"/>
      <c r="AD56" s="127">
        <v>0.5</v>
      </c>
      <c r="AE56" s="128"/>
      <c r="AF56" s="128"/>
      <c r="AG56" s="139"/>
      <c r="AH56" s="139" t="s">
        <v>344</v>
      </c>
      <c r="AI56" s="121" t="s">
        <v>345</v>
      </c>
      <c r="AJ56" s="115" t="s">
        <v>134</v>
      </c>
      <c r="AK56" s="115"/>
      <c r="AL56" s="115"/>
      <c r="AM56" s="115"/>
      <c r="AN56" s="115"/>
      <c r="AO56" s="133">
        <v>0.4733333333</v>
      </c>
      <c r="AP56" s="139">
        <f>(0.69+0.41+0.56)/3</f>
        <v>0.553333333333333</v>
      </c>
      <c r="AQ56" s="142">
        <f>(0.71+0.52+0.49)/3</f>
        <v>0.573333333333333</v>
      </c>
      <c r="AR56" s="142">
        <f>(0.62+0.62+0.57)/3</f>
        <v>0.603333333333333</v>
      </c>
      <c r="AS56" s="149">
        <f>(AR56-AQ56)/AQ56</f>
        <v>0.0523255813953489</v>
      </c>
      <c r="AT56" s="141"/>
    </row>
    <row r="57" ht="59" customHeight="1" spans="1:46">
      <c r="A57" s="115"/>
      <c r="B57" s="115" t="s">
        <v>102</v>
      </c>
      <c r="C57" s="115" t="s">
        <v>103</v>
      </c>
      <c r="D57" s="116">
        <v>56</v>
      </c>
      <c r="E57" s="117" t="s">
        <v>346</v>
      </c>
      <c r="F57" s="117" t="s">
        <v>346</v>
      </c>
      <c r="G57" s="118">
        <v>0.576666666666667</v>
      </c>
      <c r="H57" s="118"/>
      <c r="I57" s="118">
        <v>1.11666666666667</v>
      </c>
      <c r="J57" s="118"/>
      <c r="K57" s="127">
        <v>1</v>
      </c>
      <c r="L57" s="128"/>
      <c r="M57" s="128"/>
      <c r="N57" s="128"/>
      <c r="O57" s="128">
        <f t="shared" si="9"/>
        <v>2</v>
      </c>
      <c r="P57" s="128">
        <f t="shared" si="10"/>
        <v>1.75</v>
      </c>
      <c r="Q57" s="128">
        <f t="shared" si="11"/>
        <v>1.5</v>
      </c>
      <c r="R57" s="127">
        <v>1.25</v>
      </c>
      <c r="S57" s="127">
        <v>1</v>
      </c>
      <c r="T57" s="128"/>
      <c r="U57" s="128"/>
      <c r="V57" s="135" t="s">
        <v>210</v>
      </c>
      <c r="W57" s="135" t="s">
        <v>109</v>
      </c>
      <c r="X57" s="135"/>
      <c r="Y57" s="135"/>
      <c r="Z57" s="135"/>
      <c r="AA57" s="135"/>
      <c r="AB57" s="128"/>
      <c r="AC57" s="128"/>
      <c r="AD57" s="127">
        <v>1.2</v>
      </c>
      <c r="AE57" s="128"/>
      <c r="AF57" s="128"/>
      <c r="AG57" s="139"/>
      <c r="AH57" s="139" t="s">
        <v>347</v>
      </c>
      <c r="AI57" s="121" t="s">
        <v>348</v>
      </c>
      <c r="AJ57" s="115" t="s">
        <v>134</v>
      </c>
      <c r="AK57" s="115"/>
      <c r="AL57" s="115"/>
      <c r="AM57" s="115"/>
      <c r="AN57" s="115"/>
      <c r="AO57" s="133">
        <v>1.351</v>
      </c>
      <c r="AP57" s="139">
        <f>(0.977+1.016+0.989)/3</f>
        <v>0.994</v>
      </c>
      <c r="AQ57" s="142">
        <f>(1.026+0.932+0.919)/3</f>
        <v>0.959</v>
      </c>
      <c r="AR57" s="142">
        <f>(0.92+0.97+0.962)/3</f>
        <v>0.950666666666667</v>
      </c>
      <c r="AS57" s="149">
        <f>(AR57-AQ57)/AQ57</f>
        <v>-0.00868960722975318</v>
      </c>
      <c r="AT57" s="141"/>
    </row>
    <row r="58" ht="59" hidden="1" customHeight="1" spans="1:46">
      <c r="A58" s="115" t="s">
        <v>349</v>
      </c>
      <c r="B58" s="115" t="s">
        <v>102</v>
      </c>
      <c r="C58" s="115" t="s">
        <v>103</v>
      </c>
      <c r="D58" s="116">
        <v>57</v>
      </c>
      <c r="E58" s="119" t="s">
        <v>350</v>
      </c>
      <c r="F58" s="119" t="s">
        <v>350</v>
      </c>
      <c r="G58" s="120">
        <v>0.533333333333333</v>
      </c>
      <c r="H58" s="120">
        <v>0.442333333333333</v>
      </c>
      <c r="I58" s="120">
        <v>0.56</v>
      </c>
      <c r="J58" s="120">
        <v>0.533666666666667</v>
      </c>
      <c r="K58" s="127">
        <v>1</v>
      </c>
      <c r="L58" s="128" t="s">
        <v>293</v>
      </c>
      <c r="M58" s="128"/>
      <c r="N58" s="128" t="s">
        <v>105</v>
      </c>
      <c r="O58" s="128">
        <f t="shared" si="9"/>
        <v>0.96</v>
      </c>
      <c r="P58" s="128">
        <f t="shared" si="10"/>
        <v>0.84</v>
      </c>
      <c r="Q58" s="128">
        <f t="shared" si="11"/>
        <v>0.72</v>
      </c>
      <c r="R58" s="127">
        <v>0.6</v>
      </c>
      <c r="S58" s="128">
        <f t="shared" ref="S58:S66" si="13">R58*0.8</f>
        <v>0.48</v>
      </c>
      <c r="T58" s="128"/>
      <c r="U58" s="128" t="s">
        <v>351</v>
      </c>
      <c r="V58" s="135">
        <v>2</v>
      </c>
      <c r="W58" s="135" t="s">
        <v>109</v>
      </c>
      <c r="X58" s="135"/>
      <c r="Y58" s="135"/>
      <c r="Z58" s="135"/>
      <c r="AA58" s="135"/>
      <c r="AB58" s="128"/>
      <c r="AC58" s="128"/>
      <c r="AD58" s="127">
        <v>0.57</v>
      </c>
      <c r="AE58" s="128"/>
      <c r="AF58" s="128" t="s">
        <v>334</v>
      </c>
      <c r="AG58" s="139" t="s">
        <v>352</v>
      </c>
      <c r="AH58" s="139" t="s">
        <v>353</v>
      </c>
      <c r="AI58" s="121" t="s">
        <v>285</v>
      </c>
      <c r="AJ58" s="115" t="s">
        <v>114</v>
      </c>
      <c r="AK58" s="115"/>
      <c r="AL58" s="115"/>
      <c r="AM58" s="115"/>
      <c r="AN58" s="115"/>
      <c r="AO58" s="115"/>
      <c r="AP58" s="115"/>
      <c r="AQ58" s="141"/>
      <c r="AR58" s="141"/>
      <c r="AS58" s="141"/>
      <c r="AT58" s="141"/>
    </row>
    <row r="59" ht="59" customHeight="1" spans="1:46">
      <c r="A59" s="115" t="s">
        <v>101</v>
      </c>
      <c r="B59" s="115" t="s">
        <v>102</v>
      </c>
      <c r="C59" s="115" t="s">
        <v>103</v>
      </c>
      <c r="D59" s="116">
        <v>58</v>
      </c>
      <c r="E59" s="119" t="s">
        <v>354</v>
      </c>
      <c r="F59" s="119" t="s">
        <v>354</v>
      </c>
      <c r="G59" s="120">
        <v>0.66</v>
      </c>
      <c r="H59" s="120"/>
      <c r="I59" s="120">
        <v>0.566666666666667</v>
      </c>
      <c r="J59" s="120"/>
      <c r="K59" s="127">
        <v>1</v>
      </c>
      <c r="L59" s="128" t="s">
        <v>293</v>
      </c>
      <c r="M59" s="128"/>
      <c r="N59" s="128"/>
      <c r="O59" s="128">
        <f t="shared" si="9"/>
        <v>0.96</v>
      </c>
      <c r="P59" s="128">
        <f t="shared" si="10"/>
        <v>0.84</v>
      </c>
      <c r="Q59" s="128">
        <f t="shared" si="11"/>
        <v>0.72</v>
      </c>
      <c r="R59" s="127">
        <v>0.6</v>
      </c>
      <c r="S59" s="128">
        <f t="shared" si="13"/>
        <v>0.48</v>
      </c>
      <c r="T59" s="128"/>
      <c r="U59" s="128"/>
      <c r="V59" s="135"/>
      <c r="W59" s="135" t="s">
        <v>109</v>
      </c>
      <c r="X59" s="135"/>
      <c r="Y59" s="135"/>
      <c r="Z59" s="135"/>
      <c r="AA59" s="135"/>
      <c r="AB59" s="128"/>
      <c r="AC59" s="128"/>
      <c r="AD59" s="127">
        <v>0.4833333333</v>
      </c>
      <c r="AE59" s="128"/>
      <c r="AF59" s="128" t="s">
        <v>334</v>
      </c>
      <c r="AG59" s="139"/>
      <c r="AH59" s="139" t="s">
        <v>355</v>
      </c>
      <c r="AI59" s="121" t="s">
        <v>356</v>
      </c>
      <c r="AJ59" s="115" t="s">
        <v>134</v>
      </c>
      <c r="AK59" s="115"/>
      <c r="AL59" s="115"/>
      <c r="AM59" s="115"/>
      <c r="AN59" s="115"/>
      <c r="AO59" s="133">
        <v>0.878</v>
      </c>
      <c r="AP59" s="133">
        <v>0.7636666667</v>
      </c>
      <c r="AQ59" s="142">
        <f>(0.903+0.836+0.8)/3</f>
        <v>0.846333333333333</v>
      </c>
      <c r="AR59" s="142">
        <f>(0.833+1.033+0.9)/3</f>
        <v>0.922</v>
      </c>
      <c r="AS59" s="149">
        <f>(AR59-AQ59)/AQ59</f>
        <v>0.0894052776683735</v>
      </c>
      <c r="AT59" s="141"/>
    </row>
    <row r="60" ht="59" customHeight="1" spans="1:46">
      <c r="A60" s="115" t="s">
        <v>349</v>
      </c>
      <c r="B60" s="115" t="s">
        <v>102</v>
      </c>
      <c r="C60" s="115" t="s">
        <v>202</v>
      </c>
      <c r="D60" s="116">
        <v>59</v>
      </c>
      <c r="E60" s="119" t="s">
        <v>357</v>
      </c>
      <c r="F60" s="119" t="s">
        <v>357</v>
      </c>
      <c r="G60" s="120"/>
      <c r="H60" s="120"/>
      <c r="I60" s="120"/>
      <c r="J60" s="120"/>
      <c r="K60" s="127">
        <v>1</v>
      </c>
      <c r="L60" s="128"/>
      <c r="M60" s="128"/>
      <c r="N60" s="128"/>
      <c r="O60" s="128">
        <f t="shared" si="9"/>
        <v>0.96</v>
      </c>
      <c r="P60" s="128">
        <f t="shared" si="10"/>
        <v>0.84</v>
      </c>
      <c r="Q60" s="128">
        <f t="shared" si="11"/>
        <v>0.72</v>
      </c>
      <c r="R60" s="127">
        <v>0.6</v>
      </c>
      <c r="S60" s="128">
        <f t="shared" si="13"/>
        <v>0.48</v>
      </c>
      <c r="T60" s="128"/>
      <c r="U60" s="128"/>
      <c r="V60" s="135"/>
      <c r="W60" s="135"/>
      <c r="X60" s="135"/>
      <c r="Y60" s="135"/>
      <c r="Z60" s="135"/>
      <c r="AA60" s="135"/>
      <c r="AB60" s="128"/>
      <c r="AC60" s="128"/>
      <c r="AD60" s="128"/>
      <c r="AE60" s="128"/>
      <c r="AF60" s="128" t="s">
        <v>334</v>
      </c>
      <c r="AG60" s="139"/>
      <c r="AH60" s="139" t="s">
        <v>358</v>
      </c>
      <c r="AI60" s="121" t="s">
        <v>359</v>
      </c>
      <c r="AJ60" s="115" t="s">
        <v>134</v>
      </c>
      <c r="AK60" s="115"/>
      <c r="AL60" s="115"/>
      <c r="AM60" s="115"/>
      <c r="AN60" s="115"/>
      <c r="AO60" s="133">
        <v>0.844</v>
      </c>
      <c r="AP60" s="133">
        <v>0.81</v>
      </c>
      <c r="AQ60" s="142">
        <f>(0.802+0.81+0.814)/3</f>
        <v>0.808666666666667</v>
      </c>
      <c r="AR60" s="142">
        <f>(0.733+0.734+0.833)/3</f>
        <v>0.766666666666667</v>
      </c>
      <c r="AS60" s="149">
        <f>(AR60-AQ60)/AQ60</f>
        <v>-0.0519373454245674</v>
      </c>
      <c r="AT60" s="141"/>
    </row>
    <row r="61" ht="59" customHeight="1" spans="1:46">
      <c r="A61" s="115" t="s">
        <v>349</v>
      </c>
      <c r="B61" s="115" t="s">
        <v>102</v>
      </c>
      <c r="C61" s="115" t="s">
        <v>103</v>
      </c>
      <c r="D61" s="116">
        <v>60</v>
      </c>
      <c r="E61" s="119" t="s">
        <v>360</v>
      </c>
      <c r="F61" s="119" t="s">
        <v>360</v>
      </c>
      <c r="G61" s="120"/>
      <c r="H61" s="120"/>
      <c r="I61" s="120"/>
      <c r="J61" s="120"/>
      <c r="K61" s="127">
        <v>1</v>
      </c>
      <c r="L61" s="128"/>
      <c r="M61" s="128"/>
      <c r="N61" s="128" t="s">
        <v>105</v>
      </c>
      <c r="O61" s="128">
        <f t="shared" si="9"/>
        <v>0.96</v>
      </c>
      <c r="P61" s="128">
        <f t="shared" si="10"/>
        <v>0.84</v>
      </c>
      <c r="Q61" s="128">
        <f t="shared" si="11"/>
        <v>0.72</v>
      </c>
      <c r="R61" s="127">
        <v>0.6</v>
      </c>
      <c r="S61" s="128">
        <f t="shared" si="13"/>
        <v>0.48</v>
      </c>
      <c r="T61" s="128"/>
      <c r="U61" s="128" t="s">
        <v>351</v>
      </c>
      <c r="V61" s="135">
        <v>2</v>
      </c>
      <c r="W61" s="135"/>
      <c r="X61" s="135"/>
      <c r="Y61" s="135"/>
      <c r="Z61" s="135"/>
      <c r="AA61" s="135"/>
      <c r="AB61" s="128"/>
      <c r="AC61" s="128"/>
      <c r="AD61" s="128"/>
      <c r="AE61" s="128"/>
      <c r="AF61" s="128" t="s">
        <v>334</v>
      </c>
      <c r="AG61" s="139"/>
      <c r="AH61" s="139" t="s">
        <v>361</v>
      </c>
      <c r="AI61" s="121" t="s">
        <v>362</v>
      </c>
      <c r="AJ61" s="115" t="s">
        <v>134</v>
      </c>
      <c r="AK61" s="115"/>
      <c r="AL61" s="115"/>
      <c r="AM61" s="115"/>
      <c r="AN61" s="115"/>
      <c r="AO61" s="133">
        <v>0.8776666667</v>
      </c>
      <c r="AP61" s="133">
        <v>0.8466666667</v>
      </c>
      <c r="AQ61" s="142">
        <f>(0.84+0.83+0.832)/3</f>
        <v>0.834</v>
      </c>
      <c r="AR61" s="147">
        <v>0.91</v>
      </c>
      <c r="AS61" s="149">
        <f>(AR61-AQ61)/AQ61</f>
        <v>0.091127098321343</v>
      </c>
      <c r="AT61" s="141"/>
    </row>
    <row r="62" ht="59" customHeight="1" spans="1:46">
      <c r="A62" s="115" t="s">
        <v>349</v>
      </c>
      <c r="B62" s="115" t="s">
        <v>102</v>
      </c>
      <c r="C62" s="115" t="s">
        <v>103</v>
      </c>
      <c r="D62" s="116">
        <v>61</v>
      </c>
      <c r="E62" s="119" t="s">
        <v>363</v>
      </c>
      <c r="F62" s="119" t="s">
        <v>363</v>
      </c>
      <c r="G62" s="120"/>
      <c r="H62" s="120">
        <v>1.33</v>
      </c>
      <c r="I62" s="120"/>
      <c r="J62" s="120">
        <v>0.17</v>
      </c>
      <c r="K62" s="127">
        <v>1</v>
      </c>
      <c r="L62" s="128"/>
      <c r="M62" s="128"/>
      <c r="N62" s="128" t="s">
        <v>105</v>
      </c>
      <c r="O62" s="128">
        <f t="shared" si="9"/>
        <v>1.6</v>
      </c>
      <c r="P62" s="128">
        <f t="shared" si="10"/>
        <v>1.4</v>
      </c>
      <c r="Q62" s="128">
        <f t="shared" si="11"/>
        <v>1.2</v>
      </c>
      <c r="R62" s="127">
        <v>1</v>
      </c>
      <c r="S62" s="128">
        <f t="shared" si="13"/>
        <v>0.8</v>
      </c>
      <c r="T62" s="128"/>
      <c r="U62" s="128" t="s">
        <v>351</v>
      </c>
      <c r="V62" s="135">
        <v>2</v>
      </c>
      <c r="W62" s="135"/>
      <c r="X62" s="135"/>
      <c r="Y62" s="135"/>
      <c r="Z62" s="135"/>
      <c r="AA62" s="135"/>
      <c r="AB62" s="128"/>
      <c r="AC62" s="128"/>
      <c r="AD62" s="128"/>
      <c r="AE62" s="128"/>
      <c r="AF62" s="128" t="s">
        <v>334</v>
      </c>
      <c r="AG62" s="139" t="s">
        <v>364</v>
      </c>
      <c r="AH62" s="139" t="s">
        <v>365</v>
      </c>
      <c r="AI62" s="121" t="s">
        <v>366</v>
      </c>
      <c r="AJ62" s="115" t="s">
        <v>134</v>
      </c>
      <c r="AK62" s="115"/>
      <c r="AL62" s="115"/>
      <c r="AM62" s="115"/>
      <c r="AN62" s="115"/>
      <c r="AO62" s="133">
        <v>0.8336666667</v>
      </c>
      <c r="AP62" s="133">
        <v>0.8086666667</v>
      </c>
      <c r="AQ62" s="142">
        <f>(0.78+0.77+0.79)/3</f>
        <v>0.78</v>
      </c>
      <c r="AR62" s="147">
        <v>0.89</v>
      </c>
      <c r="AS62" s="149">
        <f>(AR62-AQ62)/AQ62</f>
        <v>0.141025641025641</v>
      </c>
      <c r="AT62" s="141"/>
    </row>
    <row r="63" ht="59" hidden="1" customHeight="1" spans="1:46">
      <c r="A63" s="115" t="s">
        <v>349</v>
      </c>
      <c r="B63" s="115" t="s">
        <v>102</v>
      </c>
      <c r="C63" s="115" t="s">
        <v>103</v>
      </c>
      <c r="D63" s="116">
        <v>62</v>
      </c>
      <c r="E63" s="119" t="s">
        <v>367</v>
      </c>
      <c r="F63" s="119" t="s">
        <v>367</v>
      </c>
      <c r="G63" s="120"/>
      <c r="H63" s="120">
        <v>0.608333333333333</v>
      </c>
      <c r="I63" s="120"/>
      <c r="J63" s="120">
        <v>0.633333333333333</v>
      </c>
      <c r="K63" s="127">
        <v>1</v>
      </c>
      <c r="L63" s="128"/>
      <c r="M63" s="128"/>
      <c r="N63" s="128" t="s">
        <v>105</v>
      </c>
      <c r="O63" s="128">
        <f t="shared" si="9"/>
        <v>4.8</v>
      </c>
      <c r="P63" s="128">
        <f t="shared" si="10"/>
        <v>4.2</v>
      </c>
      <c r="Q63" s="128">
        <f t="shared" si="11"/>
        <v>3.6</v>
      </c>
      <c r="R63" s="127">
        <v>3</v>
      </c>
      <c r="S63" s="128">
        <f t="shared" si="13"/>
        <v>2.4</v>
      </c>
      <c r="T63" s="128"/>
      <c r="U63" s="128" t="s">
        <v>351</v>
      </c>
      <c r="V63" s="135">
        <v>2</v>
      </c>
      <c r="W63" s="135"/>
      <c r="X63" s="135"/>
      <c r="Y63" s="135"/>
      <c r="Z63" s="135"/>
      <c r="AA63" s="135"/>
      <c r="AB63" s="128"/>
      <c r="AC63" s="128"/>
      <c r="AD63" s="128"/>
      <c r="AE63" s="128"/>
      <c r="AF63" s="128" t="s">
        <v>334</v>
      </c>
      <c r="AG63" s="139" t="s">
        <v>368</v>
      </c>
      <c r="AH63" s="139" t="s">
        <v>369</v>
      </c>
      <c r="AI63" s="121" t="s">
        <v>370</v>
      </c>
      <c r="AJ63" s="115" t="s">
        <v>114</v>
      </c>
      <c r="AK63" s="115"/>
      <c r="AL63" s="115"/>
      <c r="AM63" s="115"/>
      <c r="AN63" s="115"/>
      <c r="AO63" s="115"/>
      <c r="AP63" s="115"/>
      <c r="AQ63" s="141"/>
      <c r="AR63" s="141"/>
      <c r="AS63" s="141"/>
      <c r="AT63" s="141"/>
    </row>
    <row r="64" ht="59" hidden="1" customHeight="1" spans="1:46">
      <c r="A64" s="115" t="s">
        <v>349</v>
      </c>
      <c r="B64" s="115" t="s">
        <v>102</v>
      </c>
      <c r="C64" s="115" t="s">
        <v>103</v>
      </c>
      <c r="D64" s="116">
        <v>63</v>
      </c>
      <c r="E64" s="119" t="s">
        <v>371</v>
      </c>
      <c r="F64" s="119" t="s">
        <v>371</v>
      </c>
      <c r="G64" s="120"/>
      <c r="H64" s="120">
        <v>0.311</v>
      </c>
      <c r="I64" s="120"/>
      <c r="J64" s="120">
        <v>0.47</v>
      </c>
      <c r="K64" s="127">
        <v>1</v>
      </c>
      <c r="L64" s="128"/>
      <c r="M64" s="128"/>
      <c r="N64" s="128" t="s">
        <v>105</v>
      </c>
      <c r="O64" s="128">
        <f t="shared" si="9"/>
        <v>4</v>
      </c>
      <c r="P64" s="128">
        <f t="shared" si="10"/>
        <v>3.5</v>
      </c>
      <c r="Q64" s="128">
        <f t="shared" si="11"/>
        <v>3</v>
      </c>
      <c r="R64" s="127">
        <v>2.5</v>
      </c>
      <c r="S64" s="128">
        <f t="shared" si="13"/>
        <v>2</v>
      </c>
      <c r="T64" s="128"/>
      <c r="U64" s="128" t="s">
        <v>351</v>
      </c>
      <c r="V64" s="135">
        <v>2</v>
      </c>
      <c r="W64" s="135"/>
      <c r="X64" s="135"/>
      <c r="Y64" s="135"/>
      <c r="Z64" s="135"/>
      <c r="AA64" s="135"/>
      <c r="AB64" s="128"/>
      <c r="AC64" s="128"/>
      <c r="AD64" s="128"/>
      <c r="AE64" s="128"/>
      <c r="AF64" s="128" t="s">
        <v>334</v>
      </c>
      <c r="AG64" s="139" t="s">
        <v>372</v>
      </c>
      <c r="AH64" s="139" t="s">
        <v>373</v>
      </c>
      <c r="AI64" s="121" t="s">
        <v>374</v>
      </c>
      <c r="AJ64" s="115" t="s">
        <v>114</v>
      </c>
      <c r="AK64" s="115"/>
      <c r="AL64" s="115"/>
      <c r="AM64" s="115"/>
      <c r="AN64" s="115"/>
      <c r="AO64" s="115"/>
      <c r="AP64" s="115"/>
      <c r="AQ64" s="141"/>
      <c r="AR64" s="141"/>
      <c r="AS64" s="141"/>
      <c r="AT64" s="141"/>
    </row>
    <row r="65" ht="59" customHeight="1" spans="1:46">
      <c r="A65" s="115" t="s">
        <v>349</v>
      </c>
      <c r="B65" s="115" t="s">
        <v>102</v>
      </c>
      <c r="C65" s="115" t="s">
        <v>103</v>
      </c>
      <c r="D65" s="116">
        <v>64</v>
      </c>
      <c r="E65" s="119" t="s">
        <v>375</v>
      </c>
      <c r="F65" s="119" t="s">
        <v>375</v>
      </c>
      <c r="G65" s="120"/>
      <c r="H65" s="120"/>
      <c r="I65" s="120"/>
      <c r="J65" s="120"/>
      <c r="K65" s="128"/>
      <c r="L65" s="128"/>
      <c r="M65" s="128"/>
      <c r="N65" s="128"/>
      <c r="O65" s="128">
        <f t="shared" si="9"/>
        <v>0.96</v>
      </c>
      <c r="P65" s="128">
        <f t="shared" si="10"/>
        <v>0.84</v>
      </c>
      <c r="Q65" s="128">
        <f t="shared" si="11"/>
        <v>0.72</v>
      </c>
      <c r="R65" s="127">
        <v>0.6</v>
      </c>
      <c r="S65" s="128">
        <f t="shared" si="13"/>
        <v>0.48</v>
      </c>
      <c r="T65" s="128"/>
      <c r="U65" s="128" t="s">
        <v>351</v>
      </c>
      <c r="V65" s="135">
        <v>2</v>
      </c>
      <c r="W65" s="135"/>
      <c r="X65" s="135"/>
      <c r="Y65" s="135"/>
      <c r="Z65" s="135"/>
      <c r="AA65" s="135"/>
      <c r="AB65" s="128"/>
      <c r="AC65" s="128"/>
      <c r="AD65" s="128"/>
      <c r="AE65" s="128"/>
      <c r="AF65" s="128" t="s">
        <v>334</v>
      </c>
      <c r="AG65" s="139" t="s">
        <v>376</v>
      </c>
      <c r="AH65" s="139" t="s">
        <v>377</v>
      </c>
      <c r="AI65" s="121" t="s">
        <v>324</v>
      </c>
      <c r="AJ65" s="115" t="s">
        <v>134</v>
      </c>
      <c r="AK65" s="115"/>
      <c r="AL65" s="115"/>
      <c r="AM65" s="115"/>
      <c r="AN65" s="115"/>
      <c r="AO65" s="133">
        <v>0.8113333333</v>
      </c>
      <c r="AP65" s="133">
        <v>0.7943333333</v>
      </c>
      <c r="AQ65" s="142">
        <f>(0.781+0.79+0.71)/3</f>
        <v>0.760333333333333</v>
      </c>
      <c r="AR65" s="147">
        <v>0.88</v>
      </c>
      <c r="AS65" s="149">
        <f t="shared" ref="AS65:AS79" si="14">(AR65-AQ65)/AQ65</f>
        <v>0.157387110916265</v>
      </c>
      <c r="AT65" s="141"/>
    </row>
    <row r="66" ht="59" customHeight="1" spans="1:46">
      <c r="A66" s="115" t="s">
        <v>349</v>
      </c>
      <c r="B66" s="115" t="s">
        <v>102</v>
      </c>
      <c r="C66" s="115" t="s">
        <v>103</v>
      </c>
      <c r="D66" s="116">
        <v>65</v>
      </c>
      <c r="E66" s="119" t="s">
        <v>378</v>
      </c>
      <c r="F66" s="119" t="s">
        <v>378</v>
      </c>
      <c r="G66" s="120">
        <v>0.406666666666667</v>
      </c>
      <c r="H66" s="120"/>
      <c r="I66" s="120">
        <v>0.346666666666667</v>
      </c>
      <c r="J66" s="120"/>
      <c r="K66" s="127">
        <v>1</v>
      </c>
      <c r="L66" s="128" t="s">
        <v>293</v>
      </c>
      <c r="M66" s="128"/>
      <c r="N66" s="128" t="s">
        <v>105</v>
      </c>
      <c r="O66" s="128">
        <f t="shared" si="9"/>
        <v>8</v>
      </c>
      <c r="P66" s="128">
        <f t="shared" si="10"/>
        <v>7</v>
      </c>
      <c r="Q66" s="128">
        <f t="shared" si="11"/>
        <v>6</v>
      </c>
      <c r="R66" s="127">
        <v>5</v>
      </c>
      <c r="S66" s="128">
        <f t="shared" si="13"/>
        <v>4</v>
      </c>
      <c r="T66" s="128"/>
      <c r="U66" s="128" t="s">
        <v>351</v>
      </c>
      <c r="V66" s="135">
        <v>2</v>
      </c>
      <c r="W66" s="135" t="s">
        <v>109</v>
      </c>
      <c r="X66" s="135"/>
      <c r="Y66" s="135"/>
      <c r="Z66" s="135"/>
      <c r="AA66" s="135"/>
      <c r="AB66" s="128"/>
      <c r="AC66" s="128"/>
      <c r="AD66" s="127">
        <v>0.45</v>
      </c>
      <c r="AE66" s="128"/>
      <c r="AF66" s="128" t="s">
        <v>334</v>
      </c>
      <c r="AG66" s="139"/>
      <c r="AH66" s="139" t="s">
        <v>379</v>
      </c>
      <c r="AI66" s="121" t="s">
        <v>380</v>
      </c>
      <c r="AJ66" s="115" t="s">
        <v>134</v>
      </c>
      <c r="AK66" s="115"/>
      <c r="AL66" s="115"/>
      <c r="AM66" s="115"/>
      <c r="AN66" s="115"/>
      <c r="AO66" s="133">
        <v>0.7633333333</v>
      </c>
      <c r="AP66" s="142" t="s">
        <v>9</v>
      </c>
      <c r="AQ66" s="142" t="s">
        <v>9</v>
      </c>
      <c r="AR66" s="143">
        <v>0.91</v>
      </c>
      <c r="AS66" s="149" t="e">
        <f t="shared" si="14"/>
        <v>#VALUE!</v>
      </c>
      <c r="AT66" s="141"/>
    </row>
    <row r="67" ht="59" customHeight="1" spans="1:46">
      <c r="A67" s="115" t="s">
        <v>101</v>
      </c>
      <c r="B67" s="115" t="s">
        <v>381</v>
      </c>
      <c r="C67" s="115" t="s">
        <v>202</v>
      </c>
      <c r="D67" s="116">
        <v>66</v>
      </c>
      <c r="E67" s="117" t="s">
        <v>382</v>
      </c>
      <c r="F67" s="117" t="s">
        <v>383</v>
      </c>
      <c r="G67" s="117"/>
      <c r="H67" s="116">
        <v>1.419</v>
      </c>
      <c r="I67" s="117"/>
      <c r="J67" s="116">
        <v>1.289</v>
      </c>
      <c r="K67" s="127">
        <v>1</v>
      </c>
      <c r="L67" s="128"/>
      <c r="M67" s="128"/>
      <c r="N67" s="128" t="s">
        <v>105</v>
      </c>
      <c r="O67" s="128"/>
      <c r="P67" s="128"/>
      <c r="Q67" s="128"/>
      <c r="R67" s="128"/>
      <c r="S67" s="128"/>
      <c r="T67" s="128"/>
      <c r="U67" s="128" t="s">
        <v>384</v>
      </c>
      <c r="V67" s="135">
        <v>3</v>
      </c>
      <c r="W67" s="135"/>
      <c r="X67" s="135"/>
      <c r="Y67" s="135"/>
      <c r="Z67" s="135"/>
      <c r="AA67" s="135"/>
      <c r="AB67" s="128"/>
      <c r="AC67" s="128"/>
      <c r="AD67" s="128"/>
      <c r="AE67" s="128"/>
      <c r="AF67" s="128"/>
      <c r="AG67" s="139" t="s">
        <v>385</v>
      </c>
      <c r="AH67" s="139" t="s">
        <v>386</v>
      </c>
      <c r="AI67" s="121" t="s">
        <v>387</v>
      </c>
      <c r="AJ67" s="115" t="s">
        <v>45</v>
      </c>
      <c r="AK67" s="115"/>
      <c r="AL67" s="115"/>
      <c r="AM67" s="115"/>
      <c r="AN67" s="115"/>
      <c r="AO67" s="161">
        <v>1.8622</v>
      </c>
      <c r="AP67" s="162">
        <v>1.7439</v>
      </c>
      <c r="AQ67" s="163">
        <v>1.71</v>
      </c>
      <c r="AR67" s="163">
        <v>1.62</v>
      </c>
      <c r="AS67" s="149">
        <f t="shared" si="14"/>
        <v>-0.0526315789473683</v>
      </c>
      <c r="AT67" s="141"/>
    </row>
    <row r="68" ht="59" customHeight="1" spans="1:46">
      <c r="A68" s="115" t="s">
        <v>101</v>
      </c>
      <c r="B68" s="115" t="s">
        <v>381</v>
      </c>
      <c r="C68" s="115" t="s">
        <v>202</v>
      </c>
      <c r="D68" s="116">
        <v>67</v>
      </c>
      <c r="E68" s="117" t="s">
        <v>388</v>
      </c>
      <c r="F68" s="117" t="s">
        <v>389</v>
      </c>
      <c r="G68" s="117"/>
      <c r="H68" s="117" t="s">
        <v>390</v>
      </c>
      <c r="I68" s="117"/>
      <c r="J68" s="116">
        <v>443.19</v>
      </c>
      <c r="K68" s="127">
        <v>1</v>
      </c>
      <c r="L68" s="128"/>
      <c r="M68" s="128"/>
      <c r="N68" s="128" t="s">
        <v>105</v>
      </c>
      <c r="O68" s="128"/>
      <c r="P68" s="128"/>
      <c r="Q68" s="128"/>
      <c r="R68" s="128"/>
      <c r="S68" s="128"/>
      <c r="T68" s="128"/>
      <c r="U68" s="128" t="s">
        <v>391</v>
      </c>
      <c r="V68" s="135">
        <v>3</v>
      </c>
      <c r="W68" s="135"/>
      <c r="X68" s="135"/>
      <c r="Y68" s="135"/>
      <c r="Z68" s="135"/>
      <c r="AA68" s="135"/>
      <c r="AB68" s="128"/>
      <c r="AC68" s="128"/>
      <c r="AD68" s="128"/>
      <c r="AE68" s="128"/>
      <c r="AF68" s="128"/>
      <c r="AG68" s="139" t="s">
        <v>385</v>
      </c>
      <c r="AH68" s="139" t="s">
        <v>392</v>
      </c>
      <c r="AI68" s="121" t="s">
        <v>393</v>
      </c>
      <c r="AJ68" s="115" t="s">
        <v>45</v>
      </c>
      <c r="AK68" s="115"/>
      <c r="AL68" s="115"/>
      <c r="AM68" s="115"/>
      <c r="AN68" s="115"/>
      <c r="AO68" s="133">
        <v>2859441</v>
      </c>
      <c r="AP68" s="164">
        <v>2611973</v>
      </c>
      <c r="AQ68" s="147">
        <v>2330113</v>
      </c>
      <c r="AR68" s="147">
        <v>2511901</v>
      </c>
      <c r="AS68" s="149">
        <f t="shared" si="14"/>
        <v>0.0780168172101525</v>
      </c>
      <c r="AT68" s="141"/>
    </row>
    <row r="69" ht="59" customHeight="1" spans="1:46">
      <c r="A69" s="115" t="s">
        <v>101</v>
      </c>
      <c r="B69" s="115" t="s">
        <v>381</v>
      </c>
      <c r="C69" s="115" t="s">
        <v>202</v>
      </c>
      <c r="D69" s="116">
        <v>68</v>
      </c>
      <c r="E69" s="117" t="s">
        <v>394</v>
      </c>
      <c r="F69" s="117" t="s">
        <v>395</v>
      </c>
      <c r="G69" s="117"/>
      <c r="H69" s="116">
        <v>0.6377</v>
      </c>
      <c r="I69" s="117"/>
      <c r="J69" s="116">
        <v>0.887</v>
      </c>
      <c r="K69" s="127">
        <v>1</v>
      </c>
      <c r="L69" s="128"/>
      <c r="M69" s="128"/>
      <c r="N69" s="128" t="s">
        <v>105</v>
      </c>
      <c r="O69" s="128"/>
      <c r="P69" s="128"/>
      <c r="Q69" s="128"/>
      <c r="R69" s="128"/>
      <c r="S69" s="128"/>
      <c r="T69" s="128"/>
      <c r="U69" s="128" t="s">
        <v>391</v>
      </c>
      <c r="V69" s="135">
        <v>3</v>
      </c>
      <c r="W69" s="135"/>
      <c r="X69" s="135"/>
      <c r="Y69" s="135"/>
      <c r="Z69" s="135"/>
      <c r="AA69" s="135"/>
      <c r="AB69" s="128"/>
      <c r="AC69" s="128"/>
      <c r="AD69" s="128"/>
      <c r="AE69" s="128"/>
      <c r="AF69" s="128"/>
      <c r="AG69" s="139" t="s">
        <v>385</v>
      </c>
      <c r="AH69" s="139" t="s">
        <v>396</v>
      </c>
      <c r="AI69" s="121" t="s">
        <v>397</v>
      </c>
      <c r="AJ69" s="115" t="s">
        <v>45</v>
      </c>
      <c r="AK69" s="115"/>
      <c r="AL69" s="115"/>
      <c r="AM69" s="115"/>
      <c r="AN69" s="115"/>
      <c r="AO69" s="161">
        <v>0.6956</v>
      </c>
      <c r="AP69" s="162">
        <v>0.7333</v>
      </c>
      <c r="AQ69" s="163">
        <v>0.74</v>
      </c>
      <c r="AR69" s="163">
        <v>0.78</v>
      </c>
      <c r="AS69" s="149">
        <f t="shared" si="14"/>
        <v>0.0540540540540541</v>
      </c>
      <c r="AT69" s="141"/>
    </row>
    <row r="70" ht="59" customHeight="1" spans="1:46">
      <c r="A70" s="115" t="s">
        <v>101</v>
      </c>
      <c r="B70" s="115" t="s">
        <v>381</v>
      </c>
      <c r="C70" s="115" t="s">
        <v>202</v>
      </c>
      <c r="D70" s="116">
        <v>69</v>
      </c>
      <c r="E70" s="117" t="s">
        <v>398</v>
      </c>
      <c r="F70" s="117" t="s">
        <v>398</v>
      </c>
      <c r="G70" s="118"/>
      <c r="H70" s="118">
        <v>1</v>
      </c>
      <c r="I70" s="118"/>
      <c r="J70" s="118">
        <v>1</v>
      </c>
      <c r="K70" s="127">
        <v>1</v>
      </c>
      <c r="L70" s="128"/>
      <c r="M70" s="128"/>
      <c r="N70" s="128" t="s">
        <v>105</v>
      </c>
      <c r="O70" s="128"/>
      <c r="P70" s="128"/>
      <c r="Q70" s="128"/>
      <c r="R70" s="128"/>
      <c r="S70" s="128"/>
      <c r="T70" s="128"/>
      <c r="U70" s="128"/>
      <c r="V70" s="135">
        <v>3</v>
      </c>
      <c r="W70" s="135"/>
      <c r="X70" s="135"/>
      <c r="Y70" s="135"/>
      <c r="Z70" s="135"/>
      <c r="AA70" s="135"/>
      <c r="AB70" s="128"/>
      <c r="AC70" s="128"/>
      <c r="AD70" s="128"/>
      <c r="AE70" s="128"/>
      <c r="AF70" s="128"/>
      <c r="AG70" s="139" t="s">
        <v>385</v>
      </c>
      <c r="AH70" s="139" t="s">
        <v>399</v>
      </c>
      <c r="AI70" s="121" t="s">
        <v>400</v>
      </c>
      <c r="AJ70" s="115" t="s">
        <v>45</v>
      </c>
      <c r="AK70" s="115"/>
      <c r="AL70" s="115"/>
      <c r="AM70" s="115"/>
      <c r="AN70" s="115"/>
      <c r="AO70" s="133">
        <v>0</v>
      </c>
      <c r="AP70" s="164">
        <v>1</v>
      </c>
      <c r="AQ70" s="147">
        <v>0</v>
      </c>
      <c r="AR70" s="165">
        <v>0</v>
      </c>
      <c r="AS70" s="149" t="e">
        <f t="shared" si="14"/>
        <v>#DIV/0!</v>
      </c>
      <c r="AT70" s="141"/>
    </row>
    <row r="71" ht="109" customHeight="1" spans="1:46">
      <c r="A71" s="115" t="s">
        <v>101</v>
      </c>
      <c r="B71" s="115" t="s">
        <v>381</v>
      </c>
      <c r="C71" s="115" t="s">
        <v>202</v>
      </c>
      <c r="D71" s="116">
        <v>70</v>
      </c>
      <c r="E71" s="117" t="s">
        <v>401</v>
      </c>
      <c r="F71" s="117" t="s">
        <v>401</v>
      </c>
      <c r="G71" s="118"/>
      <c r="H71" s="118">
        <v>3</v>
      </c>
      <c r="I71" s="118"/>
      <c r="J71" s="118">
        <v>0</v>
      </c>
      <c r="K71" s="127">
        <v>1</v>
      </c>
      <c r="L71" s="128"/>
      <c r="M71" s="128"/>
      <c r="N71" s="128" t="s">
        <v>105</v>
      </c>
      <c r="O71" s="128"/>
      <c r="P71" s="128"/>
      <c r="Q71" s="128"/>
      <c r="R71" s="128"/>
      <c r="S71" s="128"/>
      <c r="T71" s="128"/>
      <c r="U71" s="128"/>
      <c r="V71" s="135">
        <v>3</v>
      </c>
      <c r="W71" s="135"/>
      <c r="X71" s="135"/>
      <c r="Y71" s="135"/>
      <c r="Z71" s="135"/>
      <c r="AA71" s="135"/>
      <c r="AB71" s="128"/>
      <c r="AC71" s="128"/>
      <c r="AD71" s="128"/>
      <c r="AE71" s="128"/>
      <c r="AF71" s="128"/>
      <c r="AG71" s="139" t="s">
        <v>385</v>
      </c>
      <c r="AH71" s="139" t="s">
        <v>402</v>
      </c>
      <c r="AI71" s="121" t="s">
        <v>403</v>
      </c>
      <c r="AJ71" s="115" t="s">
        <v>45</v>
      </c>
      <c r="AK71" s="115"/>
      <c r="AL71" s="115"/>
      <c r="AM71" s="115"/>
      <c r="AN71" s="115"/>
      <c r="AO71" s="133">
        <v>1</v>
      </c>
      <c r="AP71" s="164">
        <v>1</v>
      </c>
      <c r="AQ71" s="147">
        <v>1</v>
      </c>
      <c r="AR71" s="165">
        <v>1</v>
      </c>
      <c r="AS71" s="149">
        <f t="shared" si="14"/>
        <v>0</v>
      </c>
      <c r="AT71" s="141"/>
    </row>
    <row r="72" ht="59" customHeight="1" spans="1:46">
      <c r="A72" s="115" t="s">
        <v>101</v>
      </c>
      <c r="B72" s="115" t="s">
        <v>381</v>
      </c>
      <c r="C72" s="115" t="s">
        <v>202</v>
      </c>
      <c r="D72" s="116">
        <v>71</v>
      </c>
      <c r="E72" s="117" t="s">
        <v>404</v>
      </c>
      <c r="F72" s="117" t="s">
        <v>405</v>
      </c>
      <c r="G72" s="118"/>
      <c r="H72" s="118">
        <v>1</v>
      </c>
      <c r="I72" s="118"/>
      <c r="J72" s="118">
        <v>1</v>
      </c>
      <c r="K72" s="127">
        <v>1</v>
      </c>
      <c r="L72" s="128"/>
      <c r="M72" s="128"/>
      <c r="N72" s="128" t="s">
        <v>105</v>
      </c>
      <c r="O72" s="128"/>
      <c r="P72" s="128"/>
      <c r="Q72" s="128"/>
      <c r="R72" s="128"/>
      <c r="S72" s="128"/>
      <c r="T72" s="128"/>
      <c r="U72" s="128"/>
      <c r="V72" s="135">
        <v>3</v>
      </c>
      <c r="W72" s="135"/>
      <c r="X72" s="135"/>
      <c r="Y72" s="135"/>
      <c r="Z72" s="135"/>
      <c r="AA72" s="135"/>
      <c r="AB72" s="128"/>
      <c r="AC72" s="128"/>
      <c r="AD72" s="128"/>
      <c r="AE72" s="128"/>
      <c r="AF72" s="128"/>
      <c r="AG72" s="139" t="s">
        <v>385</v>
      </c>
      <c r="AH72" s="139" t="s">
        <v>392</v>
      </c>
      <c r="AI72" s="121" t="s">
        <v>406</v>
      </c>
      <c r="AJ72" s="115" t="s">
        <v>45</v>
      </c>
      <c r="AK72" s="115"/>
      <c r="AL72" s="115"/>
      <c r="AM72" s="115"/>
      <c r="AN72" s="115"/>
      <c r="AO72" s="133">
        <v>3</v>
      </c>
      <c r="AP72" s="164">
        <v>1</v>
      </c>
      <c r="AQ72" s="147">
        <v>0</v>
      </c>
      <c r="AR72" s="165">
        <v>0</v>
      </c>
      <c r="AS72" s="149" t="e">
        <f t="shared" si="14"/>
        <v>#DIV/0!</v>
      </c>
      <c r="AT72" s="141"/>
    </row>
    <row r="73" ht="59" customHeight="1" spans="1:46">
      <c r="A73" s="115" t="s">
        <v>101</v>
      </c>
      <c r="B73" s="115" t="s">
        <v>407</v>
      </c>
      <c r="C73" s="115" t="s">
        <v>202</v>
      </c>
      <c r="D73" s="116">
        <v>72</v>
      </c>
      <c r="E73" s="117" t="s">
        <v>408</v>
      </c>
      <c r="F73" s="117" t="s">
        <v>408</v>
      </c>
      <c r="G73" s="118"/>
      <c r="H73" s="118">
        <v>0</v>
      </c>
      <c r="I73" s="118"/>
      <c r="J73" s="118">
        <v>0</v>
      </c>
      <c r="K73" s="127">
        <v>1</v>
      </c>
      <c r="L73" s="128"/>
      <c r="M73" s="128"/>
      <c r="N73" s="128" t="s">
        <v>105</v>
      </c>
      <c r="O73" s="128"/>
      <c r="P73" s="128"/>
      <c r="Q73" s="128"/>
      <c r="R73" s="128"/>
      <c r="S73" s="128"/>
      <c r="T73" s="128"/>
      <c r="U73" s="128"/>
      <c r="V73" s="135">
        <v>3</v>
      </c>
      <c r="W73" s="135"/>
      <c r="X73" s="135"/>
      <c r="Y73" s="135"/>
      <c r="Z73" s="135"/>
      <c r="AA73" s="135"/>
      <c r="AB73" s="128"/>
      <c r="AC73" s="128"/>
      <c r="AD73" s="128"/>
      <c r="AE73" s="128"/>
      <c r="AF73" s="128"/>
      <c r="AG73" s="139"/>
      <c r="AH73" s="139" t="s">
        <v>409</v>
      </c>
      <c r="AI73" s="121" t="s">
        <v>400</v>
      </c>
      <c r="AJ73" s="115" t="s">
        <v>45</v>
      </c>
      <c r="AK73" s="115"/>
      <c r="AL73" s="115"/>
      <c r="AM73" s="115"/>
      <c r="AN73" s="115"/>
      <c r="AO73" s="133">
        <v>0</v>
      </c>
      <c r="AP73" s="164">
        <v>0</v>
      </c>
      <c r="AQ73" s="164">
        <v>0</v>
      </c>
      <c r="AR73" s="164">
        <v>0</v>
      </c>
      <c r="AS73" s="149" t="e">
        <f t="shared" si="14"/>
        <v>#DIV/0!</v>
      </c>
      <c r="AT73" s="141"/>
    </row>
    <row r="74" ht="59" customHeight="1" spans="1:46">
      <c r="A74" s="115" t="s">
        <v>101</v>
      </c>
      <c r="B74" s="115" t="s">
        <v>407</v>
      </c>
      <c r="C74" s="115" t="s">
        <v>202</v>
      </c>
      <c r="D74" s="116">
        <v>73</v>
      </c>
      <c r="E74" s="117" t="s">
        <v>410</v>
      </c>
      <c r="F74" s="117" t="s">
        <v>410</v>
      </c>
      <c r="G74" s="118"/>
      <c r="H74" s="118">
        <v>0</v>
      </c>
      <c r="I74" s="118"/>
      <c r="J74" s="118">
        <v>0</v>
      </c>
      <c r="K74" s="127">
        <v>1</v>
      </c>
      <c r="L74" s="128"/>
      <c r="M74" s="128"/>
      <c r="N74" s="128" t="s">
        <v>105</v>
      </c>
      <c r="O74" s="128"/>
      <c r="P74" s="128"/>
      <c r="Q74" s="128"/>
      <c r="R74" s="128"/>
      <c r="S74" s="128"/>
      <c r="T74" s="128"/>
      <c r="U74" s="128"/>
      <c r="V74" s="135">
        <v>3</v>
      </c>
      <c r="W74" s="135"/>
      <c r="X74" s="135"/>
      <c r="Y74" s="135"/>
      <c r="Z74" s="135"/>
      <c r="AA74" s="135"/>
      <c r="AB74" s="128"/>
      <c r="AC74" s="128"/>
      <c r="AD74" s="128"/>
      <c r="AE74" s="128"/>
      <c r="AF74" s="128"/>
      <c r="AG74" s="139"/>
      <c r="AH74" s="139" t="s">
        <v>411</v>
      </c>
      <c r="AI74" s="121" t="s">
        <v>403</v>
      </c>
      <c r="AJ74" s="115" t="s">
        <v>45</v>
      </c>
      <c r="AK74" s="115"/>
      <c r="AL74" s="115"/>
      <c r="AM74" s="115"/>
      <c r="AN74" s="115"/>
      <c r="AO74" s="133">
        <v>0</v>
      </c>
      <c r="AP74" s="164">
        <v>0</v>
      </c>
      <c r="AQ74" s="164">
        <v>0</v>
      </c>
      <c r="AR74" s="164">
        <v>0</v>
      </c>
      <c r="AS74" s="149" t="e">
        <f t="shared" si="14"/>
        <v>#DIV/0!</v>
      </c>
      <c r="AT74" s="141"/>
    </row>
    <row r="75" ht="59" customHeight="1" spans="1:46">
      <c r="A75" s="115" t="s">
        <v>101</v>
      </c>
      <c r="B75" s="115" t="s">
        <v>407</v>
      </c>
      <c r="C75" s="115" t="s">
        <v>103</v>
      </c>
      <c r="D75" s="116">
        <v>74</v>
      </c>
      <c r="E75" s="121" t="s">
        <v>412</v>
      </c>
      <c r="F75" s="121" t="s">
        <v>412</v>
      </c>
      <c r="G75" s="122"/>
      <c r="H75" s="122"/>
      <c r="I75" s="122"/>
      <c r="J75" s="122"/>
      <c r="K75" s="129">
        <v>1</v>
      </c>
      <c r="L75" s="130" t="s">
        <v>9</v>
      </c>
      <c r="M75" s="128" t="s">
        <v>105</v>
      </c>
      <c r="N75" s="128" t="s">
        <v>105</v>
      </c>
      <c r="O75" s="128"/>
      <c r="P75" s="128"/>
      <c r="Q75" s="128"/>
      <c r="R75" s="128"/>
      <c r="S75" s="127">
        <v>1</v>
      </c>
      <c r="T75" s="128"/>
      <c r="U75" s="128"/>
      <c r="V75" s="135" t="s">
        <v>210</v>
      </c>
      <c r="W75" s="135" t="s">
        <v>109</v>
      </c>
      <c r="X75" s="135"/>
      <c r="Y75" s="135"/>
      <c r="Z75" s="135"/>
      <c r="AA75" s="135"/>
      <c r="AB75" s="155"/>
      <c r="AC75" s="155"/>
      <c r="AD75" s="156">
        <v>1.1</v>
      </c>
      <c r="AE75" s="155"/>
      <c r="AF75" s="128"/>
      <c r="AG75" s="139"/>
      <c r="AH75" s="139" t="s">
        <v>413</v>
      </c>
      <c r="AI75" s="121" t="s">
        <v>414</v>
      </c>
      <c r="AJ75" s="115" t="s">
        <v>45</v>
      </c>
      <c r="AK75" s="115"/>
      <c r="AL75" s="115"/>
      <c r="AM75" s="115"/>
      <c r="AN75" s="115"/>
      <c r="AO75" s="133">
        <v>1.89</v>
      </c>
      <c r="AP75" s="133">
        <v>1.78</v>
      </c>
      <c r="AQ75" s="133">
        <v>1.73</v>
      </c>
      <c r="AR75" s="133">
        <v>1.81</v>
      </c>
      <c r="AS75" s="149">
        <f t="shared" si="14"/>
        <v>0.046242774566474</v>
      </c>
      <c r="AT75" s="141"/>
    </row>
    <row r="76" ht="59" customHeight="1" spans="1:46">
      <c r="A76" s="115" t="s">
        <v>101</v>
      </c>
      <c r="B76" s="115" t="s">
        <v>102</v>
      </c>
      <c r="C76" s="115" t="s">
        <v>103</v>
      </c>
      <c r="D76" s="116">
        <v>75</v>
      </c>
      <c r="E76" s="121" t="s">
        <v>415</v>
      </c>
      <c r="F76" s="121" t="s">
        <v>415</v>
      </c>
      <c r="G76" s="122">
        <v>2.77333333333333</v>
      </c>
      <c r="H76" s="122">
        <v>2.59333333333333</v>
      </c>
      <c r="I76" s="122">
        <v>2.07333333333333</v>
      </c>
      <c r="J76" s="122">
        <v>2.15</v>
      </c>
      <c r="K76" s="129">
        <v>1</v>
      </c>
      <c r="L76" s="128" t="s">
        <v>293</v>
      </c>
      <c r="M76" s="128" t="s">
        <v>105</v>
      </c>
      <c r="N76" s="128" t="s">
        <v>105</v>
      </c>
      <c r="O76" s="128">
        <f t="shared" ref="O76:O96" si="15">R76*1.6</f>
        <v>2.4</v>
      </c>
      <c r="P76" s="128">
        <f t="shared" ref="P76:P96" si="16">R76*1.4</f>
        <v>2.1</v>
      </c>
      <c r="Q76" s="128">
        <f t="shared" ref="Q76:Q96" si="17">R76*1.2</f>
        <v>1.8</v>
      </c>
      <c r="R76" s="127">
        <v>1.5</v>
      </c>
      <c r="S76" s="128">
        <f t="shared" ref="S76:S96" si="18">R76*0.8</f>
        <v>1.2</v>
      </c>
      <c r="T76" s="128"/>
      <c r="U76" s="128" t="s">
        <v>142</v>
      </c>
      <c r="V76" s="135" t="s">
        <v>210</v>
      </c>
      <c r="W76" s="135" t="s">
        <v>109</v>
      </c>
      <c r="X76" s="135"/>
      <c r="Y76" s="135"/>
      <c r="Z76" s="135"/>
      <c r="AA76" s="135"/>
      <c r="AB76" s="128"/>
      <c r="AC76" s="128"/>
      <c r="AD76" s="127">
        <v>1.6</v>
      </c>
      <c r="AE76" s="128" t="s">
        <v>130</v>
      </c>
      <c r="AF76" s="128" t="s">
        <v>111</v>
      </c>
      <c r="AG76" s="139" t="s">
        <v>416</v>
      </c>
      <c r="AH76" s="139" t="s">
        <v>417</v>
      </c>
      <c r="AI76" s="121" t="s">
        <v>418</v>
      </c>
      <c r="AJ76" s="115" t="s">
        <v>134</v>
      </c>
      <c r="AK76" s="115"/>
      <c r="AL76" s="115"/>
      <c r="AM76" s="115"/>
      <c r="AN76" s="115"/>
      <c r="AO76" s="133">
        <v>2.484333333</v>
      </c>
      <c r="AP76" s="131" t="s">
        <v>9</v>
      </c>
      <c r="AQ76" s="131" t="s">
        <v>9</v>
      </c>
      <c r="AR76" s="133">
        <v>1.87</v>
      </c>
      <c r="AS76" s="149" t="e">
        <f t="shared" si="14"/>
        <v>#VALUE!</v>
      </c>
      <c r="AT76" s="141"/>
    </row>
    <row r="77" ht="59" customHeight="1" spans="1:46">
      <c r="A77" s="115" t="s">
        <v>101</v>
      </c>
      <c r="B77" s="115" t="s">
        <v>102</v>
      </c>
      <c r="C77" s="115" t="s">
        <v>103</v>
      </c>
      <c r="D77" s="116">
        <v>76</v>
      </c>
      <c r="E77" s="121" t="s">
        <v>419</v>
      </c>
      <c r="F77" s="121" t="s">
        <v>419</v>
      </c>
      <c r="G77" s="122">
        <v>2.31666666666667</v>
      </c>
      <c r="H77" s="122">
        <v>2.92666666666667</v>
      </c>
      <c r="I77" s="122">
        <v>2.15666666666667</v>
      </c>
      <c r="J77" s="122">
        <v>2.15</v>
      </c>
      <c r="K77" s="129">
        <v>1</v>
      </c>
      <c r="L77" s="128" t="s">
        <v>293</v>
      </c>
      <c r="M77" s="128" t="s">
        <v>105</v>
      </c>
      <c r="N77" s="128" t="s">
        <v>105</v>
      </c>
      <c r="O77" s="128">
        <f t="shared" si="15"/>
        <v>2.4</v>
      </c>
      <c r="P77" s="128">
        <f t="shared" si="16"/>
        <v>2.1</v>
      </c>
      <c r="Q77" s="128">
        <f t="shared" si="17"/>
        <v>1.8</v>
      </c>
      <c r="R77" s="127">
        <v>1.5</v>
      </c>
      <c r="S77" s="128">
        <f t="shared" si="18"/>
        <v>1.2</v>
      </c>
      <c r="T77" s="128"/>
      <c r="U77" s="128" t="s">
        <v>142</v>
      </c>
      <c r="V77" s="135" t="s">
        <v>210</v>
      </c>
      <c r="W77" s="135" t="s">
        <v>109</v>
      </c>
      <c r="X77" s="135"/>
      <c r="Y77" s="135"/>
      <c r="Z77" s="135"/>
      <c r="AA77" s="135"/>
      <c r="AB77" s="128"/>
      <c r="AC77" s="128"/>
      <c r="AD77" s="127">
        <v>2.5</v>
      </c>
      <c r="AE77" s="128" t="s">
        <v>130</v>
      </c>
      <c r="AF77" s="128" t="s">
        <v>111</v>
      </c>
      <c r="AG77" s="139" t="s">
        <v>416</v>
      </c>
      <c r="AH77" s="139" t="s">
        <v>420</v>
      </c>
      <c r="AI77" s="121" t="s">
        <v>421</v>
      </c>
      <c r="AJ77" s="115" t="s">
        <v>134</v>
      </c>
      <c r="AK77" s="115"/>
      <c r="AL77" s="115"/>
      <c r="AM77" s="115"/>
      <c r="AN77" s="115"/>
      <c r="AO77" s="133">
        <v>2.896666667</v>
      </c>
      <c r="AP77" s="131" t="s">
        <v>9</v>
      </c>
      <c r="AQ77" s="131" t="s">
        <v>9</v>
      </c>
      <c r="AR77" s="133">
        <v>2.21</v>
      </c>
      <c r="AS77" s="149" t="e">
        <f t="shared" si="14"/>
        <v>#VALUE!</v>
      </c>
      <c r="AT77" s="141"/>
    </row>
    <row r="78" ht="59" customHeight="1" spans="1:46">
      <c r="A78" s="115" t="s">
        <v>101</v>
      </c>
      <c r="B78" s="115" t="s">
        <v>102</v>
      </c>
      <c r="C78" s="115" t="s">
        <v>103</v>
      </c>
      <c r="D78" s="116">
        <v>77</v>
      </c>
      <c r="E78" s="121" t="s">
        <v>422</v>
      </c>
      <c r="F78" s="121" t="s">
        <v>422</v>
      </c>
      <c r="G78" s="122"/>
      <c r="H78" s="122">
        <v>0.74</v>
      </c>
      <c r="I78" s="122"/>
      <c r="J78" s="122">
        <v>0.643333333333333</v>
      </c>
      <c r="K78" s="129">
        <v>1</v>
      </c>
      <c r="L78" s="130"/>
      <c r="M78" s="128"/>
      <c r="N78" s="128" t="s">
        <v>105</v>
      </c>
      <c r="O78" s="128">
        <f t="shared" si="15"/>
        <v>1.28</v>
      </c>
      <c r="P78" s="128">
        <f t="shared" si="16"/>
        <v>1.12</v>
      </c>
      <c r="Q78" s="128">
        <f t="shared" si="17"/>
        <v>0.96</v>
      </c>
      <c r="R78" s="127">
        <v>0.8</v>
      </c>
      <c r="S78" s="128">
        <f t="shared" si="18"/>
        <v>0.64</v>
      </c>
      <c r="T78" s="128"/>
      <c r="U78" s="128" t="s">
        <v>142</v>
      </c>
      <c r="V78" s="135" t="s">
        <v>210</v>
      </c>
      <c r="W78" s="135"/>
      <c r="X78" s="135"/>
      <c r="Y78" s="135"/>
      <c r="Z78" s="135"/>
      <c r="AA78" s="135"/>
      <c r="AB78" s="128"/>
      <c r="AC78" s="128"/>
      <c r="AD78" s="128"/>
      <c r="AE78" s="128" t="s">
        <v>130</v>
      </c>
      <c r="AF78" s="128" t="s">
        <v>111</v>
      </c>
      <c r="AG78" s="139" t="s">
        <v>423</v>
      </c>
      <c r="AH78" s="139" t="s">
        <v>424</v>
      </c>
      <c r="AI78" s="121" t="s">
        <v>425</v>
      </c>
      <c r="AJ78" s="115" t="s">
        <v>134</v>
      </c>
      <c r="AK78" s="115"/>
      <c r="AL78" s="115"/>
      <c r="AM78" s="115"/>
      <c r="AN78" s="115"/>
      <c r="AO78" s="133">
        <v>1.388666667</v>
      </c>
      <c r="AP78" s="131">
        <f>(1.203+1.87+1.1)/3</f>
        <v>1.391</v>
      </c>
      <c r="AQ78" s="142">
        <f>(1.38+1.3+1.31)/3</f>
        <v>1.33</v>
      </c>
      <c r="AR78" s="147">
        <v>1.11</v>
      </c>
      <c r="AS78" s="149">
        <f t="shared" si="14"/>
        <v>-0.165413533834586</v>
      </c>
      <c r="AT78" s="141"/>
    </row>
    <row r="79" ht="59" customHeight="1" spans="1:46">
      <c r="A79" s="115" t="s">
        <v>101</v>
      </c>
      <c r="B79" s="115" t="s">
        <v>102</v>
      </c>
      <c r="C79" s="115" t="s">
        <v>103</v>
      </c>
      <c r="D79" s="116">
        <v>78</v>
      </c>
      <c r="E79" s="121" t="s">
        <v>426</v>
      </c>
      <c r="F79" s="121" t="s">
        <v>426</v>
      </c>
      <c r="G79" s="122"/>
      <c r="H79" s="122"/>
      <c r="I79" s="122"/>
      <c r="J79" s="122"/>
      <c r="K79" s="129">
        <v>1</v>
      </c>
      <c r="L79" s="130"/>
      <c r="M79" s="128"/>
      <c r="N79" s="128" t="s">
        <v>105</v>
      </c>
      <c r="O79" s="128">
        <f t="shared" si="15"/>
        <v>1.28</v>
      </c>
      <c r="P79" s="128">
        <f t="shared" si="16"/>
        <v>1.12</v>
      </c>
      <c r="Q79" s="128">
        <f t="shared" si="17"/>
        <v>0.96</v>
      </c>
      <c r="R79" s="127">
        <v>0.8</v>
      </c>
      <c r="S79" s="128">
        <f t="shared" si="18"/>
        <v>0.64</v>
      </c>
      <c r="T79" s="128"/>
      <c r="U79" s="128" t="s">
        <v>142</v>
      </c>
      <c r="V79" s="135" t="s">
        <v>210</v>
      </c>
      <c r="W79" s="135"/>
      <c r="X79" s="135"/>
      <c r="Y79" s="135"/>
      <c r="Z79" s="135"/>
      <c r="AA79" s="135"/>
      <c r="AB79" s="128"/>
      <c r="AC79" s="128"/>
      <c r="AD79" s="128"/>
      <c r="AE79" s="128"/>
      <c r="AF79" s="128" t="s">
        <v>111</v>
      </c>
      <c r="AG79" s="139" t="s">
        <v>427</v>
      </c>
      <c r="AH79" s="139" t="s">
        <v>428</v>
      </c>
      <c r="AI79" s="121" t="s">
        <v>429</v>
      </c>
      <c r="AJ79" s="115" t="s">
        <v>134</v>
      </c>
      <c r="AK79" s="115"/>
      <c r="AL79" s="115"/>
      <c r="AM79" s="115"/>
      <c r="AN79" s="115"/>
      <c r="AO79" s="133">
        <v>1.033</v>
      </c>
      <c r="AP79" s="131">
        <f>(1.237+1.404+1.35)/3</f>
        <v>1.33033333333333</v>
      </c>
      <c r="AQ79" s="142">
        <f>(1.302+1.304+1.31)/3</f>
        <v>1.30533333333333</v>
      </c>
      <c r="AR79" s="147">
        <v>1.37</v>
      </c>
      <c r="AS79" s="149">
        <f t="shared" si="14"/>
        <v>0.0495403472931564</v>
      </c>
      <c r="AT79" s="141"/>
    </row>
    <row r="80" ht="59" hidden="1" customHeight="1" spans="1:46">
      <c r="A80" s="115" t="s">
        <v>101</v>
      </c>
      <c r="B80" s="115" t="s">
        <v>102</v>
      </c>
      <c r="C80" s="115" t="s">
        <v>103</v>
      </c>
      <c r="D80" s="116">
        <v>79</v>
      </c>
      <c r="E80" s="121" t="s">
        <v>430</v>
      </c>
      <c r="F80" s="121" t="s">
        <v>430</v>
      </c>
      <c r="G80" s="122"/>
      <c r="H80" s="122"/>
      <c r="I80" s="122"/>
      <c r="J80" s="122"/>
      <c r="K80" s="129">
        <v>1</v>
      </c>
      <c r="L80" s="130"/>
      <c r="M80" s="128"/>
      <c r="N80" s="128"/>
      <c r="O80" s="128">
        <f t="shared" si="15"/>
        <v>1.6</v>
      </c>
      <c r="P80" s="128">
        <f t="shared" si="16"/>
        <v>1.4</v>
      </c>
      <c r="Q80" s="128">
        <f t="shared" si="17"/>
        <v>1.2</v>
      </c>
      <c r="R80" s="127">
        <v>1</v>
      </c>
      <c r="S80" s="128">
        <f t="shared" si="18"/>
        <v>0.8</v>
      </c>
      <c r="T80" s="128"/>
      <c r="U80" s="128"/>
      <c r="V80" s="135" t="s">
        <v>210</v>
      </c>
      <c r="W80" s="135"/>
      <c r="X80" s="135"/>
      <c r="Y80" s="135"/>
      <c r="Z80" s="135"/>
      <c r="AA80" s="135"/>
      <c r="AB80" s="128"/>
      <c r="AC80" s="128"/>
      <c r="AD80" s="128"/>
      <c r="AE80" s="128"/>
      <c r="AF80" s="128" t="s">
        <v>111</v>
      </c>
      <c r="AG80" s="139" t="s">
        <v>427</v>
      </c>
      <c r="AH80" s="139" t="s">
        <v>431</v>
      </c>
      <c r="AI80" s="121" t="s">
        <v>432</v>
      </c>
      <c r="AJ80" s="115" t="s">
        <v>114</v>
      </c>
      <c r="AK80" s="115"/>
      <c r="AL80" s="115"/>
      <c r="AM80" s="115"/>
      <c r="AN80" s="115"/>
      <c r="AO80" s="115"/>
      <c r="AP80" s="115"/>
      <c r="AQ80" s="141"/>
      <c r="AR80" s="141"/>
      <c r="AS80" s="141"/>
      <c r="AT80" s="141"/>
    </row>
    <row r="81" ht="59" customHeight="1" spans="1:46">
      <c r="A81" s="115" t="s">
        <v>101</v>
      </c>
      <c r="B81" s="115" t="s">
        <v>102</v>
      </c>
      <c r="C81" s="115" t="s">
        <v>103</v>
      </c>
      <c r="D81" s="116">
        <v>80</v>
      </c>
      <c r="E81" s="121" t="s">
        <v>433</v>
      </c>
      <c r="F81" s="121" t="s">
        <v>433</v>
      </c>
      <c r="G81" s="122">
        <v>3.21</v>
      </c>
      <c r="H81" s="122">
        <v>5.28</v>
      </c>
      <c r="I81" s="122">
        <v>2.50333333333333</v>
      </c>
      <c r="J81" s="122">
        <v>3.47666666666667</v>
      </c>
      <c r="K81" s="129">
        <v>1</v>
      </c>
      <c r="L81" s="130"/>
      <c r="M81" s="128"/>
      <c r="N81" s="128" t="s">
        <v>105</v>
      </c>
      <c r="O81" s="128">
        <f t="shared" si="15"/>
        <v>4.8</v>
      </c>
      <c r="P81" s="128">
        <f t="shared" si="16"/>
        <v>4.2</v>
      </c>
      <c r="Q81" s="128">
        <f t="shared" si="17"/>
        <v>3.6</v>
      </c>
      <c r="R81" s="127">
        <v>3</v>
      </c>
      <c r="S81" s="128">
        <f t="shared" si="18"/>
        <v>2.4</v>
      </c>
      <c r="T81" s="128"/>
      <c r="U81" s="128" t="s">
        <v>142</v>
      </c>
      <c r="V81" s="135" t="s">
        <v>143</v>
      </c>
      <c r="W81" s="135" t="s">
        <v>109</v>
      </c>
      <c r="X81" s="153" t="s">
        <v>110</v>
      </c>
      <c r="Y81" s="135"/>
      <c r="Z81" s="135"/>
      <c r="AA81" s="135"/>
      <c r="AB81" s="128"/>
      <c r="AC81" s="128"/>
      <c r="AD81" s="128"/>
      <c r="AE81" s="128" t="s">
        <v>130</v>
      </c>
      <c r="AF81" s="128" t="s">
        <v>111</v>
      </c>
      <c r="AG81" s="139" t="s">
        <v>416</v>
      </c>
      <c r="AH81" s="139" t="s">
        <v>434</v>
      </c>
      <c r="AI81" s="121" t="s">
        <v>435</v>
      </c>
      <c r="AJ81" s="115" t="s">
        <v>134</v>
      </c>
      <c r="AK81" s="115"/>
      <c r="AL81" s="115"/>
      <c r="AM81" s="115"/>
      <c r="AN81" s="115"/>
      <c r="AO81" s="133">
        <v>4.446333333</v>
      </c>
      <c r="AP81" s="131" t="s">
        <v>9</v>
      </c>
      <c r="AQ81" s="131" t="s">
        <v>9</v>
      </c>
      <c r="AR81" s="144">
        <v>4.68</v>
      </c>
      <c r="AS81" s="149" t="e">
        <f t="shared" ref="AS81:AS86" si="19">(AR81-AQ81)/AQ81</f>
        <v>#VALUE!</v>
      </c>
      <c r="AT81" s="141"/>
    </row>
    <row r="82" ht="59" customHeight="1" spans="1:46">
      <c r="A82" s="115" t="s">
        <v>101</v>
      </c>
      <c r="B82" s="115" t="s">
        <v>102</v>
      </c>
      <c r="C82" s="115" t="s">
        <v>103</v>
      </c>
      <c r="D82" s="116">
        <v>81</v>
      </c>
      <c r="E82" s="121" t="s">
        <v>436</v>
      </c>
      <c r="F82" s="121" t="s">
        <v>436</v>
      </c>
      <c r="G82" s="122">
        <v>2.50333333333333</v>
      </c>
      <c r="H82" s="122">
        <v>2.82</v>
      </c>
      <c r="I82" s="122">
        <v>2.42666666666667</v>
      </c>
      <c r="J82" s="122">
        <v>3.13333333333333</v>
      </c>
      <c r="K82" s="129">
        <v>1</v>
      </c>
      <c r="L82" s="130"/>
      <c r="M82" s="128"/>
      <c r="N82" s="128" t="s">
        <v>105</v>
      </c>
      <c r="O82" s="128">
        <f t="shared" si="15"/>
        <v>4</v>
      </c>
      <c r="P82" s="128">
        <f t="shared" si="16"/>
        <v>3.5</v>
      </c>
      <c r="Q82" s="128">
        <f t="shared" si="17"/>
        <v>3</v>
      </c>
      <c r="R82" s="127">
        <v>2.5</v>
      </c>
      <c r="S82" s="128">
        <f t="shared" si="18"/>
        <v>2</v>
      </c>
      <c r="T82" s="128"/>
      <c r="U82" s="128" t="s">
        <v>142</v>
      </c>
      <c r="V82" s="135" t="s">
        <v>143</v>
      </c>
      <c r="W82" s="135" t="s">
        <v>109</v>
      </c>
      <c r="X82" s="135"/>
      <c r="Y82" s="135"/>
      <c r="Z82" s="135"/>
      <c r="AA82" s="135"/>
      <c r="AB82" s="128"/>
      <c r="AC82" s="128"/>
      <c r="AD82" s="128"/>
      <c r="AE82" s="128" t="s">
        <v>130</v>
      </c>
      <c r="AF82" s="128" t="s">
        <v>111</v>
      </c>
      <c r="AG82" s="139" t="s">
        <v>416</v>
      </c>
      <c r="AH82" s="139" t="s">
        <v>437</v>
      </c>
      <c r="AI82" s="121" t="s">
        <v>435</v>
      </c>
      <c r="AJ82" s="115" t="s">
        <v>134</v>
      </c>
      <c r="AK82" s="115"/>
      <c r="AL82" s="115"/>
      <c r="AM82" s="115"/>
      <c r="AN82" s="115"/>
      <c r="AO82" s="133">
        <v>4.588333333</v>
      </c>
      <c r="AP82" s="131" t="s">
        <v>9</v>
      </c>
      <c r="AQ82" s="131" t="s">
        <v>9</v>
      </c>
      <c r="AR82" s="144">
        <v>4.75</v>
      </c>
      <c r="AS82" s="149" t="e">
        <f t="shared" si="19"/>
        <v>#VALUE!</v>
      </c>
      <c r="AT82" s="141"/>
    </row>
    <row r="83" ht="59" customHeight="1" spans="1:46">
      <c r="A83" s="115" t="s">
        <v>101</v>
      </c>
      <c r="B83" s="115" t="s">
        <v>102</v>
      </c>
      <c r="C83" s="115" t="s">
        <v>103</v>
      </c>
      <c r="D83" s="116">
        <v>82</v>
      </c>
      <c r="E83" s="121" t="s">
        <v>438</v>
      </c>
      <c r="F83" s="121" t="s">
        <v>438</v>
      </c>
      <c r="G83" s="122">
        <v>10.0633333333333</v>
      </c>
      <c r="H83" s="122">
        <v>10.3033333333333</v>
      </c>
      <c r="I83" s="122">
        <v>10.3933333333333</v>
      </c>
      <c r="J83" s="122">
        <v>7.29333333333333</v>
      </c>
      <c r="K83" s="129">
        <v>1</v>
      </c>
      <c r="L83" s="130"/>
      <c r="M83" s="128"/>
      <c r="N83" s="128" t="s">
        <v>105</v>
      </c>
      <c r="O83" s="128">
        <f t="shared" si="15"/>
        <v>8</v>
      </c>
      <c r="P83" s="128">
        <f t="shared" si="16"/>
        <v>7</v>
      </c>
      <c r="Q83" s="128">
        <f t="shared" si="17"/>
        <v>6</v>
      </c>
      <c r="R83" s="127">
        <v>5</v>
      </c>
      <c r="S83" s="128">
        <f t="shared" si="18"/>
        <v>4</v>
      </c>
      <c r="T83" s="128"/>
      <c r="U83" s="128" t="s">
        <v>142</v>
      </c>
      <c r="V83" s="135" t="s">
        <v>143</v>
      </c>
      <c r="W83" s="135" t="s">
        <v>109</v>
      </c>
      <c r="X83" s="135"/>
      <c r="Y83" s="135"/>
      <c r="Z83" s="135"/>
      <c r="AA83" s="135"/>
      <c r="AB83" s="128"/>
      <c r="AC83" s="128"/>
      <c r="AD83" s="128"/>
      <c r="AE83" s="128"/>
      <c r="AF83" s="128" t="s">
        <v>111</v>
      </c>
      <c r="AG83" s="139" t="s">
        <v>416</v>
      </c>
      <c r="AH83" s="139" t="s">
        <v>439</v>
      </c>
      <c r="AI83" s="121" t="s">
        <v>440</v>
      </c>
      <c r="AJ83" s="115" t="s">
        <v>134</v>
      </c>
      <c r="AK83" s="115"/>
      <c r="AL83" s="115"/>
      <c r="AM83" s="115"/>
      <c r="AN83" s="115"/>
      <c r="AO83" s="133">
        <v>14.89133333</v>
      </c>
      <c r="AP83" s="131" t="s">
        <v>9</v>
      </c>
      <c r="AQ83" s="131" t="s">
        <v>9</v>
      </c>
      <c r="AR83" s="144">
        <v>13.79</v>
      </c>
      <c r="AS83" s="149" t="e">
        <f t="shared" si="19"/>
        <v>#VALUE!</v>
      </c>
      <c r="AT83" s="141"/>
    </row>
    <row r="84" ht="59" customHeight="1" spans="1:46">
      <c r="A84" s="115" t="s">
        <v>101</v>
      </c>
      <c r="B84" s="115" t="s">
        <v>102</v>
      </c>
      <c r="C84" s="115" t="s">
        <v>103</v>
      </c>
      <c r="D84" s="116">
        <v>83</v>
      </c>
      <c r="E84" s="121" t="s">
        <v>441</v>
      </c>
      <c r="F84" s="121" t="s">
        <v>441</v>
      </c>
      <c r="G84" s="122">
        <v>4.88</v>
      </c>
      <c r="H84" s="122">
        <v>4.79</v>
      </c>
      <c r="I84" s="122">
        <v>4.44333333333333</v>
      </c>
      <c r="J84" s="122">
        <v>4.78</v>
      </c>
      <c r="K84" s="129">
        <v>1</v>
      </c>
      <c r="L84" s="130"/>
      <c r="M84" s="128"/>
      <c r="N84" s="128" t="s">
        <v>105</v>
      </c>
      <c r="O84" s="128">
        <f t="shared" si="15"/>
        <v>8</v>
      </c>
      <c r="P84" s="128">
        <f t="shared" si="16"/>
        <v>7</v>
      </c>
      <c r="Q84" s="128">
        <f t="shared" si="17"/>
        <v>6</v>
      </c>
      <c r="R84" s="127">
        <v>5</v>
      </c>
      <c r="S84" s="128">
        <f t="shared" si="18"/>
        <v>4</v>
      </c>
      <c r="T84" s="128"/>
      <c r="U84" s="128" t="s">
        <v>142</v>
      </c>
      <c r="V84" s="135" t="s">
        <v>143</v>
      </c>
      <c r="W84" s="135" t="s">
        <v>109</v>
      </c>
      <c r="X84" s="135"/>
      <c r="Y84" s="135"/>
      <c r="Z84" s="135"/>
      <c r="AA84" s="135"/>
      <c r="AB84" s="128"/>
      <c r="AC84" s="128"/>
      <c r="AD84" s="127">
        <v>3.9</v>
      </c>
      <c r="AE84" s="128" t="s">
        <v>130</v>
      </c>
      <c r="AF84" s="128" t="s">
        <v>111</v>
      </c>
      <c r="AG84" s="139" t="s">
        <v>423</v>
      </c>
      <c r="AH84" s="139" t="s">
        <v>442</v>
      </c>
      <c r="AI84" s="121" t="s">
        <v>201</v>
      </c>
      <c r="AJ84" s="115" t="s">
        <v>134</v>
      </c>
      <c r="AK84" s="115"/>
      <c r="AL84" s="115"/>
      <c r="AM84" s="115"/>
      <c r="AN84" s="115"/>
      <c r="AO84" s="133">
        <v>3.533333333</v>
      </c>
      <c r="AP84" s="133">
        <v>5.037</v>
      </c>
      <c r="AQ84" s="142">
        <f>(4.4+5.6+4.887)/3</f>
        <v>4.96233333333333</v>
      </c>
      <c r="AR84" s="145">
        <f>(4.997+4.68+5.02)/3</f>
        <v>4.899</v>
      </c>
      <c r="AS84" s="149">
        <f t="shared" si="19"/>
        <v>-0.0127628131927185</v>
      </c>
      <c r="AT84" s="141"/>
    </row>
    <row r="85" ht="59" customHeight="1" spans="1:46">
      <c r="A85" s="115" t="s">
        <v>101</v>
      </c>
      <c r="B85" s="115" t="s">
        <v>102</v>
      </c>
      <c r="C85" s="115" t="s">
        <v>103</v>
      </c>
      <c r="D85" s="116">
        <v>84</v>
      </c>
      <c r="E85" s="121" t="s">
        <v>443</v>
      </c>
      <c r="F85" s="121" t="s">
        <v>443</v>
      </c>
      <c r="G85" s="122">
        <v>1.68666666666667</v>
      </c>
      <c r="H85" s="122">
        <v>1.22666666666667</v>
      </c>
      <c r="I85" s="122">
        <v>0.936666666666667</v>
      </c>
      <c r="J85" s="122">
        <v>1.52333333333333</v>
      </c>
      <c r="K85" s="129">
        <v>1</v>
      </c>
      <c r="L85" s="130" t="s">
        <v>9</v>
      </c>
      <c r="M85" s="128"/>
      <c r="N85" s="128" t="s">
        <v>105</v>
      </c>
      <c r="O85" s="128">
        <f t="shared" si="15"/>
        <v>2</v>
      </c>
      <c r="P85" s="128">
        <f t="shared" si="16"/>
        <v>1.75</v>
      </c>
      <c r="Q85" s="128">
        <f t="shared" si="17"/>
        <v>1.5</v>
      </c>
      <c r="R85" s="127">
        <v>1.25</v>
      </c>
      <c r="S85" s="128">
        <f t="shared" si="18"/>
        <v>1</v>
      </c>
      <c r="T85" s="128"/>
      <c r="U85" s="128" t="s">
        <v>142</v>
      </c>
      <c r="V85" s="135" t="s">
        <v>143</v>
      </c>
      <c r="W85" s="135" t="s">
        <v>109</v>
      </c>
      <c r="X85" s="135"/>
      <c r="Y85" s="135"/>
      <c r="Z85" s="135"/>
      <c r="AA85" s="135"/>
      <c r="AB85" s="128"/>
      <c r="AC85" s="128"/>
      <c r="AD85" s="128"/>
      <c r="AE85" s="128" t="s">
        <v>130</v>
      </c>
      <c r="AF85" s="128" t="s">
        <v>111</v>
      </c>
      <c r="AG85" s="139" t="s">
        <v>427</v>
      </c>
      <c r="AH85" s="139" t="s">
        <v>444</v>
      </c>
      <c r="AI85" s="121" t="s">
        <v>445</v>
      </c>
      <c r="AJ85" s="115" t="s">
        <v>134</v>
      </c>
      <c r="AK85" s="115"/>
      <c r="AL85" s="115"/>
      <c r="AM85" s="115"/>
      <c r="AN85" s="115"/>
      <c r="AO85" s="133">
        <v>0.8016666667</v>
      </c>
      <c r="AP85" s="133">
        <v>1.167666667</v>
      </c>
      <c r="AQ85" s="147">
        <v>1.312</v>
      </c>
      <c r="AR85" s="165">
        <v>1.125</v>
      </c>
      <c r="AS85" s="149">
        <f t="shared" si="19"/>
        <v>-0.142530487804878</v>
      </c>
      <c r="AT85" s="141"/>
    </row>
    <row r="86" ht="59" customHeight="1" spans="1:46">
      <c r="A86" s="115" t="s">
        <v>101</v>
      </c>
      <c r="B86" s="115" t="s">
        <v>102</v>
      </c>
      <c r="C86" s="115" t="s">
        <v>103</v>
      </c>
      <c r="D86" s="116">
        <v>85</v>
      </c>
      <c r="E86" s="121" t="s">
        <v>446</v>
      </c>
      <c r="F86" s="121" t="s">
        <v>446</v>
      </c>
      <c r="G86" s="122"/>
      <c r="H86" s="122">
        <v>0.72</v>
      </c>
      <c r="I86" s="122"/>
      <c r="J86" s="122">
        <v>0.623333333333333</v>
      </c>
      <c r="K86" s="129">
        <v>1</v>
      </c>
      <c r="L86" s="130"/>
      <c r="M86" s="128"/>
      <c r="N86" s="128" t="s">
        <v>105</v>
      </c>
      <c r="O86" s="128">
        <f t="shared" si="15"/>
        <v>2.4</v>
      </c>
      <c r="P86" s="128">
        <f t="shared" si="16"/>
        <v>2.1</v>
      </c>
      <c r="Q86" s="128">
        <f t="shared" si="17"/>
        <v>1.8</v>
      </c>
      <c r="R86" s="127">
        <v>1.5</v>
      </c>
      <c r="S86" s="128">
        <f t="shared" si="18"/>
        <v>1.2</v>
      </c>
      <c r="T86" s="128"/>
      <c r="U86" s="128" t="s">
        <v>142</v>
      </c>
      <c r="V86" s="135" t="s">
        <v>143</v>
      </c>
      <c r="W86" s="135"/>
      <c r="X86" s="135"/>
      <c r="Y86" s="135"/>
      <c r="Z86" s="135"/>
      <c r="AA86" s="135"/>
      <c r="AB86" s="128"/>
      <c r="AC86" s="128"/>
      <c r="AD86" s="128"/>
      <c r="AE86" s="128"/>
      <c r="AF86" s="128" t="s">
        <v>111</v>
      </c>
      <c r="AG86" s="139" t="s">
        <v>427</v>
      </c>
      <c r="AH86" s="139" t="s">
        <v>447</v>
      </c>
      <c r="AI86" s="121" t="s">
        <v>448</v>
      </c>
      <c r="AJ86" s="115" t="s">
        <v>134</v>
      </c>
      <c r="AK86" s="115"/>
      <c r="AL86" s="115"/>
      <c r="AM86" s="115"/>
      <c r="AN86" s="115"/>
      <c r="AO86" s="133">
        <v>0.8056666667</v>
      </c>
      <c r="AP86" s="133">
        <v>1.251</v>
      </c>
      <c r="AQ86" s="142">
        <f>(1.225+1.036+1.212)/3</f>
        <v>1.15766666666667</v>
      </c>
      <c r="AR86" s="145">
        <f>(1.95+1.685+1.022)/3</f>
        <v>1.55233333333333</v>
      </c>
      <c r="AS86" s="149">
        <f t="shared" si="19"/>
        <v>0.340915634897783</v>
      </c>
      <c r="AT86" s="141"/>
    </row>
    <row r="87" ht="59" hidden="1" customHeight="1" spans="1:46">
      <c r="A87" s="115" t="s">
        <v>101</v>
      </c>
      <c r="B87" s="115" t="s">
        <v>102</v>
      </c>
      <c r="C87" s="115" t="s">
        <v>103</v>
      </c>
      <c r="D87" s="116">
        <v>86</v>
      </c>
      <c r="E87" s="117" t="s">
        <v>449</v>
      </c>
      <c r="F87" s="117" t="s">
        <v>450</v>
      </c>
      <c r="G87" s="118"/>
      <c r="H87" s="118"/>
      <c r="I87" s="118"/>
      <c r="J87" s="118"/>
      <c r="K87" s="127">
        <v>0.5</v>
      </c>
      <c r="L87" s="128"/>
      <c r="M87" s="128"/>
      <c r="N87" s="128"/>
      <c r="O87" s="128">
        <f t="shared" si="15"/>
        <v>1.6</v>
      </c>
      <c r="P87" s="128">
        <f t="shared" si="16"/>
        <v>1.4</v>
      </c>
      <c r="Q87" s="128">
        <f t="shared" si="17"/>
        <v>1.2</v>
      </c>
      <c r="R87" s="127">
        <v>1</v>
      </c>
      <c r="S87" s="128">
        <f t="shared" si="18"/>
        <v>0.8</v>
      </c>
      <c r="T87" s="128"/>
      <c r="U87" s="128"/>
      <c r="V87" s="135" t="s">
        <v>194</v>
      </c>
      <c r="W87" s="135" t="s">
        <v>109</v>
      </c>
      <c r="X87" s="135"/>
      <c r="Y87" s="135"/>
      <c r="Z87" s="135"/>
      <c r="AA87" s="135"/>
      <c r="AB87" s="128"/>
      <c r="AC87" s="128"/>
      <c r="AD87" s="127">
        <v>1.3</v>
      </c>
      <c r="AE87" s="128"/>
      <c r="AF87" s="128" t="s">
        <v>111</v>
      </c>
      <c r="AG87" s="139"/>
      <c r="AH87" s="121" t="s">
        <v>451</v>
      </c>
      <c r="AI87" s="121" t="s">
        <v>452</v>
      </c>
      <c r="AJ87" s="115" t="s">
        <v>114</v>
      </c>
      <c r="AK87" s="115"/>
      <c r="AL87" s="115"/>
      <c r="AM87" s="115"/>
      <c r="AN87" s="115"/>
      <c r="AO87" s="115"/>
      <c r="AP87" s="115"/>
      <c r="AQ87" s="141"/>
      <c r="AR87" s="141"/>
      <c r="AS87" s="141"/>
      <c r="AT87" s="141"/>
    </row>
    <row r="88" ht="101" hidden="1" customHeight="1" spans="1:46">
      <c r="A88" s="115" t="s">
        <v>349</v>
      </c>
      <c r="B88" s="115" t="s">
        <v>102</v>
      </c>
      <c r="C88" s="115" t="s">
        <v>103</v>
      </c>
      <c r="D88" s="116">
        <v>87</v>
      </c>
      <c r="E88" s="115" t="s">
        <v>453</v>
      </c>
      <c r="F88" s="115" t="s">
        <v>453</v>
      </c>
      <c r="G88" s="151"/>
      <c r="H88" s="151"/>
      <c r="I88" s="151"/>
      <c r="J88" s="151"/>
      <c r="K88" s="129">
        <v>0.5</v>
      </c>
      <c r="L88" s="130"/>
      <c r="M88" s="152"/>
      <c r="N88" s="128" t="s">
        <v>105</v>
      </c>
      <c r="O88" s="128">
        <f t="shared" si="15"/>
        <v>3.2</v>
      </c>
      <c r="P88" s="128">
        <f t="shared" si="16"/>
        <v>2.8</v>
      </c>
      <c r="Q88" s="128">
        <f t="shared" si="17"/>
        <v>2.4</v>
      </c>
      <c r="R88" s="127">
        <v>2</v>
      </c>
      <c r="S88" s="128">
        <f t="shared" si="18"/>
        <v>1.6</v>
      </c>
      <c r="T88" s="152"/>
      <c r="U88" s="128" t="s">
        <v>188</v>
      </c>
      <c r="V88" s="154">
        <v>2</v>
      </c>
      <c r="W88" s="154"/>
      <c r="X88" s="154"/>
      <c r="Y88" s="154"/>
      <c r="Z88" s="154"/>
      <c r="AA88" s="154"/>
      <c r="AB88" s="152"/>
      <c r="AC88" s="152"/>
      <c r="AD88" s="152"/>
      <c r="AE88" s="152"/>
      <c r="AF88" s="115"/>
      <c r="AG88" s="139" t="s">
        <v>454</v>
      </c>
      <c r="AH88" s="139" t="s">
        <v>235</v>
      </c>
      <c r="AI88" s="121" t="s">
        <v>455</v>
      </c>
      <c r="AJ88" s="115" t="s">
        <v>114</v>
      </c>
      <c r="AK88" s="115"/>
      <c r="AL88" s="115"/>
      <c r="AM88" s="115"/>
      <c r="AN88" s="115"/>
      <c r="AO88" s="115"/>
      <c r="AP88" s="115"/>
      <c r="AQ88" s="141"/>
      <c r="AR88" s="141"/>
      <c r="AS88" s="141"/>
      <c r="AT88" s="141"/>
    </row>
    <row r="89" ht="89" hidden="1" customHeight="1" spans="1:46">
      <c r="A89" s="115" t="s">
        <v>349</v>
      </c>
      <c r="B89" s="115" t="s">
        <v>102</v>
      </c>
      <c r="C89" s="115" t="s">
        <v>103</v>
      </c>
      <c r="D89" s="116">
        <v>88</v>
      </c>
      <c r="E89" s="115" t="s">
        <v>456</v>
      </c>
      <c r="F89" s="115" t="s">
        <v>456</v>
      </c>
      <c r="G89" s="151"/>
      <c r="H89" s="151"/>
      <c r="I89" s="151"/>
      <c r="J89" s="151"/>
      <c r="K89" s="129">
        <v>0.5</v>
      </c>
      <c r="L89" s="130"/>
      <c r="M89" s="152"/>
      <c r="N89" s="128" t="s">
        <v>105</v>
      </c>
      <c r="O89" s="128">
        <f t="shared" si="15"/>
        <v>0.32</v>
      </c>
      <c r="P89" s="128">
        <f t="shared" si="16"/>
        <v>0.28</v>
      </c>
      <c r="Q89" s="128">
        <f t="shared" si="17"/>
        <v>0.24</v>
      </c>
      <c r="R89" s="127">
        <v>0.2</v>
      </c>
      <c r="S89" s="128">
        <f t="shared" si="18"/>
        <v>0.16</v>
      </c>
      <c r="T89" s="152"/>
      <c r="U89" s="128" t="s">
        <v>351</v>
      </c>
      <c r="V89" s="154">
        <v>2</v>
      </c>
      <c r="W89" s="154"/>
      <c r="X89" s="154"/>
      <c r="Y89" s="154"/>
      <c r="Z89" s="154"/>
      <c r="AA89" s="154"/>
      <c r="AB89" s="152"/>
      <c r="AC89" s="152"/>
      <c r="AD89" s="152"/>
      <c r="AE89" s="152"/>
      <c r="AF89" s="115"/>
      <c r="AG89" s="139" t="s">
        <v>457</v>
      </c>
      <c r="AH89" s="139" t="s">
        <v>458</v>
      </c>
      <c r="AI89" s="121" t="s">
        <v>455</v>
      </c>
      <c r="AJ89" s="115" t="s">
        <v>114</v>
      </c>
      <c r="AK89" s="115"/>
      <c r="AL89" s="115"/>
      <c r="AM89" s="115"/>
      <c r="AN89" s="115"/>
      <c r="AO89" s="115"/>
      <c r="AP89" s="115"/>
      <c r="AQ89" s="141"/>
      <c r="AR89" s="141"/>
      <c r="AS89" s="141"/>
      <c r="AT89" s="141"/>
    </row>
    <row r="90" ht="59" hidden="1" customHeight="1" spans="1:46">
      <c r="A90" s="115" t="s">
        <v>349</v>
      </c>
      <c r="B90" s="115" t="s">
        <v>102</v>
      </c>
      <c r="C90" s="115" t="s">
        <v>103</v>
      </c>
      <c r="D90" s="116">
        <v>89</v>
      </c>
      <c r="E90" s="115" t="s">
        <v>459</v>
      </c>
      <c r="F90" s="115" t="s">
        <v>459</v>
      </c>
      <c r="G90" s="151"/>
      <c r="H90" s="151">
        <v>0.231333333333333</v>
      </c>
      <c r="I90" s="151"/>
      <c r="J90" s="151">
        <v>0.328</v>
      </c>
      <c r="K90" s="129">
        <v>0.5</v>
      </c>
      <c r="L90" s="130"/>
      <c r="M90" s="152"/>
      <c r="N90" s="128" t="s">
        <v>105</v>
      </c>
      <c r="O90" s="128">
        <f t="shared" si="15"/>
        <v>0.32</v>
      </c>
      <c r="P90" s="128">
        <f t="shared" si="16"/>
        <v>0.28</v>
      </c>
      <c r="Q90" s="128">
        <f t="shared" si="17"/>
        <v>0.24</v>
      </c>
      <c r="R90" s="127">
        <v>0.2</v>
      </c>
      <c r="S90" s="128">
        <f t="shared" si="18"/>
        <v>0.16</v>
      </c>
      <c r="T90" s="152"/>
      <c r="U90" s="128" t="s">
        <v>351</v>
      </c>
      <c r="V90" s="154">
        <v>2</v>
      </c>
      <c r="W90" s="154"/>
      <c r="X90" s="154"/>
      <c r="Y90" s="154"/>
      <c r="Z90" s="154"/>
      <c r="AA90" s="154"/>
      <c r="AB90" s="152"/>
      <c r="AC90" s="152"/>
      <c r="AD90" s="152"/>
      <c r="AE90" s="152"/>
      <c r="AF90" s="115"/>
      <c r="AG90" s="158" t="s">
        <v>460</v>
      </c>
      <c r="AH90" s="139" t="s">
        <v>461</v>
      </c>
      <c r="AI90" s="121" t="s">
        <v>462</v>
      </c>
      <c r="AJ90" s="115" t="s">
        <v>114</v>
      </c>
      <c r="AK90" s="115"/>
      <c r="AL90" s="115"/>
      <c r="AM90" s="115"/>
      <c r="AN90" s="115"/>
      <c r="AO90" s="115"/>
      <c r="AP90" s="115"/>
      <c r="AQ90" s="141"/>
      <c r="AR90" s="141"/>
      <c r="AS90" s="141"/>
      <c r="AT90" s="141"/>
    </row>
    <row r="91" ht="59" hidden="1" customHeight="1" spans="1:46">
      <c r="A91" s="115" t="s">
        <v>101</v>
      </c>
      <c r="B91" s="115" t="s">
        <v>102</v>
      </c>
      <c r="C91" s="115" t="s">
        <v>103</v>
      </c>
      <c r="D91" s="116">
        <v>90</v>
      </c>
      <c r="E91" s="115" t="s">
        <v>463</v>
      </c>
      <c r="F91" s="115" t="s">
        <v>463</v>
      </c>
      <c r="G91" s="151">
        <v>10.24</v>
      </c>
      <c r="H91" s="151">
        <v>7.65266666666667</v>
      </c>
      <c r="I91" s="151">
        <v>10.5133333333333</v>
      </c>
      <c r="J91" s="151">
        <v>6.72466666666667</v>
      </c>
      <c r="K91" s="129">
        <v>0.5</v>
      </c>
      <c r="L91" s="130" t="s">
        <v>464</v>
      </c>
      <c r="M91" s="152"/>
      <c r="N91" s="128" t="s">
        <v>105</v>
      </c>
      <c r="O91" s="128">
        <f t="shared" si="15"/>
        <v>14.4</v>
      </c>
      <c r="P91" s="128">
        <f t="shared" si="16"/>
        <v>12.6</v>
      </c>
      <c r="Q91" s="128">
        <f t="shared" si="17"/>
        <v>10.8</v>
      </c>
      <c r="R91" s="127">
        <v>9</v>
      </c>
      <c r="S91" s="128">
        <f t="shared" si="18"/>
        <v>7.2</v>
      </c>
      <c r="T91" s="152"/>
      <c r="U91" s="128" t="s">
        <v>188</v>
      </c>
      <c r="V91" s="135" t="s">
        <v>124</v>
      </c>
      <c r="W91" s="135" t="s">
        <v>109</v>
      </c>
      <c r="X91" s="135"/>
      <c r="Y91" s="135"/>
      <c r="Z91" s="135"/>
      <c r="AA91" s="135"/>
      <c r="AB91" s="152"/>
      <c r="AC91" s="152"/>
      <c r="AD91" s="157">
        <v>1.66</v>
      </c>
      <c r="AE91" s="152"/>
      <c r="AF91" s="115"/>
      <c r="AG91" s="158" t="s">
        <v>465</v>
      </c>
      <c r="AH91" s="139" t="s">
        <v>219</v>
      </c>
      <c r="AI91" s="139" t="s">
        <v>466</v>
      </c>
      <c r="AJ91" s="115" t="s">
        <v>114</v>
      </c>
      <c r="AK91" s="115"/>
      <c r="AL91" s="115"/>
      <c r="AM91" s="115"/>
      <c r="AN91" s="115"/>
      <c r="AO91" s="115"/>
      <c r="AP91" s="115"/>
      <c r="AQ91" s="141"/>
      <c r="AR91" s="141"/>
      <c r="AS91" s="141"/>
      <c r="AT91" s="141"/>
    </row>
    <row r="92" ht="59" hidden="1" customHeight="1" spans="1:46">
      <c r="A92" s="115" t="s">
        <v>101</v>
      </c>
      <c r="B92" s="115" t="s">
        <v>102</v>
      </c>
      <c r="C92" s="115" t="s">
        <v>103</v>
      </c>
      <c r="D92" s="116">
        <v>91</v>
      </c>
      <c r="E92" s="115" t="s">
        <v>467</v>
      </c>
      <c r="F92" s="115" t="s">
        <v>467</v>
      </c>
      <c r="G92" s="151">
        <v>1</v>
      </c>
      <c r="H92" s="151">
        <v>1.18766666666667</v>
      </c>
      <c r="I92" s="151">
        <v>1.01666666666667</v>
      </c>
      <c r="J92" s="151">
        <v>1.633</v>
      </c>
      <c r="K92" s="129">
        <v>1</v>
      </c>
      <c r="L92" s="130"/>
      <c r="M92" s="152"/>
      <c r="N92" s="128"/>
      <c r="O92" s="128">
        <f t="shared" si="15"/>
        <v>1.6</v>
      </c>
      <c r="P92" s="128">
        <f t="shared" si="16"/>
        <v>1.4</v>
      </c>
      <c r="Q92" s="128">
        <f t="shared" si="17"/>
        <v>1.2</v>
      </c>
      <c r="R92" s="127">
        <v>1</v>
      </c>
      <c r="S92" s="128">
        <f t="shared" si="18"/>
        <v>0.8</v>
      </c>
      <c r="T92" s="152"/>
      <c r="U92" s="128" t="s">
        <v>188</v>
      </c>
      <c r="V92" s="154" t="s">
        <v>158</v>
      </c>
      <c r="W92" s="135" t="s">
        <v>109</v>
      </c>
      <c r="X92" s="154"/>
      <c r="Y92" s="154"/>
      <c r="Z92" s="154"/>
      <c r="AA92" s="154"/>
      <c r="AB92" s="152"/>
      <c r="AC92" s="152"/>
      <c r="AD92" s="157">
        <v>0.68</v>
      </c>
      <c r="AE92" s="152"/>
      <c r="AF92" s="115"/>
      <c r="AG92" s="158"/>
      <c r="AH92" s="139" t="s">
        <v>468</v>
      </c>
      <c r="AI92" s="115" t="s">
        <v>469</v>
      </c>
      <c r="AJ92" s="115" t="s">
        <v>114</v>
      </c>
      <c r="AK92" s="115"/>
      <c r="AL92" s="115"/>
      <c r="AM92" s="115"/>
      <c r="AN92" s="115"/>
      <c r="AO92" s="115"/>
      <c r="AP92" s="115"/>
      <c r="AQ92" s="141"/>
      <c r="AR92" s="141"/>
      <c r="AS92" s="141"/>
      <c r="AT92" s="141"/>
    </row>
    <row r="93" ht="59" hidden="1" customHeight="1" spans="1:46">
      <c r="A93" s="115" t="s">
        <v>349</v>
      </c>
      <c r="B93" s="115" t="s">
        <v>102</v>
      </c>
      <c r="C93" s="115" t="s">
        <v>103</v>
      </c>
      <c r="D93" s="116">
        <v>92</v>
      </c>
      <c r="E93" s="115" t="s">
        <v>470</v>
      </c>
      <c r="F93" s="115" t="s">
        <v>470</v>
      </c>
      <c r="G93" s="151"/>
      <c r="H93" s="151">
        <v>0.634</v>
      </c>
      <c r="I93" s="151"/>
      <c r="J93" s="151">
        <v>0.533666666666667</v>
      </c>
      <c r="K93" s="129">
        <v>0.5</v>
      </c>
      <c r="L93" s="130"/>
      <c r="M93" s="152"/>
      <c r="N93" s="128" t="s">
        <v>105</v>
      </c>
      <c r="O93" s="128">
        <f t="shared" si="15"/>
        <v>0.32</v>
      </c>
      <c r="P93" s="128">
        <f t="shared" si="16"/>
        <v>0.28</v>
      </c>
      <c r="Q93" s="128">
        <f t="shared" si="17"/>
        <v>0.24</v>
      </c>
      <c r="R93" s="127">
        <v>0.2</v>
      </c>
      <c r="S93" s="128">
        <f t="shared" si="18"/>
        <v>0.16</v>
      </c>
      <c r="T93" s="152"/>
      <c r="U93" s="128" t="s">
        <v>351</v>
      </c>
      <c r="V93" s="154">
        <v>2</v>
      </c>
      <c r="W93" s="154"/>
      <c r="X93" s="154"/>
      <c r="Y93" s="154"/>
      <c r="Z93" s="154"/>
      <c r="AA93" s="154"/>
      <c r="AB93" s="152"/>
      <c r="AC93" s="152"/>
      <c r="AD93" s="152"/>
      <c r="AE93" s="152"/>
      <c r="AF93" s="115"/>
      <c r="AG93" s="139" t="s">
        <v>471</v>
      </c>
      <c r="AH93" s="139" t="s">
        <v>472</v>
      </c>
      <c r="AI93" s="115" t="s">
        <v>473</v>
      </c>
      <c r="AJ93" s="115" t="s">
        <v>114</v>
      </c>
      <c r="AK93" s="115"/>
      <c r="AL93" s="115"/>
      <c r="AM93" s="115"/>
      <c r="AN93" s="115"/>
      <c r="AO93" s="115"/>
      <c r="AP93" s="115"/>
      <c r="AQ93" s="141"/>
      <c r="AR93" s="141"/>
      <c r="AS93" s="141"/>
      <c r="AT93" s="141"/>
    </row>
    <row r="94" ht="58" hidden="1" customHeight="1" spans="1:46">
      <c r="A94" s="115" t="s">
        <v>349</v>
      </c>
      <c r="B94" s="115" t="s">
        <v>102</v>
      </c>
      <c r="C94" s="115" t="s">
        <v>103</v>
      </c>
      <c r="D94" s="116">
        <v>93</v>
      </c>
      <c r="E94" s="115" t="s">
        <v>474</v>
      </c>
      <c r="F94" s="115" t="s">
        <v>474</v>
      </c>
      <c r="G94" s="151"/>
      <c r="H94" s="151">
        <v>1.306</v>
      </c>
      <c r="I94" s="151"/>
      <c r="J94" s="151">
        <v>1.43733333333333</v>
      </c>
      <c r="K94" s="129">
        <v>0.5</v>
      </c>
      <c r="L94" s="130"/>
      <c r="M94" s="152"/>
      <c r="N94" s="128" t="s">
        <v>105</v>
      </c>
      <c r="O94" s="128">
        <f t="shared" si="15"/>
        <v>3.2</v>
      </c>
      <c r="P94" s="128">
        <f t="shared" si="16"/>
        <v>2.8</v>
      </c>
      <c r="Q94" s="128">
        <f t="shared" si="17"/>
        <v>2.4</v>
      </c>
      <c r="R94" s="127">
        <v>2</v>
      </c>
      <c r="S94" s="128">
        <f t="shared" si="18"/>
        <v>1.6</v>
      </c>
      <c r="T94" s="152"/>
      <c r="U94" s="128" t="s">
        <v>188</v>
      </c>
      <c r="V94" s="154">
        <v>2</v>
      </c>
      <c r="W94" s="154"/>
      <c r="X94" s="154"/>
      <c r="Y94" s="154"/>
      <c r="Z94" s="154"/>
      <c r="AA94" s="154"/>
      <c r="AB94" s="152"/>
      <c r="AC94" s="152"/>
      <c r="AD94" s="152"/>
      <c r="AE94" s="152"/>
      <c r="AF94" s="115"/>
      <c r="AG94" s="139"/>
      <c r="AH94" s="139" t="s">
        <v>475</v>
      </c>
      <c r="AI94" s="121" t="s">
        <v>476</v>
      </c>
      <c r="AJ94" s="115" t="s">
        <v>114</v>
      </c>
      <c r="AK94" s="115"/>
      <c r="AL94" s="115"/>
      <c r="AM94" s="115"/>
      <c r="AN94" s="115"/>
      <c r="AO94" s="115"/>
      <c r="AP94" s="115"/>
      <c r="AQ94" s="141"/>
      <c r="AR94" s="141"/>
      <c r="AS94" s="141"/>
      <c r="AT94" s="141"/>
    </row>
    <row r="95" ht="59" hidden="1" customHeight="1" spans="1:46">
      <c r="A95" s="115" t="s">
        <v>349</v>
      </c>
      <c r="B95" s="115" t="s">
        <v>102</v>
      </c>
      <c r="C95" s="115" t="s">
        <v>103</v>
      </c>
      <c r="D95" s="116">
        <v>94</v>
      </c>
      <c r="E95" s="115" t="s">
        <v>477</v>
      </c>
      <c r="F95" s="115" t="s">
        <v>477</v>
      </c>
      <c r="G95" s="151"/>
      <c r="H95" s="151">
        <v>1.36366666666667</v>
      </c>
      <c r="I95" s="151"/>
      <c r="J95" s="151">
        <v>0.634333333333333</v>
      </c>
      <c r="K95" s="129">
        <v>0.5</v>
      </c>
      <c r="L95" s="130"/>
      <c r="M95" s="152"/>
      <c r="N95" s="128" t="s">
        <v>105</v>
      </c>
      <c r="O95" s="128">
        <f t="shared" si="15"/>
        <v>3.2</v>
      </c>
      <c r="P95" s="128">
        <f t="shared" si="16"/>
        <v>2.8</v>
      </c>
      <c r="Q95" s="128">
        <f t="shared" si="17"/>
        <v>2.4</v>
      </c>
      <c r="R95" s="127">
        <v>2</v>
      </c>
      <c r="S95" s="128">
        <f t="shared" si="18"/>
        <v>1.6</v>
      </c>
      <c r="T95" s="152"/>
      <c r="U95" s="128" t="s">
        <v>188</v>
      </c>
      <c r="V95" s="154">
        <v>2</v>
      </c>
      <c r="W95" s="154"/>
      <c r="X95" s="154"/>
      <c r="Y95" s="154"/>
      <c r="Z95" s="154"/>
      <c r="AA95" s="154"/>
      <c r="AB95" s="152"/>
      <c r="AC95" s="152"/>
      <c r="AD95" s="152"/>
      <c r="AE95" s="152"/>
      <c r="AF95" s="115"/>
      <c r="AG95" s="139"/>
      <c r="AH95" s="121" t="s">
        <v>478</v>
      </c>
      <c r="AI95" s="121" t="s">
        <v>479</v>
      </c>
      <c r="AJ95" s="115" t="s">
        <v>114</v>
      </c>
      <c r="AK95" s="115"/>
      <c r="AL95" s="115"/>
      <c r="AM95" s="115"/>
      <c r="AN95" s="115"/>
      <c r="AO95" s="115"/>
      <c r="AP95" s="115"/>
      <c r="AQ95" s="141"/>
      <c r="AR95" s="141"/>
      <c r="AS95" s="141"/>
      <c r="AT95" s="141"/>
    </row>
    <row r="96" ht="59" hidden="1" customHeight="1" spans="1:46">
      <c r="A96" s="115" t="s">
        <v>349</v>
      </c>
      <c r="B96" s="115" t="s">
        <v>102</v>
      </c>
      <c r="C96" s="115" t="s">
        <v>103</v>
      </c>
      <c r="D96" s="116">
        <v>95</v>
      </c>
      <c r="E96" s="115" t="s">
        <v>480</v>
      </c>
      <c r="F96" s="115" t="s">
        <v>480</v>
      </c>
      <c r="G96" s="151"/>
      <c r="H96" s="151">
        <v>0.549</v>
      </c>
      <c r="I96" s="151"/>
      <c r="J96" s="151">
        <v>0.546</v>
      </c>
      <c r="K96" s="129">
        <v>0.5</v>
      </c>
      <c r="L96" s="130"/>
      <c r="M96" s="152"/>
      <c r="N96" s="128" t="s">
        <v>105</v>
      </c>
      <c r="O96" s="128">
        <f t="shared" si="15"/>
        <v>0.32</v>
      </c>
      <c r="P96" s="128">
        <f t="shared" si="16"/>
        <v>0.28</v>
      </c>
      <c r="Q96" s="128">
        <f t="shared" si="17"/>
        <v>0.24</v>
      </c>
      <c r="R96" s="127">
        <v>0.2</v>
      </c>
      <c r="S96" s="128">
        <f t="shared" si="18"/>
        <v>0.16</v>
      </c>
      <c r="T96" s="152"/>
      <c r="U96" s="128" t="s">
        <v>351</v>
      </c>
      <c r="V96" s="154">
        <v>2</v>
      </c>
      <c r="W96" s="154"/>
      <c r="X96" s="154"/>
      <c r="Y96" s="154"/>
      <c r="Z96" s="154"/>
      <c r="AA96" s="154"/>
      <c r="AB96" s="152"/>
      <c r="AC96" s="152"/>
      <c r="AD96" s="152"/>
      <c r="AE96" s="152"/>
      <c r="AF96" s="115"/>
      <c r="AG96" s="139" t="s">
        <v>481</v>
      </c>
      <c r="AH96" s="121" t="s">
        <v>482</v>
      </c>
      <c r="AI96" s="121" t="s">
        <v>483</v>
      </c>
      <c r="AJ96" s="115" t="s">
        <v>114</v>
      </c>
      <c r="AK96" s="115"/>
      <c r="AL96" s="115"/>
      <c r="AM96" s="115"/>
      <c r="AN96" s="115"/>
      <c r="AO96" s="115"/>
      <c r="AP96" s="115"/>
      <c r="AQ96" s="141"/>
      <c r="AR96" s="141"/>
      <c r="AS96" s="141"/>
      <c r="AT96" s="141"/>
    </row>
    <row r="97" ht="59" hidden="1" customHeight="1" spans="1:46">
      <c r="A97" s="115" t="s">
        <v>349</v>
      </c>
      <c r="B97" s="115" t="s">
        <v>381</v>
      </c>
      <c r="C97" s="115" t="s">
        <v>103</v>
      </c>
      <c r="D97" s="116">
        <v>96</v>
      </c>
      <c r="E97" s="115" t="s">
        <v>484</v>
      </c>
      <c r="F97" s="115" t="s">
        <v>485</v>
      </c>
      <c r="G97" s="151"/>
      <c r="H97" s="151">
        <v>0</v>
      </c>
      <c r="I97" s="151"/>
      <c r="J97" s="151"/>
      <c r="K97" s="129">
        <v>0.5</v>
      </c>
      <c r="L97" s="130"/>
      <c r="M97" s="128"/>
      <c r="N97" s="128" t="s">
        <v>105</v>
      </c>
      <c r="O97" s="128"/>
      <c r="P97" s="128"/>
      <c r="Q97" s="128"/>
      <c r="R97" s="128"/>
      <c r="S97" s="128"/>
      <c r="T97" s="128"/>
      <c r="U97" s="128"/>
      <c r="V97" s="135">
        <v>3</v>
      </c>
      <c r="W97" s="135"/>
      <c r="X97" s="135"/>
      <c r="Y97" s="135"/>
      <c r="Z97" s="135"/>
      <c r="AA97" s="135"/>
      <c r="AB97" s="128"/>
      <c r="AC97" s="128"/>
      <c r="AD97" s="128"/>
      <c r="AE97" s="128"/>
      <c r="AF97" s="128"/>
      <c r="AG97" s="139"/>
      <c r="AH97" s="121"/>
      <c r="AI97" s="121"/>
      <c r="AJ97" s="115" t="s">
        <v>114</v>
      </c>
      <c r="AK97" s="115"/>
      <c r="AL97" s="115"/>
      <c r="AM97" s="115"/>
      <c r="AN97" s="115"/>
      <c r="AO97" s="115"/>
      <c r="AP97" s="115"/>
      <c r="AQ97" s="141"/>
      <c r="AR97" s="141"/>
      <c r="AS97" s="141"/>
      <c r="AT97" s="141"/>
    </row>
    <row r="98" ht="59" hidden="1" customHeight="1" spans="1:46">
      <c r="A98" s="115" t="s">
        <v>349</v>
      </c>
      <c r="B98" s="115" t="s">
        <v>381</v>
      </c>
      <c r="C98" s="115" t="s">
        <v>103</v>
      </c>
      <c r="D98" s="116">
        <v>97</v>
      </c>
      <c r="E98" s="115" t="s">
        <v>486</v>
      </c>
      <c r="F98" s="115" t="s">
        <v>487</v>
      </c>
      <c r="G98" s="151"/>
      <c r="H98" s="151">
        <v>0</v>
      </c>
      <c r="I98" s="151"/>
      <c r="J98" s="151"/>
      <c r="K98" s="129">
        <v>0.5</v>
      </c>
      <c r="L98" s="130"/>
      <c r="M98" s="152"/>
      <c r="N98" s="128" t="s">
        <v>105</v>
      </c>
      <c r="O98" s="128"/>
      <c r="P98" s="128"/>
      <c r="Q98" s="128"/>
      <c r="R98" s="128"/>
      <c r="S98" s="128"/>
      <c r="T98" s="152"/>
      <c r="U98" s="152"/>
      <c r="V98" s="154">
        <v>3</v>
      </c>
      <c r="W98" s="154"/>
      <c r="X98" s="154"/>
      <c r="Y98" s="154"/>
      <c r="Z98" s="154"/>
      <c r="AA98" s="154"/>
      <c r="AB98" s="152"/>
      <c r="AC98" s="152"/>
      <c r="AD98" s="152"/>
      <c r="AE98" s="152"/>
      <c r="AF98" s="115"/>
      <c r="AG98" s="139"/>
      <c r="AH98" s="121"/>
      <c r="AI98" s="121"/>
      <c r="AJ98" s="115" t="s">
        <v>114</v>
      </c>
      <c r="AK98" s="115"/>
      <c r="AL98" s="115"/>
      <c r="AM98" s="115"/>
      <c r="AN98" s="115"/>
      <c r="AO98" s="115"/>
      <c r="AP98" s="115"/>
      <c r="AQ98" s="141"/>
      <c r="AR98" s="141"/>
      <c r="AS98" s="141"/>
      <c r="AT98" s="141"/>
    </row>
    <row r="99" ht="59" hidden="1" customHeight="1" spans="1:46">
      <c r="A99" s="115" t="s">
        <v>349</v>
      </c>
      <c r="B99" s="115" t="s">
        <v>381</v>
      </c>
      <c r="C99" s="115" t="s">
        <v>103</v>
      </c>
      <c r="D99" s="116">
        <v>98</v>
      </c>
      <c r="E99" s="115" t="s">
        <v>488</v>
      </c>
      <c r="F99" s="115" t="s">
        <v>489</v>
      </c>
      <c r="G99" s="151"/>
      <c r="H99" s="151">
        <v>0</v>
      </c>
      <c r="I99" s="151"/>
      <c r="J99" s="151"/>
      <c r="K99" s="129">
        <v>0.5</v>
      </c>
      <c r="L99" s="130"/>
      <c r="M99" s="152"/>
      <c r="N99" s="128" t="s">
        <v>105</v>
      </c>
      <c r="O99" s="128"/>
      <c r="P99" s="128"/>
      <c r="Q99" s="128"/>
      <c r="R99" s="128"/>
      <c r="S99" s="128"/>
      <c r="T99" s="152"/>
      <c r="U99" s="152"/>
      <c r="V99" s="154">
        <v>3</v>
      </c>
      <c r="W99" s="154"/>
      <c r="X99" s="154"/>
      <c r="Y99" s="154"/>
      <c r="Z99" s="154"/>
      <c r="AA99" s="154"/>
      <c r="AB99" s="152"/>
      <c r="AC99" s="152"/>
      <c r="AD99" s="152"/>
      <c r="AE99" s="152"/>
      <c r="AF99" s="115"/>
      <c r="AG99" s="139"/>
      <c r="AH99" s="121"/>
      <c r="AI99" s="121"/>
      <c r="AJ99" s="115" t="s">
        <v>114</v>
      </c>
      <c r="AK99" s="115"/>
      <c r="AL99" s="115"/>
      <c r="AM99" s="115"/>
      <c r="AN99" s="115"/>
      <c r="AO99" s="115"/>
      <c r="AP99" s="115"/>
      <c r="AQ99" s="141"/>
      <c r="AR99" s="141"/>
      <c r="AS99" s="141"/>
      <c r="AT99" s="141"/>
    </row>
    <row r="100" ht="59" hidden="1" customHeight="1" spans="1:46">
      <c r="A100" s="115" t="s">
        <v>349</v>
      </c>
      <c r="B100" s="115" t="s">
        <v>381</v>
      </c>
      <c r="C100" s="115" t="s">
        <v>103</v>
      </c>
      <c r="D100" s="116">
        <v>99</v>
      </c>
      <c r="E100" s="115" t="s">
        <v>490</v>
      </c>
      <c r="F100" s="115" t="s">
        <v>491</v>
      </c>
      <c r="G100" s="151"/>
      <c r="H100" s="151">
        <v>0</v>
      </c>
      <c r="I100" s="151"/>
      <c r="J100" s="151"/>
      <c r="K100" s="129">
        <v>0.5</v>
      </c>
      <c r="L100" s="130"/>
      <c r="M100" s="152"/>
      <c r="N100" s="128" t="s">
        <v>105</v>
      </c>
      <c r="O100" s="128"/>
      <c r="P100" s="128"/>
      <c r="Q100" s="128"/>
      <c r="R100" s="128"/>
      <c r="S100" s="128"/>
      <c r="T100" s="152"/>
      <c r="U100" s="152"/>
      <c r="V100" s="154">
        <v>3</v>
      </c>
      <c r="W100" s="154"/>
      <c r="X100" s="154"/>
      <c r="Y100" s="154"/>
      <c r="Z100" s="154"/>
      <c r="AA100" s="154"/>
      <c r="AB100" s="152"/>
      <c r="AC100" s="152"/>
      <c r="AD100" s="152"/>
      <c r="AE100" s="152"/>
      <c r="AF100" s="115"/>
      <c r="AG100" s="139"/>
      <c r="AH100" s="121"/>
      <c r="AI100" s="121"/>
      <c r="AJ100" s="115" t="s">
        <v>114</v>
      </c>
      <c r="AK100" s="115"/>
      <c r="AL100" s="115"/>
      <c r="AM100" s="115"/>
      <c r="AN100" s="115"/>
      <c r="AO100" s="115"/>
      <c r="AP100" s="115"/>
      <c r="AQ100" s="141"/>
      <c r="AR100" s="141"/>
      <c r="AS100" s="141"/>
      <c r="AT100" s="141"/>
    </row>
    <row r="101" ht="59" customHeight="1" spans="1:46">
      <c r="A101" s="115" t="s">
        <v>349</v>
      </c>
      <c r="B101" s="115" t="s">
        <v>102</v>
      </c>
      <c r="C101" s="115" t="s">
        <v>202</v>
      </c>
      <c r="D101" s="116">
        <v>100</v>
      </c>
      <c r="E101" s="115" t="s">
        <v>492</v>
      </c>
      <c r="F101" s="115" t="s">
        <v>492</v>
      </c>
      <c r="G101" s="151"/>
      <c r="H101" s="151">
        <v>0.343333333333333</v>
      </c>
      <c r="I101" s="151"/>
      <c r="J101" s="151">
        <v>0.353333333333333</v>
      </c>
      <c r="K101" s="129">
        <v>0.5</v>
      </c>
      <c r="L101" s="130"/>
      <c r="M101" s="152"/>
      <c r="N101" s="128" t="s">
        <v>105</v>
      </c>
      <c r="O101" s="128">
        <f t="shared" ref="O101:O135" si="20">R101*1.6</f>
        <v>0.32</v>
      </c>
      <c r="P101" s="128">
        <f t="shared" ref="P101:P135" si="21">R101*1.4</f>
        <v>0.28</v>
      </c>
      <c r="Q101" s="128">
        <f t="shared" ref="Q101:Q135" si="22">R101*1.2</f>
        <v>0.24</v>
      </c>
      <c r="R101" s="127">
        <v>0.2</v>
      </c>
      <c r="S101" s="128">
        <f t="shared" ref="S101:S135" si="23">R101*0.8</f>
        <v>0.16</v>
      </c>
      <c r="T101" s="152"/>
      <c r="U101" s="152" t="s">
        <v>351</v>
      </c>
      <c r="V101" s="154">
        <v>2</v>
      </c>
      <c r="W101" s="154"/>
      <c r="X101" s="154"/>
      <c r="Y101" s="154"/>
      <c r="Z101" s="154"/>
      <c r="AA101" s="154"/>
      <c r="AB101" s="152"/>
      <c r="AC101" s="152"/>
      <c r="AD101" s="152"/>
      <c r="AE101" s="152"/>
      <c r="AF101" s="115"/>
      <c r="AG101" s="159"/>
      <c r="AH101" s="121" t="s">
        <v>493</v>
      </c>
      <c r="AI101" s="115"/>
      <c r="AJ101" s="115" t="s">
        <v>134</v>
      </c>
      <c r="AK101" s="115"/>
      <c r="AL101" s="115"/>
      <c r="AM101" s="115"/>
      <c r="AN101" s="115"/>
      <c r="AO101" s="133">
        <v>0.417</v>
      </c>
      <c r="AP101" s="133">
        <v>0.5223333333</v>
      </c>
      <c r="AQ101" s="142">
        <f>(0.443+0.589+0.613)/3</f>
        <v>0.548333333333333</v>
      </c>
      <c r="AR101" s="145">
        <f>(0.512+0.507+0.613)/3</f>
        <v>0.544</v>
      </c>
      <c r="AS101" s="149">
        <f t="shared" ref="AS101:AS140" si="24">(AR101-AQ101)/AQ101</f>
        <v>-0.00790273556230997</v>
      </c>
      <c r="AT101" s="141"/>
    </row>
    <row r="102" ht="59" customHeight="1" spans="1:46">
      <c r="A102" s="115" t="s">
        <v>349</v>
      </c>
      <c r="B102" s="115" t="s">
        <v>102</v>
      </c>
      <c r="C102" s="115" t="s">
        <v>202</v>
      </c>
      <c r="D102" s="116">
        <v>101</v>
      </c>
      <c r="E102" s="115" t="s">
        <v>494</v>
      </c>
      <c r="F102" s="115" t="s">
        <v>494</v>
      </c>
      <c r="G102" s="151"/>
      <c r="H102" s="151">
        <v>1.34433333333333</v>
      </c>
      <c r="I102" s="151"/>
      <c r="J102" s="151">
        <v>1.189</v>
      </c>
      <c r="K102" s="129">
        <v>0.5</v>
      </c>
      <c r="L102" s="130"/>
      <c r="M102" s="152"/>
      <c r="N102" s="128" t="s">
        <v>105</v>
      </c>
      <c r="O102" s="128">
        <f t="shared" si="20"/>
        <v>3.2</v>
      </c>
      <c r="P102" s="128">
        <f t="shared" si="21"/>
        <v>2.8</v>
      </c>
      <c r="Q102" s="128">
        <f t="shared" si="22"/>
        <v>2.4</v>
      </c>
      <c r="R102" s="127">
        <v>2</v>
      </c>
      <c r="S102" s="128">
        <f t="shared" si="23"/>
        <v>1.6</v>
      </c>
      <c r="T102" s="152"/>
      <c r="U102" s="128" t="s">
        <v>188</v>
      </c>
      <c r="V102" s="154">
        <v>2</v>
      </c>
      <c r="W102" s="154"/>
      <c r="X102" s="154"/>
      <c r="Y102" s="154"/>
      <c r="Z102" s="154"/>
      <c r="AA102" s="154"/>
      <c r="AB102" s="152"/>
      <c r="AC102" s="152"/>
      <c r="AD102" s="152"/>
      <c r="AE102" s="152"/>
      <c r="AF102" s="115"/>
      <c r="AG102" s="160"/>
      <c r="AH102" s="121" t="s">
        <v>495</v>
      </c>
      <c r="AI102" s="115" t="s">
        <v>496</v>
      </c>
      <c r="AJ102" s="115" t="s">
        <v>134</v>
      </c>
      <c r="AK102" s="115"/>
      <c r="AL102" s="115"/>
      <c r="AM102" s="115"/>
      <c r="AN102" s="115"/>
      <c r="AO102" s="133">
        <v>1.366666667</v>
      </c>
      <c r="AP102" s="131">
        <f>(1081+1203+2201)/3/1000</f>
        <v>1.495</v>
      </c>
      <c r="AQ102" s="131">
        <f>(1340+1473+1105)/3/1000</f>
        <v>1.306</v>
      </c>
      <c r="AR102" s="145">
        <f>(1.105+1.172+1.172)/3</f>
        <v>1.14966666666667</v>
      </c>
      <c r="AS102" s="149">
        <f t="shared" si="24"/>
        <v>-0.119703930576825</v>
      </c>
      <c r="AT102" s="141"/>
    </row>
    <row r="103" ht="59" customHeight="1" spans="1:46">
      <c r="A103" s="115" t="s">
        <v>349</v>
      </c>
      <c r="B103" s="115" t="s">
        <v>102</v>
      </c>
      <c r="C103" s="115" t="s">
        <v>202</v>
      </c>
      <c r="D103" s="116">
        <v>102</v>
      </c>
      <c r="E103" s="115" t="s">
        <v>497</v>
      </c>
      <c r="F103" s="115" t="s">
        <v>497</v>
      </c>
      <c r="G103" s="151"/>
      <c r="H103" s="151">
        <v>0.900333333333333</v>
      </c>
      <c r="I103" s="151"/>
      <c r="J103" s="151">
        <v>0.877333333333333</v>
      </c>
      <c r="K103" s="129">
        <v>0.5</v>
      </c>
      <c r="L103" s="130"/>
      <c r="M103" s="152"/>
      <c r="N103" s="128" t="s">
        <v>105</v>
      </c>
      <c r="O103" s="128">
        <f t="shared" si="20"/>
        <v>0.32</v>
      </c>
      <c r="P103" s="128">
        <f t="shared" si="21"/>
        <v>0.28</v>
      </c>
      <c r="Q103" s="128">
        <f t="shared" si="22"/>
        <v>0.24</v>
      </c>
      <c r="R103" s="127">
        <v>0.2</v>
      </c>
      <c r="S103" s="128">
        <f t="shared" si="23"/>
        <v>0.16</v>
      </c>
      <c r="T103" s="152"/>
      <c r="U103" s="128" t="s">
        <v>351</v>
      </c>
      <c r="V103" s="154">
        <v>2</v>
      </c>
      <c r="W103" s="154"/>
      <c r="X103" s="154"/>
      <c r="Y103" s="154"/>
      <c r="Z103" s="154"/>
      <c r="AA103" s="154"/>
      <c r="AB103" s="152"/>
      <c r="AC103" s="152"/>
      <c r="AD103" s="152"/>
      <c r="AE103" s="152"/>
      <c r="AF103" s="115"/>
      <c r="AG103" s="160"/>
      <c r="AH103" s="121" t="s">
        <v>498</v>
      </c>
      <c r="AI103" s="115" t="s">
        <v>496</v>
      </c>
      <c r="AJ103" s="115" t="s">
        <v>134</v>
      </c>
      <c r="AK103" s="115"/>
      <c r="AL103" s="115"/>
      <c r="AM103" s="115"/>
      <c r="AN103" s="115"/>
      <c r="AO103" s="133">
        <v>0.9333333333</v>
      </c>
      <c r="AP103" s="131">
        <f>(503+505+498)/3/1000</f>
        <v>0.502</v>
      </c>
      <c r="AQ103" s="131">
        <f>(636+703+669)/3/1000</f>
        <v>0.669333333333333</v>
      </c>
      <c r="AR103" s="142">
        <f>(0.703+0.636+0.603)/3</f>
        <v>0.647333333333333</v>
      </c>
      <c r="AS103" s="149">
        <f t="shared" si="24"/>
        <v>-0.0328685258964144</v>
      </c>
      <c r="AT103" s="141"/>
    </row>
    <row r="104" ht="59" customHeight="1" spans="1:46">
      <c r="A104" s="115" t="s">
        <v>349</v>
      </c>
      <c r="B104" s="115" t="s">
        <v>102</v>
      </c>
      <c r="C104" s="115" t="s">
        <v>103</v>
      </c>
      <c r="D104" s="116">
        <v>103</v>
      </c>
      <c r="E104" s="115" t="s">
        <v>499</v>
      </c>
      <c r="F104" s="115" t="s">
        <v>499</v>
      </c>
      <c r="G104" s="151"/>
      <c r="H104" s="151"/>
      <c r="I104" s="151"/>
      <c r="J104" s="151"/>
      <c r="K104" s="129">
        <v>0.5</v>
      </c>
      <c r="L104" s="130"/>
      <c r="M104" s="152"/>
      <c r="N104" s="128" t="s">
        <v>105</v>
      </c>
      <c r="O104" s="128">
        <f t="shared" si="20"/>
        <v>3.2</v>
      </c>
      <c r="P104" s="128">
        <f t="shared" si="21"/>
        <v>2.8</v>
      </c>
      <c r="Q104" s="128">
        <f t="shared" si="22"/>
        <v>2.4</v>
      </c>
      <c r="R104" s="127">
        <v>2</v>
      </c>
      <c r="S104" s="128">
        <f t="shared" si="23"/>
        <v>1.6</v>
      </c>
      <c r="T104" s="152"/>
      <c r="U104" s="128" t="s">
        <v>188</v>
      </c>
      <c r="V104" s="154">
        <v>2</v>
      </c>
      <c r="W104" s="154"/>
      <c r="X104" s="154"/>
      <c r="Y104" s="154"/>
      <c r="Z104" s="154"/>
      <c r="AA104" s="154"/>
      <c r="AB104" s="152"/>
      <c r="AC104" s="152"/>
      <c r="AD104" s="152"/>
      <c r="AE104" s="152"/>
      <c r="AF104" s="115"/>
      <c r="AG104" s="160"/>
      <c r="AH104" s="121" t="s">
        <v>500</v>
      </c>
      <c r="AI104" s="115" t="s">
        <v>496</v>
      </c>
      <c r="AJ104" s="115" t="s">
        <v>134</v>
      </c>
      <c r="AK104" s="115"/>
      <c r="AL104" s="115"/>
      <c r="AM104" s="115"/>
      <c r="AN104" s="115"/>
      <c r="AO104" s="131" t="s">
        <v>278</v>
      </c>
      <c r="AP104" s="131" t="s">
        <v>278</v>
      </c>
      <c r="AQ104" s="131" t="s">
        <v>278</v>
      </c>
      <c r="AR104" s="131" t="s">
        <v>278</v>
      </c>
      <c r="AS104" s="149" t="e">
        <f t="shared" si="24"/>
        <v>#VALUE!</v>
      </c>
      <c r="AT104" s="141"/>
    </row>
    <row r="105" ht="59" customHeight="1" spans="1:46">
      <c r="A105" s="115" t="s">
        <v>349</v>
      </c>
      <c r="B105" s="115" t="s">
        <v>102</v>
      </c>
      <c r="C105" s="115" t="s">
        <v>103</v>
      </c>
      <c r="D105" s="116">
        <v>104</v>
      </c>
      <c r="E105" s="115" t="s">
        <v>501</v>
      </c>
      <c r="F105" s="115" t="s">
        <v>501</v>
      </c>
      <c r="G105" s="151"/>
      <c r="H105" s="151"/>
      <c r="I105" s="151"/>
      <c r="J105" s="151"/>
      <c r="K105" s="129">
        <v>0.5</v>
      </c>
      <c r="L105" s="130"/>
      <c r="M105" s="152"/>
      <c r="N105" s="128" t="s">
        <v>105</v>
      </c>
      <c r="O105" s="128">
        <f t="shared" si="20"/>
        <v>0.32</v>
      </c>
      <c r="P105" s="128">
        <f t="shared" si="21"/>
        <v>0.28</v>
      </c>
      <c r="Q105" s="128">
        <f t="shared" si="22"/>
        <v>0.24</v>
      </c>
      <c r="R105" s="127">
        <v>0.2</v>
      </c>
      <c r="S105" s="128">
        <f t="shared" si="23"/>
        <v>0.16</v>
      </c>
      <c r="T105" s="152"/>
      <c r="U105" s="128" t="s">
        <v>351</v>
      </c>
      <c r="V105" s="154">
        <v>2</v>
      </c>
      <c r="W105" s="154"/>
      <c r="X105" s="154"/>
      <c r="Y105" s="154"/>
      <c r="Z105" s="154"/>
      <c r="AA105" s="154"/>
      <c r="AB105" s="152"/>
      <c r="AC105" s="152"/>
      <c r="AD105" s="152"/>
      <c r="AE105" s="152"/>
      <c r="AF105" s="115"/>
      <c r="AG105" s="160"/>
      <c r="AH105" s="121" t="s">
        <v>502</v>
      </c>
      <c r="AI105" s="115" t="s">
        <v>496</v>
      </c>
      <c r="AJ105" s="115" t="s">
        <v>134</v>
      </c>
      <c r="AK105" s="115"/>
      <c r="AL105" s="115"/>
      <c r="AM105" s="115"/>
      <c r="AN105" s="115"/>
      <c r="AO105" s="131" t="s">
        <v>278</v>
      </c>
      <c r="AP105" s="131" t="s">
        <v>278</v>
      </c>
      <c r="AQ105" s="131" t="s">
        <v>278</v>
      </c>
      <c r="AR105" s="131" t="s">
        <v>278</v>
      </c>
      <c r="AS105" s="149" t="e">
        <f t="shared" si="24"/>
        <v>#VALUE!</v>
      </c>
      <c r="AT105" s="141"/>
    </row>
    <row r="106" ht="59" customHeight="1" spans="1:46">
      <c r="A106" s="115" t="s">
        <v>349</v>
      </c>
      <c r="B106" s="115" t="s">
        <v>102</v>
      </c>
      <c r="C106" s="115" t="s">
        <v>202</v>
      </c>
      <c r="D106" s="116">
        <v>105</v>
      </c>
      <c r="E106" s="115" t="s">
        <v>503</v>
      </c>
      <c r="F106" s="115" t="s">
        <v>503</v>
      </c>
      <c r="G106" s="151"/>
      <c r="H106" s="151">
        <v>0.84</v>
      </c>
      <c r="I106" s="151"/>
      <c r="J106" s="151">
        <v>0.983333333333333</v>
      </c>
      <c r="K106" s="129">
        <v>0.5</v>
      </c>
      <c r="L106" s="130"/>
      <c r="M106" s="152"/>
      <c r="N106" s="128" t="s">
        <v>105</v>
      </c>
      <c r="O106" s="128">
        <f t="shared" si="20"/>
        <v>3.2</v>
      </c>
      <c r="P106" s="128">
        <f t="shared" si="21"/>
        <v>2.8</v>
      </c>
      <c r="Q106" s="128">
        <f t="shared" si="22"/>
        <v>2.4</v>
      </c>
      <c r="R106" s="127">
        <v>2</v>
      </c>
      <c r="S106" s="128">
        <f t="shared" si="23"/>
        <v>1.6</v>
      </c>
      <c r="T106" s="152"/>
      <c r="U106" s="128" t="s">
        <v>188</v>
      </c>
      <c r="V106" s="154">
        <v>2</v>
      </c>
      <c r="W106" s="154"/>
      <c r="X106" s="154"/>
      <c r="Y106" s="154"/>
      <c r="Z106" s="154"/>
      <c r="AA106" s="154"/>
      <c r="AB106" s="152"/>
      <c r="AC106" s="152"/>
      <c r="AD106" s="152"/>
      <c r="AE106" s="152"/>
      <c r="AF106" s="115"/>
      <c r="AG106" s="160"/>
      <c r="AH106" s="121" t="s">
        <v>504</v>
      </c>
      <c r="AI106" s="115" t="s">
        <v>496</v>
      </c>
      <c r="AJ106" s="115" t="s">
        <v>134</v>
      </c>
      <c r="AK106" s="115"/>
      <c r="AL106" s="115"/>
      <c r="AM106" s="115"/>
      <c r="AN106" s="115"/>
      <c r="AO106" s="133">
        <v>1.098666667</v>
      </c>
      <c r="AP106" s="131">
        <f>(1.134+1.01+1)/3</f>
        <v>1.048</v>
      </c>
      <c r="AQ106" s="142">
        <f>(1.113+1.234+1.4)/3</f>
        <v>1.249</v>
      </c>
      <c r="AR106" s="145">
        <f>(1.553+1.934+1.4)/3</f>
        <v>1.629</v>
      </c>
      <c r="AS106" s="149">
        <f t="shared" si="24"/>
        <v>0.304243394715773</v>
      </c>
      <c r="AT106" s="141"/>
    </row>
    <row r="107" ht="59" customHeight="1" spans="1:46">
      <c r="A107" s="115" t="s">
        <v>349</v>
      </c>
      <c r="B107" s="115" t="s">
        <v>102</v>
      </c>
      <c r="C107" s="115" t="s">
        <v>202</v>
      </c>
      <c r="D107" s="116">
        <v>106</v>
      </c>
      <c r="E107" s="115" t="s">
        <v>505</v>
      </c>
      <c r="F107" s="115" t="s">
        <v>505</v>
      </c>
      <c r="G107" s="151"/>
      <c r="H107" s="151">
        <v>0.623333333333333</v>
      </c>
      <c r="I107" s="151"/>
      <c r="J107" s="151">
        <v>0.553333333333333</v>
      </c>
      <c r="K107" s="129">
        <v>0.5</v>
      </c>
      <c r="L107" s="130"/>
      <c r="M107" s="152"/>
      <c r="N107" s="128" t="s">
        <v>105</v>
      </c>
      <c r="O107" s="128">
        <f t="shared" si="20"/>
        <v>0.32</v>
      </c>
      <c r="P107" s="128">
        <f t="shared" si="21"/>
        <v>0.28</v>
      </c>
      <c r="Q107" s="128">
        <f t="shared" si="22"/>
        <v>0.24</v>
      </c>
      <c r="R107" s="127">
        <v>0.2</v>
      </c>
      <c r="S107" s="128">
        <f t="shared" si="23"/>
        <v>0.16</v>
      </c>
      <c r="T107" s="152"/>
      <c r="U107" s="128" t="s">
        <v>351</v>
      </c>
      <c r="V107" s="154">
        <v>2</v>
      </c>
      <c r="W107" s="154"/>
      <c r="X107" s="154"/>
      <c r="Y107" s="154"/>
      <c r="Z107" s="154"/>
      <c r="AA107" s="154"/>
      <c r="AB107" s="152"/>
      <c r="AC107" s="152"/>
      <c r="AD107" s="152"/>
      <c r="AE107" s="152"/>
      <c r="AF107" s="115"/>
      <c r="AG107" s="160"/>
      <c r="AH107" s="121" t="s">
        <v>506</v>
      </c>
      <c r="AI107" s="115" t="s">
        <v>496</v>
      </c>
      <c r="AJ107" s="115" t="s">
        <v>134</v>
      </c>
      <c r="AK107" s="115"/>
      <c r="AL107" s="115"/>
      <c r="AM107" s="115"/>
      <c r="AN107" s="115"/>
      <c r="AO107" s="133">
        <v>0.4786666667</v>
      </c>
      <c r="AP107" s="131">
        <f>(0.41+0.371+0.423)/3</f>
        <v>0.401333333333333</v>
      </c>
      <c r="AQ107" s="142">
        <f>(0.776+0.671+0.551)/3</f>
        <v>0.666</v>
      </c>
      <c r="AR107" s="145">
        <f>(0.916+0.61+0.471)/3</f>
        <v>0.665666666666667</v>
      </c>
      <c r="AS107" s="149">
        <f t="shared" si="24"/>
        <v>-0.000500500500500612</v>
      </c>
      <c r="AT107" s="141"/>
    </row>
    <row r="108" ht="59" customHeight="1" spans="1:46">
      <c r="A108" s="115" t="s">
        <v>101</v>
      </c>
      <c r="B108" s="115" t="s">
        <v>102</v>
      </c>
      <c r="C108" s="115" t="s">
        <v>103</v>
      </c>
      <c r="D108" s="116">
        <v>107</v>
      </c>
      <c r="E108" s="115" t="s">
        <v>507</v>
      </c>
      <c r="F108" s="115" t="s">
        <v>507</v>
      </c>
      <c r="G108" s="151">
        <v>4.215</v>
      </c>
      <c r="H108" s="151">
        <v>7.88333333333333</v>
      </c>
      <c r="I108" s="151">
        <v>7.48</v>
      </c>
      <c r="J108" s="151">
        <v>8.60666666666667</v>
      </c>
      <c r="K108" s="129">
        <v>0.5</v>
      </c>
      <c r="L108" s="130" t="s">
        <v>293</v>
      </c>
      <c r="M108" s="152"/>
      <c r="N108" s="128" t="s">
        <v>105</v>
      </c>
      <c r="O108" s="128">
        <f t="shared" si="20"/>
        <v>6.4</v>
      </c>
      <c r="P108" s="128">
        <f t="shared" si="21"/>
        <v>5.6</v>
      </c>
      <c r="Q108" s="128">
        <f t="shared" si="22"/>
        <v>4.8</v>
      </c>
      <c r="R108" s="127">
        <v>4</v>
      </c>
      <c r="S108" s="128">
        <f t="shared" si="23"/>
        <v>3.2</v>
      </c>
      <c r="T108" s="152"/>
      <c r="U108" s="128" t="s">
        <v>188</v>
      </c>
      <c r="V108" s="154">
        <v>2</v>
      </c>
      <c r="W108" s="135" t="s">
        <v>109</v>
      </c>
      <c r="X108" s="154"/>
      <c r="Y108" s="154"/>
      <c r="Z108" s="154"/>
      <c r="AA108" s="154"/>
      <c r="AB108" s="152"/>
      <c r="AC108" s="152"/>
      <c r="AD108" s="157">
        <v>8.526666667</v>
      </c>
      <c r="AE108" s="128" t="s">
        <v>130</v>
      </c>
      <c r="AF108" s="115"/>
      <c r="AG108" s="160"/>
      <c r="AH108" s="121" t="s">
        <v>508</v>
      </c>
      <c r="AI108" s="115" t="s">
        <v>496</v>
      </c>
      <c r="AJ108" s="115" t="s">
        <v>134</v>
      </c>
      <c r="AK108" s="115"/>
      <c r="AL108" s="115"/>
      <c r="AM108" s="115"/>
      <c r="AN108" s="115"/>
      <c r="AO108" s="133">
        <v>4.688666667</v>
      </c>
      <c r="AP108" s="166">
        <f>(6.3+5.8+5.2)/3</f>
        <v>5.76666666666667</v>
      </c>
      <c r="AQ108" s="147">
        <v>5.644333333</v>
      </c>
      <c r="AR108" s="145">
        <f>(7.95+8.23+8.5)/3</f>
        <v>8.22666666666667</v>
      </c>
      <c r="AS108" s="149">
        <f t="shared" si="24"/>
        <v>0.457509006168872</v>
      </c>
      <c r="AT108" s="141" t="s">
        <v>509</v>
      </c>
    </row>
    <row r="109" ht="59" customHeight="1" spans="1:46">
      <c r="A109" s="115" t="s">
        <v>349</v>
      </c>
      <c r="B109" s="115" t="s">
        <v>102</v>
      </c>
      <c r="C109" s="115" t="s">
        <v>103</v>
      </c>
      <c r="D109" s="116">
        <v>108</v>
      </c>
      <c r="E109" s="115" t="s">
        <v>510</v>
      </c>
      <c r="F109" s="115" t="s">
        <v>510</v>
      </c>
      <c r="G109" s="151">
        <v>0.5575</v>
      </c>
      <c r="H109" s="151">
        <v>0.653333333333333</v>
      </c>
      <c r="I109" s="151">
        <v>0.513333333333333</v>
      </c>
      <c r="J109" s="151">
        <v>0.2</v>
      </c>
      <c r="K109" s="129">
        <v>0.5</v>
      </c>
      <c r="L109" s="130" t="s">
        <v>293</v>
      </c>
      <c r="M109" s="152"/>
      <c r="N109" s="128" t="s">
        <v>105</v>
      </c>
      <c r="O109" s="128">
        <f t="shared" si="20"/>
        <v>0.32</v>
      </c>
      <c r="P109" s="128">
        <f t="shared" si="21"/>
        <v>0.28</v>
      </c>
      <c r="Q109" s="128">
        <f t="shared" si="22"/>
        <v>0.24</v>
      </c>
      <c r="R109" s="127">
        <v>0.2</v>
      </c>
      <c r="S109" s="128">
        <f t="shared" si="23"/>
        <v>0.16</v>
      </c>
      <c r="T109" s="152"/>
      <c r="U109" s="128" t="s">
        <v>351</v>
      </c>
      <c r="V109" s="154">
        <v>2</v>
      </c>
      <c r="W109" s="135" t="s">
        <v>109</v>
      </c>
      <c r="X109" s="154"/>
      <c r="Y109" s="154"/>
      <c r="Z109" s="154"/>
      <c r="AA109" s="154"/>
      <c r="AB109" s="152"/>
      <c r="AC109" s="152"/>
      <c r="AD109" s="157">
        <v>0.4466666667</v>
      </c>
      <c r="AE109" s="152"/>
      <c r="AF109" s="115"/>
      <c r="AG109" s="160"/>
      <c r="AH109" s="121" t="s">
        <v>511</v>
      </c>
      <c r="AI109" s="115" t="s">
        <v>496</v>
      </c>
      <c r="AJ109" s="115" t="s">
        <v>134</v>
      </c>
      <c r="AK109" s="115"/>
      <c r="AL109" s="115"/>
      <c r="AM109" s="115"/>
      <c r="AN109" s="115"/>
      <c r="AO109" s="133">
        <v>0.1666666667</v>
      </c>
      <c r="AP109" s="166">
        <f>(0.533+0.6+0.566)/3</f>
        <v>0.566333333333333</v>
      </c>
      <c r="AQ109" s="147">
        <v>0.522333333</v>
      </c>
      <c r="AR109" s="145">
        <f>(0.6+0.6+0.7)/3</f>
        <v>0.633333333333333</v>
      </c>
      <c r="AS109" s="149">
        <f t="shared" si="24"/>
        <v>0.212507977799941</v>
      </c>
      <c r="AT109" s="141"/>
    </row>
    <row r="110" ht="59" customHeight="1" spans="1:46">
      <c r="A110" s="115" t="s">
        <v>349</v>
      </c>
      <c r="B110" s="115" t="s">
        <v>102</v>
      </c>
      <c r="C110" s="115" t="s">
        <v>202</v>
      </c>
      <c r="D110" s="116">
        <v>109</v>
      </c>
      <c r="E110" s="115" t="s">
        <v>512</v>
      </c>
      <c r="F110" s="115" t="s">
        <v>512</v>
      </c>
      <c r="G110" s="151"/>
      <c r="H110" s="151">
        <v>4.58</v>
      </c>
      <c r="I110" s="151"/>
      <c r="J110" s="151">
        <v>3.85</v>
      </c>
      <c r="K110" s="129">
        <v>0.5</v>
      </c>
      <c r="L110" s="130"/>
      <c r="M110" s="152"/>
      <c r="N110" s="128" t="s">
        <v>105</v>
      </c>
      <c r="O110" s="128">
        <f t="shared" si="20"/>
        <v>3.2</v>
      </c>
      <c r="P110" s="128">
        <f t="shared" si="21"/>
        <v>2.8</v>
      </c>
      <c r="Q110" s="128">
        <f t="shared" si="22"/>
        <v>2.4</v>
      </c>
      <c r="R110" s="127">
        <v>2</v>
      </c>
      <c r="S110" s="128">
        <f t="shared" si="23"/>
        <v>1.6</v>
      </c>
      <c r="T110" s="152"/>
      <c r="U110" s="128" t="s">
        <v>188</v>
      </c>
      <c r="V110" s="154">
        <v>2</v>
      </c>
      <c r="W110" s="154"/>
      <c r="X110" s="154"/>
      <c r="Y110" s="154"/>
      <c r="Z110" s="154"/>
      <c r="AA110" s="154"/>
      <c r="AB110" s="152"/>
      <c r="AC110" s="152"/>
      <c r="AD110" s="152"/>
      <c r="AE110" s="152"/>
      <c r="AF110" s="115"/>
      <c r="AG110" s="160"/>
      <c r="AH110" s="121" t="s">
        <v>513</v>
      </c>
      <c r="AI110" s="115" t="s">
        <v>496</v>
      </c>
      <c r="AJ110" s="115" t="s">
        <v>134</v>
      </c>
      <c r="AK110" s="115"/>
      <c r="AL110" s="115"/>
      <c r="AM110" s="115"/>
      <c r="AN110" s="115"/>
      <c r="AO110" s="133">
        <v>5.45533</v>
      </c>
      <c r="AP110" s="131">
        <f>(5.748+5.7+5.71)/3</f>
        <v>5.71933333333333</v>
      </c>
      <c r="AQ110" s="142">
        <f>(2.773+3.77+3.709)/3</f>
        <v>3.41733333333333</v>
      </c>
      <c r="AR110" s="145">
        <f>(3.656+3.292+3.133)/3</f>
        <v>3.36033333333333</v>
      </c>
      <c r="AS110" s="149">
        <f t="shared" si="24"/>
        <v>-0.0166796722590715</v>
      </c>
      <c r="AT110" s="141"/>
    </row>
    <row r="111" ht="59" customHeight="1" spans="1:46">
      <c r="A111" s="115" t="s">
        <v>349</v>
      </c>
      <c r="B111" s="115" t="s">
        <v>102</v>
      </c>
      <c r="C111" s="115" t="s">
        <v>202</v>
      </c>
      <c r="D111" s="116">
        <v>110</v>
      </c>
      <c r="E111" s="115" t="s">
        <v>514</v>
      </c>
      <c r="F111" s="115" t="s">
        <v>514</v>
      </c>
      <c r="G111" s="151"/>
      <c r="H111" s="151">
        <v>4.64</v>
      </c>
      <c r="I111" s="151"/>
      <c r="J111" s="151">
        <v>4.16333333333333</v>
      </c>
      <c r="K111" s="129">
        <v>0.5</v>
      </c>
      <c r="L111" s="130"/>
      <c r="M111" s="152"/>
      <c r="N111" s="128" t="s">
        <v>105</v>
      </c>
      <c r="O111" s="128">
        <f t="shared" si="20"/>
        <v>0.32</v>
      </c>
      <c r="P111" s="128">
        <f t="shared" si="21"/>
        <v>0.28</v>
      </c>
      <c r="Q111" s="128">
        <f t="shared" si="22"/>
        <v>0.24</v>
      </c>
      <c r="R111" s="127">
        <v>0.2</v>
      </c>
      <c r="S111" s="128">
        <f t="shared" si="23"/>
        <v>0.16</v>
      </c>
      <c r="T111" s="152"/>
      <c r="U111" s="128" t="s">
        <v>351</v>
      </c>
      <c r="V111" s="154">
        <v>2</v>
      </c>
      <c r="W111" s="154"/>
      <c r="X111" s="154"/>
      <c r="Y111" s="154"/>
      <c r="Z111" s="154"/>
      <c r="AA111" s="154"/>
      <c r="AB111" s="152"/>
      <c r="AC111" s="152"/>
      <c r="AD111" s="152"/>
      <c r="AE111" s="152"/>
      <c r="AF111" s="115"/>
      <c r="AG111" s="160"/>
      <c r="AH111" s="121" t="s">
        <v>515</v>
      </c>
      <c r="AI111" s="115" t="s">
        <v>496</v>
      </c>
      <c r="AJ111" s="115" t="s">
        <v>134</v>
      </c>
      <c r="AK111" s="115"/>
      <c r="AL111" s="115"/>
      <c r="AM111" s="115"/>
      <c r="AN111" s="115"/>
      <c r="AO111" s="133">
        <v>0.466</v>
      </c>
      <c r="AP111" s="131">
        <f>(210+210+205)/3/1000</f>
        <v>0.208333333333333</v>
      </c>
      <c r="AQ111" s="142">
        <f>(235+201+205)/3/1000</f>
        <v>0.213666666666667</v>
      </c>
      <c r="AR111" s="145">
        <f>(1.794+1.599+1.832)/3</f>
        <v>1.74166666666667</v>
      </c>
      <c r="AS111" s="149">
        <f t="shared" si="24"/>
        <v>7.15132605304212</v>
      </c>
      <c r="AT111" s="141"/>
    </row>
    <row r="112" ht="59" customHeight="1" spans="1:46">
      <c r="A112" s="115" t="s">
        <v>101</v>
      </c>
      <c r="B112" s="115" t="s">
        <v>102</v>
      </c>
      <c r="C112" s="115" t="s">
        <v>202</v>
      </c>
      <c r="D112" s="116">
        <v>111</v>
      </c>
      <c r="E112" s="115" t="s">
        <v>516</v>
      </c>
      <c r="F112" s="115" t="s">
        <v>516</v>
      </c>
      <c r="G112" s="151"/>
      <c r="H112" s="151">
        <v>3.17</v>
      </c>
      <c r="I112" s="151"/>
      <c r="J112" s="151">
        <v>3.23333333333333</v>
      </c>
      <c r="K112" s="129">
        <v>0.5</v>
      </c>
      <c r="L112" s="130"/>
      <c r="M112" s="152"/>
      <c r="N112" s="128" t="s">
        <v>105</v>
      </c>
      <c r="O112" s="128">
        <f t="shared" si="20"/>
        <v>3.2</v>
      </c>
      <c r="P112" s="128">
        <f t="shared" si="21"/>
        <v>2.8</v>
      </c>
      <c r="Q112" s="128">
        <f t="shared" si="22"/>
        <v>2.4</v>
      </c>
      <c r="R112" s="127">
        <v>2</v>
      </c>
      <c r="S112" s="128">
        <f t="shared" si="23"/>
        <v>1.6</v>
      </c>
      <c r="T112" s="152"/>
      <c r="U112" s="128" t="s">
        <v>188</v>
      </c>
      <c r="V112" s="154">
        <v>2</v>
      </c>
      <c r="W112" s="154"/>
      <c r="X112" s="154"/>
      <c r="Y112" s="154"/>
      <c r="Z112" s="154"/>
      <c r="AA112" s="154"/>
      <c r="AB112" s="152"/>
      <c r="AC112" s="152"/>
      <c r="AD112" s="152"/>
      <c r="AE112" s="152"/>
      <c r="AF112" s="115"/>
      <c r="AG112" s="160"/>
      <c r="AH112" s="121" t="s">
        <v>517</v>
      </c>
      <c r="AI112" s="115" t="s">
        <v>496</v>
      </c>
      <c r="AJ112" s="115" t="s">
        <v>134</v>
      </c>
      <c r="AK112" s="115"/>
      <c r="AL112" s="115"/>
      <c r="AM112" s="115"/>
      <c r="AN112" s="115"/>
      <c r="AO112" s="133">
        <v>2.62</v>
      </c>
      <c r="AP112" s="139" t="s">
        <v>278</v>
      </c>
      <c r="AQ112" s="139" t="s">
        <v>278</v>
      </c>
      <c r="AR112" s="139" t="s">
        <v>278</v>
      </c>
      <c r="AS112" s="149" t="e">
        <f t="shared" si="24"/>
        <v>#VALUE!</v>
      </c>
      <c r="AT112" s="141"/>
    </row>
    <row r="113" ht="59" customHeight="1" spans="1:46">
      <c r="A113" s="115" t="s">
        <v>349</v>
      </c>
      <c r="B113" s="115" t="s">
        <v>102</v>
      </c>
      <c r="C113" s="115" t="s">
        <v>202</v>
      </c>
      <c r="D113" s="116">
        <v>112</v>
      </c>
      <c r="E113" s="115" t="s">
        <v>518</v>
      </c>
      <c r="F113" s="115" t="s">
        <v>518</v>
      </c>
      <c r="G113" s="151"/>
      <c r="H113" s="151">
        <v>0.203333333333333</v>
      </c>
      <c r="I113" s="151"/>
      <c r="J113" s="151">
        <v>0.183333333333333</v>
      </c>
      <c r="K113" s="129">
        <v>0.5</v>
      </c>
      <c r="L113" s="130"/>
      <c r="M113" s="152"/>
      <c r="N113" s="128" t="s">
        <v>105</v>
      </c>
      <c r="O113" s="128">
        <f t="shared" si="20"/>
        <v>0.32</v>
      </c>
      <c r="P113" s="128">
        <f t="shared" si="21"/>
        <v>0.28</v>
      </c>
      <c r="Q113" s="128">
        <f t="shared" si="22"/>
        <v>0.24</v>
      </c>
      <c r="R113" s="127">
        <v>0.2</v>
      </c>
      <c r="S113" s="128">
        <f t="shared" si="23"/>
        <v>0.16</v>
      </c>
      <c r="T113" s="152"/>
      <c r="U113" s="128" t="s">
        <v>351</v>
      </c>
      <c r="V113" s="154">
        <v>2</v>
      </c>
      <c r="W113" s="154"/>
      <c r="X113" s="154"/>
      <c r="Y113" s="154"/>
      <c r="Z113" s="154"/>
      <c r="AA113" s="154"/>
      <c r="AB113" s="152"/>
      <c r="AC113" s="152"/>
      <c r="AD113" s="152"/>
      <c r="AE113" s="152"/>
      <c r="AF113" s="115"/>
      <c r="AG113" s="160"/>
      <c r="AH113" s="121" t="s">
        <v>519</v>
      </c>
      <c r="AI113" s="115" t="s">
        <v>496</v>
      </c>
      <c r="AJ113" s="115" t="s">
        <v>134</v>
      </c>
      <c r="AK113" s="115"/>
      <c r="AL113" s="115"/>
      <c r="AM113" s="115"/>
      <c r="AN113" s="115"/>
      <c r="AO113" s="133">
        <v>0.1796666667</v>
      </c>
      <c r="AP113" s="139" t="s">
        <v>278</v>
      </c>
      <c r="AQ113" s="139" t="s">
        <v>278</v>
      </c>
      <c r="AR113" s="139" t="s">
        <v>278</v>
      </c>
      <c r="AS113" s="149" t="e">
        <f t="shared" si="24"/>
        <v>#VALUE!</v>
      </c>
      <c r="AT113" s="141"/>
    </row>
    <row r="114" ht="59" customHeight="1" spans="1:46">
      <c r="A114" s="115" t="s">
        <v>349</v>
      </c>
      <c r="B114" s="115" t="s">
        <v>102</v>
      </c>
      <c r="C114" s="115" t="s">
        <v>103</v>
      </c>
      <c r="D114" s="116">
        <v>113</v>
      </c>
      <c r="E114" s="115" t="s">
        <v>520</v>
      </c>
      <c r="F114" s="115" t="s">
        <v>520</v>
      </c>
      <c r="G114" s="151"/>
      <c r="H114" s="151">
        <v>0.726</v>
      </c>
      <c r="I114" s="151"/>
      <c r="J114" s="151"/>
      <c r="K114" s="129">
        <v>0.5</v>
      </c>
      <c r="L114" s="130"/>
      <c r="M114" s="152"/>
      <c r="N114" s="128" t="s">
        <v>105</v>
      </c>
      <c r="O114" s="128">
        <f t="shared" si="20"/>
        <v>3.2</v>
      </c>
      <c r="P114" s="128">
        <f t="shared" si="21"/>
        <v>2.8</v>
      </c>
      <c r="Q114" s="128">
        <f t="shared" si="22"/>
        <v>2.4</v>
      </c>
      <c r="R114" s="127">
        <v>2</v>
      </c>
      <c r="S114" s="128">
        <f t="shared" si="23"/>
        <v>1.6</v>
      </c>
      <c r="T114" s="152"/>
      <c r="U114" s="128" t="s">
        <v>188</v>
      </c>
      <c r="V114" s="154">
        <v>2</v>
      </c>
      <c r="W114" s="154"/>
      <c r="X114" s="154"/>
      <c r="Y114" s="154"/>
      <c r="Z114" s="154"/>
      <c r="AA114" s="154"/>
      <c r="AB114" s="152"/>
      <c r="AC114" s="152"/>
      <c r="AD114" s="152"/>
      <c r="AE114" s="152"/>
      <c r="AF114" s="115"/>
      <c r="AG114" s="160"/>
      <c r="AH114" s="121" t="s">
        <v>521</v>
      </c>
      <c r="AI114" s="115" t="s">
        <v>496</v>
      </c>
      <c r="AJ114" s="115" t="s">
        <v>134</v>
      </c>
      <c r="AK114" s="115"/>
      <c r="AL114" s="115"/>
      <c r="AM114" s="115"/>
      <c r="AN114" s="115"/>
      <c r="AO114" s="131" t="s">
        <v>278</v>
      </c>
      <c r="AP114" s="139" t="s">
        <v>278</v>
      </c>
      <c r="AQ114" s="139" t="s">
        <v>278</v>
      </c>
      <c r="AR114" s="139" t="s">
        <v>278</v>
      </c>
      <c r="AS114" s="149" t="e">
        <f t="shared" si="24"/>
        <v>#VALUE!</v>
      </c>
      <c r="AT114" s="141"/>
    </row>
    <row r="115" ht="59" customHeight="1" spans="1:46">
      <c r="A115" s="115" t="s">
        <v>349</v>
      </c>
      <c r="B115" s="115" t="s">
        <v>102</v>
      </c>
      <c r="C115" s="115" t="s">
        <v>103</v>
      </c>
      <c r="D115" s="116">
        <v>114</v>
      </c>
      <c r="E115" s="115" t="s">
        <v>522</v>
      </c>
      <c r="F115" s="115" t="s">
        <v>522</v>
      </c>
      <c r="G115" s="151"/>
      <c r="H115" s="151">
        <v>0.603666666666667</v>
      </c>
      <c r="I115" s="151"/>
      <c r="J115" s="151"/>
      <c r="K115" s="129">
        <v>0.5</v>
      </c>
      <c r="L115" s="130"/>
      <c r="M115" s="152"/>
      <c r="N115" s="128" t="s">
        <v>105</v>
      </c>
      <c r="O115" s="128">
        <f t="shared" si="20"/>
        <v>0.32</v>
      </c>
      <c r="P115" s="128">
        <f t="shared" si="21"/>
        <v>0.28</v>
      </c>
      <c r="Q115" s="128">
        <f t="shared" si="22"/>
        <v>0.24</v>
      </c>
      <c r="R115" s="127">
        <v>0.2</v>
      </c>
      <c r="S115" s="128">
        <f t="shared" si="23"/>
        <v>0.16</v>
      </c>
      <c r="T115" s="152"/>
      <c r="U115" s="128" t="s">
        <v>351</v>
      </c>
      <c r="V115" s="154">
        <v>2</v>
      </c>
      <c r="W115" s="154"/>
      <c r="X115" s="154"/>
      <c r="Y115" s="154"/>
      <c r="Z115" s="154"/>
      <c r="AA115" s="154"/>
      <c r="AB115" s="152"/>
      <c r="AC115" s="152"/>
      <c r="AD115" s="152"/>
      <c r="AE115" s="152"/>
      <c r="AF115" s="115"/>
      <c r="AG115" s="160"/>
      <c r="AH115" s="121" t="s">
        <v>523</v>
      </c>
      <c r="AI115" s="115" t="s">
        <v>496</v>
      </c>
      <c r="AJ115" s="115" t="s">
        <v>134</v>
      </c>
      <c r="AK115" s="115"/>
      <c r="AL115" s="115"/>
      <c r="AM115" s="115"/>
      <c r="AN115" s="115"/>
      <c r="AO115" s="131" t="s">
        <v>278</v>
      </c>
      <c r="AP115" s="139" t="s">
        <v>278</v>
      </c>
      <c r="AQ115" s="139" t="s">
        <v>278</v>
      </c>
      <c r="AR115" s="139" t="s">
        <v>278</v>
      </c>
      <c r="AS115" s="149" t="e">
        <f t="shared" si="24"/>
        <v>#VALUE!</v>
      </c>
      <c r="AT115" s="141"/>
    </row>
    <row r="116" ht="59" customHeight="1" spans="1:46">
      <c r="A116" s="115" t="s">
        <v>101</v>
      </c>
      <c r="B116" s="115" t="s">
        <v>102</v>
      </c>
      <c r="C116" s="115" t="s">
        <v>202</v>
      </c>
      <c r="D116" s="116">
        <v>115</v>
      </c>
      <c r="E116" s="115" t="s">
        <v>524</v>
      </c>
      <c r="F116" s="115" t="s">
        <v>524</v>
      </c>
      <c r="G116" s="151"/>
      <c r="H116" s="151">
        <v>1.05666666666667</v>
      </c>
      <c r="I116" s="151"/>
      <c r="J116" s="151">
        <v>1.07</v>
      </c>
      <c r="K116" s="129">
        <v>0.5</v>
      </c>
      <c r="L116" s="130"/>
      <c r="M116" s="152"/>
      <c r="N116" s="128" t="s">
        <v>105</v>
      </c>
      <c r="O116" s="128">
        <f t="shared" si="20"/>
        <v>2.4</v>
      </c>
      <c r="P116" s="128">
        <f t="shared" si="21"/>
        <v>2.1</v>
      </c>
      <c r="Q116" s="128">
        <f t="shared" si="22"/>
        <v>1.8</v>
      </c>
      <c r="R116" s="127">
        <v>1.5</v>
      </c>
      <c r="S116" s="128">
        <f t="shared" si="23"/>
        <v>1.2</v>
      </c>
      <c r="T116" s="152"/>
      <c r="U116" s="128" t="s">
        <v>188</v>
      </c>
      <c r="V116" s="154">
        <v>2</v>
      </c>
      <c r="W116" s="154"/>
      <c r="X116" s="154"/>
      <c r="Y116" s="154"/>
      <c r="Z116" s="154"/>
      <c r="AA116" s="154"/>
      <c r="AB116" s="152"/>
      <c r="AC116" s="152"/>
      <c r="AD116" s="152"/>
      <c r="AE116" s="152"/>
      <c r="AF116" s="115"/>
      <c r="AG116" s="160"/>
      <c r="AH116" s="121" t="s">
        <v>525</v>
      </c>
      <c r="AI116" s="115" t="s">
        <v>496</v>
      </c>
      <c r="AJ116" s="115" t="s">
        <v>134</v>
      </c>
      <c r="AK116" s="115"/>
      <c r="AL116" s="115"/>
      <c r="AM116" s="115"/>
      <c r="AN116" s="115"/>
      <c r="AO116" s="133">
        <v>1.108333333</v>
      </c>
      <c r="AP116" s="139">
        <f>(1.184+1.04+1.101)/3</f>
        <v>1.10833333333333</v>
      </c>
      <c r="AQ116" s="142">
        <f>(1.033+1.2+1.8)/3</f>
        <v>1.34433333333333</v>
      </c>
      <c r="AR116" s="145">
        <f>(1.6+1.5+1.6)/3</f>
        <v>1.56666666666667</v>
      </c>
      <c r="AS116" s="149">
        <f t="shared" si="24"/>
        <v>0.165385569055294</v>
      </c>
      <c r="AT116" s="141"/>
    </row>
    <row r="117" ht="59" customHeight="1" spans="1:46">
      <c r="A117" s="115" t="s">
        <v>349</v>
      </c>
      <c r="B117" s="115" t="s">
        <v>102</v>
      </c>
      <c r="C117" s="115" t="s">
        <v>103</v>
      </c>
      <c r="D117" s="116">
        <v>116</v>
      </c>
      <c r="E117" s="115" t="s">
        <v>526</v>
      </c>
      <c r="F117" s="115" t="s">
        <v>526</v>
      </c>
      <c r="G117" s="151"/>
      <c r="H117" s="151">
        <v>6.26333333333333</v>
      </c>
      <c r="I117" s="151"/>
      <c r="J117" s="151">
        <v>5.23333333333333</v>
      </c>
      <c r="K117" s="129">
        <v>0.5</v>
      </c>
      <c r="L117" s="130"/>
      <c r="M117" s="152"/>
      <c r="N117" s="128" t="s">
        <v>105</v>
      </c>
      <c r="O117" s="128">
        <f t="shared" si="20"/>
        <v>3.2</v>
      </c>
      <c r="P117" s="128">
        <f t="shared" si="21"/>
        <v>2.8</v>
      </c>
      <c r="Q117" s="128">
        <f t="shared" si="22"/>
        <v>2.4</v>
      </c>
      <c r="R117" s="127">
        <v>2</v>
      </c>
      <c r="S117" s="128">
        <f t="shared" si="23"/>
        <v>1.6</v>
      </c>
      <c r="T117" s="152"/>
      <c r="U117" s="128" t="s">
        <v>188</v>
      </c>
      <c r="V117" s="154">
        <v>2</v>
      </c>
      <c r="W117" s="154"/>
      <c r="X117" s="154"/>
      <c r="Y117" s="154"/>
      <c r="Z117" s="154"/>
      <c r="AA117" s="154"/>
      <c r="AB117" s="152"/>
      <c r="AC117" s="152"/>
      <c r="AD117" s="152"/>
      <c r="AE117" s="152"/>
      <c r="AF117" s="115"/>
      <c r="AG117" s="160" t="s">
        <v>527</v>
      </c>
      <c r="AH117" s="121" t="s">
        <v>528</v>
      </c>
      <c r="AI117" s="115" t="s">
        <v>529</v>
      </c>
      <c r="AJ117" s="115" t="s">
        <v>134</v>
      </c>
      <c r="AK117" s="115"/>
      <c r="AL117" s="115"/>
      <c r="AM117" s="115"/>
      <c r="AN117" s="115"/>
      <c r="AO117" s="139">
        <f>(22.71+20.841+19.227)/3</f>
        <v>20.926</v>
      </c>
      <c r="AP117" s="131" t="s">
        <v>9</v>
      </c>
      <c r="AQ117" s="131" t="s">
        <v>9</v>
      </c>
      <c r="AR117" s="146">
        <v>19.65</v>
      </c>
      <c r="AS117" s="149" t="e">
        <f t="shared" si="24"/>
        <v>#VALUE!</v>
      </c>
      <c r="AT117" s="141"/>
    </row>
    <row r="118" ht="59" customHeight="1" spans="1:46">
      <c r="A118" s="115" t="s">
        <v>101</v>
      </c>
      <c r="B118" s="115" t="s">
        <v>102</v>
      </c>
      <c r="C118" s="115" t="s">
        <v>103</v>
      </c>
      <c r="D118" s="116">
        <v>117</v>
      </c>
      <c r="E118" s="115" t="s">
        <v>530</v>
      </c>
      <c r="F118" s="115" t="s">
        <v>530</v>
      </c>
      <c r="G118" s="151"/>
      <c r="H118" s="151">
        <v>5.83666666666667</v>
      </c>
      <c r="I118" s="151"/>
      <c r="J118" s="151"/>
      <c r="K118" s="129">
        <v>0.5</v>
      </c>
      <c r="L118" s="130"/>
      <c r="M118" s="152"/>
      <c r="N118" s="128" t="s">
        <v>105</v>
      </c>
      <c r="O118" s="128">
        <f t="shared" si="20"/>
        <v>3.2</v>
      </c>
      <c r="P118" s="128">
        <f t="shared" si="21"/>
        <v>2.8</v>
      </c>
      <c r="Q118" s="128">
        <f t="shared" si="22"/>
        <v>2.4</v>
      </c>
      <c r="R118" s="127">
        <v>2</v>
      </c>
      <c r="S118" s="128">
        <f t="shared" si="23"/>
        <v>1.6</v>
      </c>
      <c r="T118" s="152"/>
      <c r="U118" s="128" t="s">
        <v>188</v>
      </c>
      <c r="V118" s="154">
        <v>2</v>
      </c>
      <c r="W118" s="154"/>
      <c r="X118" s="154"/>
      <c r="Y118" s="154"/>
      <c r="Z118" s="154"/>
      <c r="AA118" s="154"/>
      <c r="AB118" s="152"/>
      <c r="AC118" s="152"/>
      <c r="AD118" s="152"/>
      <c r="AE118" s="152"/>
      <c r="AF118" s="115"/>
      <c r="AG118" s="160"/>
      <c r="AH118" s="121" t="s">
        <v>531</v>
      </c>
      <c r="AI118" s="115" t="s">
        <v>496</v>
      </c>
      <c r="AJ118" s="115" t="s">
        <v>134</v>
      </c>
      <c r="AK118" s="115"/>
      <c r="AL118" s="115"/>
      <c r="AM118" s="115"/>
      <c r="AN118" s="115"/>
      <c r="AO118" s="139">
        <f>(4.21+5.77+4.59)/3</f>
        <v>4.85666666666667</v>
      </c>
      <c r="AP118" s="131" t="s">
        <v>9</v>
      </c>
      <c r="AQ118" s="131" t="s">
        <v>9</v>
      </c>
      <c r="AR118" s="146">
        <v>5.13</v>
      </c>
      <c r="AS118" s="149" t="e">
        <f t="shared" si="24"/>
        <v>#VALUE!</v>
      </c>
      <c r="AT118" s="141"/>
    </row>
    <row r="119" ht="59" customHeight="1" spans="1:46">
      <c r="A119" s="115" t="s">
        <v>349</v>
      </c>
      <c r="B119" s="115" t="s">
        <v>102</v>
      </c>
      <c r="C119" s="115" t="s">
        <v>103</v>
      </c>
      <c r="D119" s="116">
        <v>118</v>
      </c>
      <c r="E119" s="115" t="s">
        <v>532</v>
      </c>
      <c r="F119" s="115" t="s">
        <v>532</v>
      </c>
      <c r="G119" s="151"/>
      <c r="H119" s="151">
        <v>0.436666666666667</v>
      </c>
      <c r="I119" s="151"/>
      <c r="J119" s="151"/>
      <c r="K119" s="129">
        <v>0.5</v>
      </c>
      <c r="L119" s="130"/>
      <c r="M119" s="152"/>
      <c r="N119" s="128" t="s">
        <v>105</v>
      </c>
      <c r="O119" s="128">
        <f t="shared" si="20"/>
        <v>0.32</v>
      </c>
      <c r="P119" s="128">
        <f t="shared" si="21"/>
        <v>0.28</v>
      </c>
      <c r="Q119" s="128">
        <f t="shared" si="22"/>
        <v>0.24</v>
      </c>
      <c r="R119" s="127">
        <v>0.2</v>
      </c>
      <c r="S119" s="128">
        <f t="shared" si="23"/>
        <v>0.16</v>
      </c>
      <c r="T119" s="152"/>
      <c r="U119" s="128" t="s">
        <v>351</v>
      </c>
      <c r="V119" s="154">
        <v>2</v>
      </c>
      <c r="W119" s="154"/>
      <c r="X119" s="154"/>
      <c r="Y119" s="154"/>
      <c r="Z119" s="154"/>
      <c r="AA119" s="154"/>
      <c r="AB119" s="152"/>
      <c r="AC119" s="152"/>
      <c r="AD119" s="152"/>
      <c r="AE119" s="152"/>
      <c r="AF119" s="115"/>
      <c r="AG119" s="160"/>
      <c r="AH119" s="121" t="s">
        <v>533</v>
      </c>
      <c r="AI119" s="115" t="s">
        <v>496</v>
      </c>
      <c r="AJ119" s="115" t="s">
        <v>134</v>
      </c>
      <c r="AK119" s="115"/>
      <c r="AL119" s="115"/>
      <c r="AM119" s="115"/>
      <c r="AN119" s="115"/>
      <c r="AO119" s="139">
        <f>(0.774+0.631+0.844)/3</f>
        <v>0.749666666666667</v>
      </c>
      <c r="AP119" s="131" t="s">
        <v>9</v>
      </c>
      <c r="AQ119" s="131" t="s">
        <v>9</v>
      </c>
      <c r="AR119" s="146">
        <v>0.94</v>
      </c>
      <c r="AS119" s="149" t="e">
        <f t="shared" si="24"/>
        <v>#VALUE!</v>
      </c>
      <c r="AT119" s="141"/>
    </row>
    <row r="120" ht="59" customHeight="1" spans="1:46">
      <c r="A120" s="115" t="s">
        <v>101</v>
      </c>
      <c r="B120" s="115" t="s">
        <v>102</v>
      </c>
      <c r="C120" s="115" t="s">
        <v>103</v>
      </c>
      <c r="D120" s="116">
        <v>119</v>
      </c>
      <c r="E120" s="115" t="s">
        <v>534</v>
      </c>
      <c r="F120" s="115" t="s">
        <v>534</v>
      </c>
      <c r="G120" s="151"/>
      <c r="H120" s="151"/>
      <c r="I120" s="151"/>
      <c r="J120" s="151"/>
      <c r="K120" s="129">
        <v>0.5</v>
      </c>
      <c r="L120" s="130"/>
      <c r="M120" s="152"/>
      <c r="N120" s="128" t="s">
        <v>105</v>
      </c>
      <c r="O120" s="128">
        <f t="shared" si="20"/>
        <v>3.2</v>
      </c>
      <c r="P120" s="128">
        <f t="shared" si="21"/>
        <v>2.8</v>
      </c>
      <c r="Q120" s="128">
        <f t="shared" si="22"/>
        <v>2.4</v>
      </c>
      <c r="R120" s="127">
        <v>2</v>
      </c>
      <c r="S120" s="128">
        <f t="shared" si="23"/>
        <v>1.6</v>
      </c>
      <c r="T120" s="152"/>
      <c r="U120" s="128" t="s">
        <v>188</v>
      </c>
      <c r="V120" s="154">
        <v>2</v>
      </c>
      <c r="W120" s="154"/>
      <c r="X120" s="154"/>
      <c r="Y120" s="154"/>
      <c r="Z120" s="154"/>
      <c r="AA120" s="154"/>
      <c r="AB120" s="152"/>
      <c r="AC120" s="152"/>
      <c r="AD120" s="152"/>
      <c r="AE120" s="152"/>
      <c r="AF120" s="115"/>
      <c r="AG120" s="160"/>
      <c r="AH120" s="121" t="s">
        <v>535</v>
      </c>
      <c r="AI120" s="115" t="s">
        <v>496</v>
      </c>
      <c r="AJ120" s="115" t="s">
        <v>134</v>
      </c>
      <c r="AK120" s="115"/>
      <c r="AL120" s="115"/>
      <c r="AM120" s="115"/>
      <c r="AN120" s="115"/>
      <c r="AO120" s="139" t="s">
        <v>278</v>
      </c>
      <c r="AP120" s="139" t="s">
        <v>278</v>
      </c>
      <c r="AQ120" s="139" t="s">
        <v>278</v>
      </c>
      <c r="AR120" s="139" t="s">
        <v>278</v>
      </c>
      <c r="AS120" s="149" t="e">
        <f t="shared" si="24"/>
        <v>#VALUE!</v>
      </c>
      <c r="AT120" s="141"/>
    </row>
    <row r="121" ht="59" customHeight="1" spans="1:46">
      <c r="A121" s="115" t="s">
        <v>349</v>
      </c>
      <c r="B121" s="115" t="s">
        <v>102</v>
      </c>
      <c r="C121" s="115" t="s">
        <v>103</v>
      </c>
      <c r="D121" s="116">
        <v>120</v>
      </c>
      <c r="E121" s="115" t="s">
        <v>536</v>
      </c>
      <c r="F121" s="115" t="s">
        <v>536</v>
      </c>
      <c r="G121" s="151"/>
      <c r="H121" s="151"/>
      <c r="I121" s="151"/>
      <c r="J121" s="151"/>
      <c r="K121" s="129">
        <v>0.5</v>
      </c>
      <c r="L121" s="130"/>
      <c r="M121" s="152"/>
      <c r="N121" s="128" t="s">
        <v>105</v>
      </c>
      <c r="O121" s="128">
        <f t="shared" si="20"/>
        <v>0.32</v>
      </c>
      <c r="P121" s="128">
        <f t="shared" si="21"/>
        <v>0.28</v>
      </c>
      <c r="Q121" s="128">
        <f t="shared" si="22"/>
        <v>0.24</v>
      </c>
      <c r="R121" s="127">
        <v>0.2</v>
      </c>
      <c r="S121" s="128">
        <f t="shared" si="23"/>
        <v>0.16</v>
      </c>
      <c r="T121" s="152"/>
      <c r="U121" s="128" t="s">
        <v>351</v>
      </c>
      <c r="V121" s="154">
        <v>2</v>
      </c>
      <c r="W121" s="154"/>
      <c r="X121" s="154"/>
      <c r="Y121" s="154"/>
      <c r="Z121" s="154"/>
      <c r="AA121" s="154"/>
      <c r="AB121" s="152"/>
      <c r="AC121" s="152"/>
      <c r="AD121" s="152"/>
      <c r="AE121" s="152"/>
      <c r="AF121" s="115"/>
      <c r="AG121" s="160"/>
      <c r="AH121" s="121" t="s">
        <v>537</v>
      </c>
      <c r="AI121" s="115" t="s">
        <v>496</v>
      </c>
      <c r="AJ121" s="115" t="s">
        <v>134</v>
      </c>
      <c r="AK121" s="115"/>
      <c r="AL121" s="115"/>
      <c r="AM121" s="115"/>
      <c r="AN121" s="115"/>
      <c r="AO121" s="139" t="s">
        <v>278</v>
      </c>
      <c r="AP121" s="139" t="s">
        <v>278</v>
      </c>
      <c r="AQ121" s="139" t="s">
        <v>278</v>
      </c>
      <c r="AR121" s="139" t="s">
        <v>278</v>
      </c>
      <c r="AS121" s="149" t="e">
        <f t="shared" si="24"/>
        <v>#VALUE!</v>
      </c>
      <c r="AT121" s="141"/>
    </row>
    <row r="122" ht="59" customHeight="1" spans="1:46">
      <c r="A122" s="115" t="s">
        <v>349</v>
      </c>
      <c r="B122" s="115" t="s">
        <v>102</v>
      </c>
      <c r="C122" s="115" t="s">
        <v>103</v>
      </c>
      <c r="D122" s="116">
        <v>121</v>
      </c>
      <c r="E122" s="115" t="s">
        <v>538</v>
      </c>
      <c r="F122" s="115" t="s">
        <v>538</v>
      </c>
      <c r="G122" s="151"/>
      <c r="H122" s="151"/>
      <c r="I122" s="151"/>
      <c r="J122" s="151"/>
      <c r="K122" s="129">
        <v>0.5</v>
      </c>
      <c r="L122" s="130"/>
      <c r="M122" s="152"/>
      <c r="N122" s="128" t="s">
        <v>105</v>
      </c>
      <c r="O122" s="128">
        <f t="shared" si="20"/>
        <v>3.2</v>
      </c>
      <c r="P122" s="128">
        <f t="shared" si="21"/>
        <v>2.8</v>
      </c>
      <c r="Q122" s="128">
        <f t="shared" si="22"/>
        <v>2.4</v>
      </c>
      <c r="R122" s="127">
        <v>2</v>
      </c>
      <c r="S122" s="128">
        <f t="shared" si="23"/>
        <v>1.6</v>
      </c>
      <c r="T122" s="152"/>
      <c r="U122" s="128" t="s">
        <v>188</v>
      </c>
      <c r="V122" s="154">
        <v>2</v>
      </c>
      <c r="W122" s="154"/>
      <c r="X122" s="154"/>
      <c r="Y122" s="154"/>
      <c r="Z122" s="154"/>
      <c r="AA122" s="154"/>
      <c r="AB122" s="152"/>
      <c r="AC122" s="152"/>
      <c r="AD122" s="152"/>
      <c r="AE122" s="152"/>
      <c r="AF122" s="115"/>
      <c r="AG122" s="160"/>
      <c r="AH122" s="121" t="s">
        <v>539</v>
      </c>
      <c r="AI122" s="115" t="s">
        <v>496</v>
      </c>
      <c r="AJ122" s="115" t="s">
        <v>134</v>
      </c>
      <c r="AK122" s="115"/>
      <c r="AL122" s="115"/>
      <c r="AM122" s="115"/>
      <c r="AN122" s="115"/>
      <c r="AO122" s="139" t="s">
        <v>278</v>
      </c>
      <c r="AP122" s="139" t="s">
        <v>278</v>
      </c>
      <c r="AQ122" s="139" t="s">
        <v>278</v>
      </c>
      <c r="AR122" s="139" t="s">
        <v>278</v>
      </c>
      <c r="AS122" s="149" t="e">
        <f t="shared" si="24"/>
        <v>#VALUE!</v>
      </c>
      <c r="AT122" s="141"/>
    </row>
    <row r="123" ht="59" customHeight="1" spans="1:46">
      <c r="A123" s="115" t="s">
        <v>349</v>
      </c>
      <c r="B123" s="115" t="s">
        <v>102</v>
      </c>
      <c r="C123" s="115" t="s">
        <v>103</v>
      </c>
      <c r="D123" s="116">
        <v>122</v>
      </c>
      <c r="E123" s="115" t="s">
        <v>540</v>
      </c>
      <c r="F123" s="115" t="s">
        <v>540</v>
      </c>
      <c r="G123" s="151"/>
      <c r="H123" s="151"/>
      <c r="I123" s="151"/>
      <c r="J123" s="151"/>
      <c r="K123" s="129">
        <v>0.5</v>
      </c>
      <c r="L123" s="130"/>
      <c r="M123" s="152"/>
      <c r="N123" s="128" t="s">
        <v>105</v>
      </c>
      <c r="O123" s="128">
        <f t="shared" si="20"/>
        <v>0.32</v>
      </c>
      <c r="P123" s="128">
        <f t="shared" si="21"/>
        <v>0.28</v>
      </c>
      <c r="Q123" s="128">
        <f t="shared" si="22"/>
        <v>0.24</v>
      </c>
      <c r="R123" s="127">
        <v>0.2</v>
      </c>
      <c r="S123" s="128">
        <f t="shared" si="23"/>
        <v>0.16</v>
      </c>
      <c r="T123" s="152"/>
      <c r="U123" s="128" t="s">
        <v>351</v>
      </c>
      <c r="V123" s="154">
        <v>2</v>
      </c>
      <c r="W123" s="154"/>
      <c r="X123" s="154"/>
      <c r="Y123" s="154"/>
      <c r="Z123" s="154"/>
      <c r="AA123" s="154"/>
      <c r="AB123" s="152"/>
      <c r="AC123" s="152"/>
      <c r="AD123" s="152"/>
      <c r="AE123" s="152"/>
      <c r="AF123" s="115"/>
      <c r="AG123" s="160"/>
      <c r="AH123" s="121" t="s">
        <v>541</v>
      </c>
      <c r="AI123" s="115" t="s">
        <v>496</v>
      </c>
      <c r="AJ123" s="115" t="s">
        <v>134</v>
      </c>
      <c r="AK123" s="115"/>
      <c r="AL123" s="115"/>
      <c r="AM123" s="115"/>
      <c r="AN123" s="115"/>
      <c r="AO123" s="139" t="s">
        <v>278</v>
      </c>
      <c r="AP123" s="139" t="s">
        <v>278</v>
      </c>
      <c r="AQ123" s="139" t="s">
        <v>278</v>
      </c>
      <c r="AR123" s="139" t="s">
        <v>278</v>
      </c>
      <c r="AS123" s="149" t="e">
        <f t="shared" si="24"/>
        <v>#VALUE!</v>
      </c>
      <c r="AT123" s="141"/>
    </row>
    <row r="124" ht="59" customHeight="1" spans="1:46">
      <c r="A124" s="115" t="s">
        <v>101</v>
      </c>
      <c r="B124" s="115" t="s">
        <v>102</v>
      </c>
      <c r="C124" s="115" t="s">
        <v>103</v>
      </c>
      <c r="D124" s="116">
        <v>123</v>
      </c>
      <c r="E124" s="115" t="s">
        <v>542</v>
      </c>
      <c r="F124" s="115" t="s">
        <v>542</v>
      </c>
      <c r="G124" s="151">
        <v>2.65</v>
      </c>
      <c r="H124" s="151">
        <v>0.463333333333333</v>
      </c>
      <c r="I124" s="151">
        <v>1.14</v>
      </c>
      <c r="J124" s="151">
        <v>0.693333333333333</v>
      </c>
      <c r="K124" s="129">
        <v>0.5</v>
      </c>
      <c r="L124" s="130" t="s">
        <v>293</v>
      </c>
      <c r="M124" s="152"/>
      <c r="N124" s="128" t="s">
        <v>105</v>
      </c>
      <c r="O124" s="128">
        <f t="shared" si="20"/>
        <v>3.2</v>
      </c>
      <c r="P124" s="128">
        <f t="shared" si="21"/>
        <v>2.8</v>
      </c>
      <c r="Q124" s="128">
        <f t="shared" si="22"/>
        <v>2.4</v>
      </c>
      <c r="R124" s="127">
        <v>2</v>
      </c>
      <c r="S124" s="128">
        <f t="shared" si="23"/>
        <v>1.6</v>
      </c>
      <c r="T124" s="152"/>
      <c r="U124" s="128" t="s">
        <v>188</v>
      </c>
      <c r="V124" s="154">
        <v>2</v>
      </c>
      <c r="W124" s="135" t="s">
        <v>109</v>
      </c>
      <c r="X124" s="154"/>
      <c r="Y124" s="154"/>
      <c r="Z124" s="154"/>
      <c r="AA124" s="154"/>
      <c r="AB124" s="152"/>
      <c r="AC124" s="152"/>
      <c r="AD124" s="157">
        <v>0.9666666667</v>
      </c>
      <c r="AE124" s="152"/>
      <c r="AF124" s="115"/>
      <c r="AG124" s="160"/>
      <c r="AH124" s="121" t="s">
        <v>543</v>
      </c>
      <c r="AI124" s="115" t="s">
        <v>544</v>
      </c>
      <c r="AJ124" s="115" t="s">
        <v>134</v>
      </c>
      <c r="AK124" s="115"/>
      <c r="AL124" s="115"/>
      <c r="AM124" s="115"/>
      <c r="AN124" s="115"/>
      <c r="AO124" s="139">
        <f>(1.364+1.536+1.391)/3</f>
        <v>1.43033333333333</v>
      </c>
      <c r="AP124" s="139">
        <f>(1.87+1.66+1.211)/3</f>
        <v>1.58033333333333</v>
      </c>
      <c r="AQ124" s="142">
        <f>(1.536+1.55+1.6)/3</f>
        <v>1.562</v>
      </c>
      <c r="AR124" s="145">
        <f>(0.7+0.763+1.3)/3</f>
        <v>0.921</v>
      </c>
      <c r="AS124" s="149">
        <f t="shared" si="24"/>
        <v>-0.410371318822023</v>
      </c>
      <c r="AT124" s="141"/>
    </row>
    <row r="125" ht="59" customHeight="1" spans="1:46">
      <c r="A125" s="115" t="s">
        <v>349</v>
      </c>
      <c r="B125" s="115" t="s">
        <v>102</v>
      </c>
      <c r="C125" s="115" t="s">
        <v>103</v>
      </c>
      <c r="D125" s="116">
        <v>124</v>
      </c>
      <c r="E125" s="115" t="s">
        <v>545</v>
      </c>
      <c r="F125" s="115" t="s">
        <v>545</v>
      </c>
      <c r="G125" s="151">
        <v>0.77</v>
      </c>
      <c r="H125" s="151">
        <v>0.316666666666667</v>
      </c>
      <c r="I125" s="151">
        <v>0.47</v>
      </c>
      <c r="J125" s="151">
        <v>0.173333333333333</v>
      </c>
      <c r="K125" s="129">
        <v>0.5</v>
      </c>
      <c r="L125" s="130" t="s">
        <v>293</v>
      </c>
      <c r="M125" s="152"/>
      <c r="N125" s="128" t="s">
        <v>105</v>
      </c>
      <c r="O125" s="128">
        <f t="shared" si="20"/>
        <v>0.32</v>
      </c>
      <c r="P125" s="128">
        <f t="shared" si="21"/>
        <v>0.28</v>
      </c>
      <c r="Q125" s="128">
        <f t="shared" si="22"/>
        <v>0.24</v>
      </c>
      <c r="R125" s="127">
        <v>0.2</v>
      </c>
      <c r="S125" s="128">
        <f t="shared" si="23"/>
        <v>0.16</v>
      </c>
      <c r="T125" s="152"/>
      <c r="U125" s="128" t="s">
        <v>351</v>
      </c>
      <c r="V125" s="154">
        <v>2</v>
      </c>
      <c r="W125" s="135" t="s">
        <v>109</v>
      </c>
      <c r="X125" s="154"/>
      <c r="Y125" s="154"/>
      <c r="Z125" s="154"/>
      <c r="AA125" s="154"/>
      <c r="AB125" s="152"/>
      <c r="AC125" s="152"/>
      <c r="AD125" s="157">
        <v>0.8533333333</v>
      </c>
      <c r="AE125" s="152"/>
      <c r="AF125" s="115"/>
      <c r="AG125" s="160"/>
      <c r="AH125" s="121" t="s">
        <v>546</v>
      </c>
      <c r="AI125" s="115" t="s">
        <v>544</v>
      </c>
      <c r="AJ125" s="115" t="s">
        <v>134</v>
      </c>
      <c r="AK125" s="115"/>
      <c r="AL125" s="115"/>
      <c r="AM125" s="115"/>
      <c r="AN125" s="115"/>
      <c r="AO125" s="139">
        <f>(813+922+844)/3/1000</f>
        <v>0.859666666666667</v>
      </c>
      <c r="AP125" s="139">
        <f>(890+902+891)/3/1000</f>
        <v>0.894333333333333</v>
      </c>
      <c r="AQ125" s="142">
        <f>(0.841+0.844+0.845)/3</f>
        <v>0.843333333333333</v>
      </c>
      <c r="AR125" s="145">
        <f>(0.467+0.598+0.965)/3</f>
        <v>0.676666666666667</v>
      </c>
      <c r="AS125" s="149">
        <f t="shared" si="24"/>
        <v>-0.197628458498024</v>
      </c>
      <c r="AT125" s="141"/>
    </row>
    <row r="126" ht="59" customHeight="1" spans="1:46">
      <c r="A126" s="115" t="s">
        <v>349</v>
      </c>
      <c r="B126" s="115" t="s">
        <v>102</v>
      </c>
      <c r="C126" s="115" t="s">
        <v>103</v>
      </c>
      <c r="D126" s="116">
        <v>125</v>
      </c>
      <c r="E126" s="115" t="s">
        <v>547</v>
      </c>
      <c r="F126" s="115" t="s">
        <v>547</v>
      </c>
      <c r="G126" s="151"/>
      <c r="H126" s="151">
        <v>0.911333333333333</v>
      </c>
      <c r="I126" s="151"/>
      <c r="J126" s="151"/>
      <c r="K126" s="129">
        <v>0.5</v>
      </c>
      <c r="L126" s="130"/>
      <c r="M126" s="152"/>
      <c r="N126" s="128" t="s">
        <v>105</v>
      </c>
      <c r="O126" s="128">
        <f t="shared" si="20"/>
        <v>3.2</v>
      </c>
      <c r="P126" s="128">
        <f t="shared" si="21"/>
        <v>2.8</v>
      </c>
      <c r="Q126" s="128">
        <f t="shared" si="22"/>
        <v>2.4</v>
      </c>
      <c r="R126" s="127">
        <v>2</v>
      </c>
      <c r="S126" s="128">
        <f t="shared" si="23"/>
        <v>1.6</v>
      </c>
      <c r="T126" s="152"/>
      <c r="U126" s="128" t="s">
        <v>188</v>
      </c>
      <c r="V126" s="154">
        <v>2</v>
      </c>
      <c r="W126" s="154"/>
      <c r="X126" s="154"/>
      <c r="Y126" s="154"/>
      <c r="Z126" s="154"/>
      <c r="AA126" s="154"/>
      <c r="AB126" s="152"/>
      <c r="AC126" s="152"/>
      <c r="AD126" s="152"/>
      <c r="AE126" s="152"/>
      <c r="AF126" s="115"/>
      <c r="AG126" s="160"/>
      <c r="AH126" s="121" t="s">
        <v>548</v>
      </c>
      <c r="AI126" s="115" t="s">
        <v>496</v>
      </c>
      <c r="AJ126" s="115" t="s">
        <v>134</v>
      </c>
      <c r="AK126" s="115"/>
      <c r="AL126" s="115"/>
      <c r="AM126" s="115"/>
      <c r="AN126" s="115"/>
      <c r="AO126" s="139">
        <f>(1.034+0.934+1.033)/3</f>
        <v>1.00033333333333</v>
      </c>
      <c r="AP126" s="139">
        <f>(0.9+0.934+0.866)/3</f>
        <v>0.9</v>
      </c>
      <c r="AQ126" s="142">
        <f>(0.867+0.863+0.834)/3</f>
        <v>0.854666666666667</v>
      </c>
      <c r="AR126" s="145">
        <f>(0.999+0.808+0.862)/3</f>
        <v>0.889666666666667</v>
      </c>
      <c r="AS126" s="149">
        <f t="shared" si="24"/>
        <v>0.0409516380655227</v>
      </c>
      <c r="AT126" s="141"/>
    </row>
    <row r="127" ht="59" customHeight="1" spans="1:46">
      <c r="A127" s="115" t="s">
        <v>349</v>
      </c>
      <c r="B127" s="115" t="s">
        <v>102</v>
      </c>
      <c r="C127" s="115" t="s">
        <v>103</v>
      </c>
      <c r="D127" s="116">
        <v>126</v>
      </c>
      <c r="E127" s="115" t="s">
        <v>549</v>
      </c>
      <c r="F127" s="115" t="s">
        <v>549</v>
      </c>
      <c r="G127" s="151"/>
      <c r="H127" s="151">
        <v>0.354666666666667</v>
      </c>
      <c r="I127" s="151"/>
      <c r="J127" s="151"/>
      <c r="K127" s="129">
        <v>0.5</v>
      </c>
      <c r="L127" s="130"/>
      <c r="M127" s="152"/>
      <c r="N127" s="128" t="s">
        <v>105</v>
      </c>
      <c r="O127" s="128">
        <f t="shared" si="20"/>
        <v>0.32</v>
      </c>
      <c r="P127" s="128">
        <f t="shared" si="21"/>
        <v>0.28</v>
      </c>
      <c r="Q127" s="128">
        <f t="shared" si="22"/>
        <v>0.24</v>
      </c>
      <c r="R127" s="127">
        <v>0.2</v>
      </c>
      <c r="S127" s="128">
        <f t="shared" si="23"/>
        <v>0.16</v>
      </c>
      <c r="T127" s="152"/>
      <c r="U127" s="128" t="s">
        <v>351</v>
      </c>
      <c r="V127" s="154">
        <v>2</v>
      </c>
      <c r="W127" s="154"/>
      <c r="X127" s="154"/>
      <c r="Y127" s="154"/>
      <c r="Z127" s="154"/>
      <c r="AA127" s="154"/>
      <c r="AB127" s="152"/>
      <c r="AC127" s="152"/>
      <c r="AD127" s="152"/>
      <c r="AE127" s="152"/>
      <c r="AF127" s="115"/>
      <c r="AG127" s="160"/>
      <c r="AH127" s="121" t="s">
        <v>550</v>
      </c>
      <c r="AI127" s="115" t="s">
        <v>496</v>
      </c>
      <c r="AJ127" s="115" t="s">
        <v>134</v>
      </c>
      <c r="AK127" s="115"/>
      <c r="AL127" s="115"/>
      <c r="AM127" s="115"/>
      <c r="AN127" s="115"/>
      <c r="AO127" s="139">
        <f>(0.367+0.367+0.467)/3</f>
        <v>0.400333333333333</v>
      </c>
      <c r="AP127" s="139">
        <f>(0.4+0.366+0.434)/3</f>
        <v>0.4</v>
      </c>
      <c r="AQ127" s="142">
        <f>(0.367+0.299+0.333)/3</f>
        <v>0.333</v>
      </c>
      <c r="AR127" s="145">
        <f>(0.433+0.297+0.4)/3</f>
        <v>0.376666666666667</v>
      </c>
      <c r="AS127" s="149">
        <f t="shared" si="24"/>
        <v>0.131131131131131</v>
      </c>
      <c r="AT127" s="141"/>
    </row>
    <row r="128" ht="59" customHeight="1" spans="1:46">
      <c r="A128" s="115" t="s">
        <v>349</v>
      </c>
      <c r="B128" s="115" t="s">
        <v>102</v>
      </c>
      <c r="C128" s="115" t="s">
        <v>202</v>
      </c>
      <c r="D128" s="116">
        <v>127</v>
      </c>
      <c r="E128" s="115" t="s">
        <v>551</v>
      </c>
      <c r="F128" s="115" t="s">
        <v>551</v>
      </c>
      <c r="G128" s="151"/>
      <c r="H128" s="151">
        <v>3.32333333333333</v>
      </c>
      <c r="I128" s="151"/>
      <c r="J128" s="151">
        <v>3.37666666666667</v>
      </c>
      <c r="K128" s="129">
        <v>0.5</v>
      </c>
      <c r="L128" s="130"/>
      <c r="M128" s="152"/>
      <c r="N128" s="128" t="s">
        <v>105</v>
      </c>
      <c r="O128" s="128">
        <f t="shared" si="20"/>
        <v>3.2</v>
      </c>
      <c r="P128" s="128">
        <f t="shared" si="21"/>
        <v>2.8</v>
      </c>
      <c r="Q128" s="128">
        <f t="shared" si="22"/>
        <v>2.4</v>
      </c>
      <c r="R128" s="127">
        <v>2</v>
      </c>
      <c r="S128" s="128">
        <f t="shared" si="23"/>
        <v>1.6</v>
      </c>
      <c r="T128" s="152"/>
      <c r="U128" s="128" t="s">
        <v>188</v>
      </c>
      <c r="V128" s="154">
        <v>2</v>
      </c>
      <c r="W128" s="154"/>
      <c r="X128" s="154"/>
      <c r="Y128" s="154"/>
      <c r="Z128" s="154"/>
      <c r="AA128" s="154"/>
      <c r="AB128" s="152"/>
      <c r="AC128" s="152"/>
      <c r="AD128" s="152"/>
      <c r="AE128" s="128" t="s">
        <v>130</v>
      </c>
      <c r="AF128" s="115"/>
      <c r="AG128" s="160"/>
      <c r="AH128" s="121" t="s">
        <v>552</v>
      </c>
      <c r="AI128" s="115" t="s">
        <v>553</v>
      </c>
      <c r="AJ128" s="115" t="s">
        <v>134</v>
      </c>
      <c r="AK128" s="115"/>
      <c r="AL128" s="115"/>
      <c r="AM128" s="115"/>
      <c r="AN128" s="115"/>
      <c r="AO128" s="139">
        <f>(4.873+5.248+4.93)/3</f>
        <v>5.017</v>
      </c>
      <c r="AP128" s="139" t="s">
        <v>278</v>
      </c>
      <c r="AQ128" s="139" t="s">
        <v>278</v>
      </c>
      <c r="AR128" s="139" t="s">
        <v>278</v>
      </c>
      <c r="AS128" s="149" t="e">
        <f t="shared" si="24"/>
        <v>#VALUE!</v>
      </c>
      <c r="AT128" s="141"/>
    </row>
    <row r="129" ht="59" customHeight="1" spans="1:46">
      <c r="A129" s="115" t="s">
        <v>349</v>
      </c>
      <c r="B129" s="115" t="s">
        <v>102</v>
      </c>
      <c r="C129" s="115" t="s">
        <v>202</v>
      </c>
      <c r="D129" s="116">
        <v>128</v>
      </c>
      <c r="E129" s="115" t="s">
        <v>554</v>
      </c>
      <c r="F129" s="115" t="s">
        <v>554</v>
      </c>
      <c r="G129" s="151"/>
      <c r="H129" s="151">
        <v>0.19</v>
      </c>
      <c r="I129" s="151"/>
      <c r="J129" s="151">
        <v>0.246666666666667</v>
      </c>
      <c r="K129" s="129">
        <v>0.5</v>
      </c>
      <c r="L129" s="130"/>
      <c r="M129" s="152"/>
      <c r="N129" s="128" t="s">
        <v>105</v>
      </c>
      <c r="O129" s="128">
        <f t="shared" si="20"/>
        <v>0.32</v>
      </c>
      <c r="P129" s="128">
        <f t="shared" si="21"/>
        <v>0.28</v>
      </c>
      <c r="Q129" s="128">
        <f t="shared" si="22"/>
        <v>0.24</v>
      </c>
      <c r="R129" s="127">
        <v>0.2</v>
      </c>
      <c r="S129" s="128">
        <f t="shared" si="23"/>
        <v>0.16</v>
      </c>
      <c r="T129" s="152"/>
      <c r="U129" s="128" t="s">
        <v>351</v>
      </c>
      <c r="V129" s="154">
        <v>2</v>
      </c>
      <c r="W129" s="154"/>
      <c r="X129" s="154"/>
      <c r="Y129" s="154"/>
      <c r="Z129" s="154"/>
      <c r="AA129" s="154"/>
      <c r="AB129" s="152"/>
      <c r="AC129" s="152"/>
      <c r="AD129" s="152"/>
      <c r="AE129" s="152"/>
      <c r="AF129" s="115"/>
      <c r="AG129" s="160"/>
      <c r="AH129" s="121" t="s">
        <v>555</v>
      </c>
      <c r="AI129" s="115" t="s">
        <v>553</v>
      </c>
      <c r="AJ129" s="115" t="s">
        <v>134</v>
      </c>
      <c r="AK129" s="115"/>
      <c r="AL129" s="115"/>
      <c r="AM129" s="115"/>
      <c r="AN129" s="115"/>
      <c r="AO129" s="139">
        <f>(0.228+0.181+0.215)/3</f>
        <v>0.208</v>
      </c>
      <c r="AP129" s="139" t="s">
        <v>278</v>
      </c>
      <c r="AQ129" s="139" t="s">
        <v>278</v>
      </c>
      <c r="AR129" s="139" t="s">
        <v>278</v>
      </c>
      <c r="AS129" s="149" t="e">
        <f t="shared" si="24"/>
        <v>#VALUE!</v>
      </c>
      <c r="AT129" s="141"/>
    </row>
    <row r="130" ht="59" customHeight="1" spans="1:46">
      <c r="A130" s="115" t="s">
        <v>349</v>
      </c>
      <c r="B130" s="115" t="s">
        <v>102</v>
      </c>
      <c r="C130" s="115" t="s">
        <v>202</v>
      </c>
      <c r="D130" s="116">
        <v>129</v>
      </c>
      <c r="E130" s="115" t="s">
        <v>556</v>
      </c>
      <c r="F130" s="115" t="s">
        <v>556</v>
      </c>
      <c r="G130" s="151"/>
      <c r="H130" s="151">
        <v>4.08666666666667</v>
      </c>
      <c r="I130" s="151"/>
      <c r="J130" s="151">
        <v>6.46666666666667</v>
      </c>
      <c r="K130" s="129">
        <v>0.5</v>
      </c>
      <c r="L130" s="130"/>
      <c r="M130" s="152"/>
      <c r="N130" s="128" t="s">
        <v>105</v>
      </c>
      <c r="O130" s="128">
        <f t="shared" si="20"/>
        <v>3.2</v>
      </c>
      <c r="P130" s="128">
        <f t="shared" si="21"/>
        <v>2.8</v>
      </c>
      <c r="Q130" s="128">
        <f t="shared" si="22"/>
        <v>2.4</v>
      </c>
      <c r="R130" s="127">
        <v>2</v>
      </c>
      <c r="S130" s="128">
        <f t="shared" si="23"/>
        <v>1.6</v>
      </c>
      <c r="T130" s="152"/>
      <c r="U130" s="128" t="s">
        <v>188</v>
      </c>
      <c r="V130" s="154">
        <v>2</v>
      </c>
      <c r="W130" s="154"/>
      <c r="X130" s="154"/>
      <c r="Y130" s="154"/>
      <c r="Z130" s="154"/>
      <c r="AA130" s="154"/>
      <c r="AB130" s="152"/>
      <c r="AC130" s="152"/>
      <c r="AD130" s="152"/>
      <c r="AE130" s="152"/>
      <c r="AF130" s="115"/>
      <c r="AG130" s="160"/>
      <c r="AH130" s="121" t="s">
        <v>557</v>
      </c>
      <c r="AI130" s="115" t="s">
        <v>496</v>
      </c>
      <c r="AJ130" s="115" t="s">
        <v>134</v>
      </c>
      <c r="AK130" s="115"/>
      <c r="AL130" s="115"/>
      <c r="AM130" s="115"/>
      <c r="AN130" s="115"/>
      <c r="AO130" s="139">
        <f>(3.727+3.556+3.769)/3</f>
        <v>3.684</v>
      </c>
      <c r="AP130" s="139" t="s">
        <v>278</v>
      </c>
      <c r="AQ130" s="139" t="s">
        <v>278</v>
      </c>
      <c r="AR130" s="139" t="s">
        <v>278</v>
      </c>
      <c r="AS130" s="149" t="e">
        <f t="shared" si="24"/>
        <v>#VALUE!</v>
      </c>
      <c r="AT130" s="141"/>
    </row>
    <row r="131" ht="59" customHeight="1" spans="1:46">
      <c r="A131" s="115" t="s">
        <v>349</v>
      </c>
      <c r="B131" s="115" t="s">
        <v>102</v>
      </c>
      <c r="C131" s="115" t="s">
        <v>202</v>
      </c>
      <c r="D131" s="116">
        <v>130</v>
      </c>
      <c r="E131" s="115" t="s">
        <v>558</v>
      </c>
      <c r="F131" s="115" t="s">
        <v>558</v>
      </c>
      <c r="G131" s="151"/>
      <c r="H131" s="151">
        <v>0.203333333333333</v>
      </c>
      <c r="I131" s="151"/>
      <c r="J131" s="151">
        <v>0.18</v>
      </c>
      <c r="K131" s="129">
        <v>0.5</v>
      </c>
      <c r="L131" s="130"/>
      <c r="M131" s="152"/>
      <c r="N131" s="128" t="s">
        <v>105</v>
      </c>
      <c r="O131" s="128">
        <f t="shared" si="20"/>
        <v>0.32</v>
      </c>
      <c r="P131" s="128">
        <f t="shared" si="21"/>
        <v>0.28</v>
      </c>
      <c r="Q131" s="128">
        <f t="shared" si="22"/>
        <v>0.24</v>
      </c>
      <c r="R131" s="127">
        <v>0.2</v>
      </c>
      <c r="S131" s="128">
        <f t="shared" si="23"/>
        <v>0.16</v>
      </c>
      <c r="T131" s="152"/>
      <c r="U131" s="128" t="s">
        <v>351</v>
      </c>
      <c r="V131" s="154">
        <v>2</v>
      </c>
      <c r="W131" s="154"/>
      <c r="X131" s="154"/>
      <c r="Y131" s="154"/>
      <c r="Z131" s="154"/>
      <c r="AA131" s="154"/>
      <c r="AB131" s="152"/>
      <c r="AC131" s="152"/>
      <c r="AD131" s="152"/>
      <c r="AE131" s="152"/>
      <c r="AF131" s="115"/>
      <c r="AG131" s="160"/>
      <c r="AH131" s="121" t="s">
        <v>559</v>
      </c>
      <c r="AI131" s="115" t="s">
        <v>496</v>
      </c>
      <c r="AJ131" s="115" t="s">
        <v>134</v>
      </c>
      <c r="AK131" s="115"/>
      <c r="AL131" s="115"/>
      <c r="AM131" s="115"/>
      <c r="AN131" s="115"/>
      <c r="AO131" s="131">
        <f>(0.727+0.722+0.716)/3</f>
        <v>0.721666666666667</v>
      </c>
      <c r="AP131" s="139" t="s">
        <v>278</v>
      </c>
      <c r="AQ131" s="139" t="s">
        <v>278</v>
      </c>
      <c r="AR131" s="139" t="s">
        <v>278</v>
      </c>
      <c r="AS131" s="149" t="e">
        <f t="shared" si="24"/>
        <v>#VALUE!</v>
      </c>
      <c r="AT131" s="141"/>
    </row>
    <row r="132" ht="59" customHeight="1" spans="1:46">
      <c r="A132" s="115" t="s">
        <v>349</v>
      </c>
      <c r="B132" s="115" t="s">
        <v>102</v>
      </c>
      <c r="C132" s="115" t="s">
        <v>202</v>
      </c>
      <c r="D132" s="116">
        <v>131</v>
      </c>
      <c r="E132" s="115" t="s">
        <v>560</v>
      </c>
      <c r="F132" s="115" t="s">
        <v>560</v>
      </c>
      <c r="G132" s="151"/>
      <c r="H132" s="151">
        <v>6.02333333333333</v>
      </c>
      <c r="I132" s="151"/>
      <c r="J132" s="151">
        <v>5.16</v>
      </c>
      <c r="K132" s="129">
        <v>0.5</v>
      </c>
      <c r="L132" s="130"/>
      <c r="M132" s="152"/>
      <c r="N132" s="128" t="s">
        <v>105</v>
      </c>
      <c r="O132" s="128">
        <f t="shared" si="20"/>
        <v>3.2</v>
      </c>
      <c r="P132" s="128">
        <f t="shared" si="21"/>
        <v>2.8</v>
      </c>
      <c r="Q132" s="128">
        <f t="shared" si="22"/>
        <v>2.4</v>
      </c>
      <c r="R132" s="127">
        <v>2</v>
      </c>
      <c r="S132" s="128">
        <f t="shared" si="23"/>
        <v>1.6</v>
      </c>
      <c r="T132" s="152"/>
      <c r="U132" s="128" t="s">
        <v>188</v>
      </c>
      <c r="V132" s="154">
        <v>2</v>
      </c>
      <c r="W132" s="154"/>
      <c r="X132" s="154"/>
      <c r="Y132" s="154"/>
      <c r="Z132" s="154"/>
      <c r="AA132" s="154"/>
      <c r="AB132" s="152"/>
      <c r="AC132" s="152"/>
      <c r="AD132" s="152"/>
      <c r="AE132" s="128" t="s">
        <v>130</v>
      </c>
      <c r="AF132" s="115"/>
      <c r="AG132" s="160"/>
      <c r="AH132" s="121" t="s">
        <v>561</v>
      </c>
      <c r="AI132" s="115" t="s">
        <v>496</v>
      </c>
      <c r="AJ132" s="115" t="s">
        <v>134</v>
      </c>
      <c r="AK132" s="115"/>
      <c r="AL132" s="115"/>
      <c r="AM132" s="115"/>
      <c r="AN132" s="115"/>
      <c r="AO132" s="139">
        <f>(5.499+5.904+5.705)/3</f>
        <v>5.70266666666667</v>
      </c>
      <c r="AP132" s="139" t="s">
        <v>278</v>
      </c>
      <c r="AQ132" s="139" t="s">
        <v>278</v>
      </c>
      <c r="AR132" s="139" t="s">
        <v>278</v>
      </c>
      <c r="AS132" s="149" t="e">
        <f t="shared" si="24"/>
        <v>#VALUE!</v>
      </c>
      <c r="AT132" s="141"/>
    </row>
    <row r="133" ht="59" customHeight="1" spans="1:46">
      <c r="A133" s="115" t="s">
        <v>349</v>
      </c>
      <c r="B133" s="115" t="s">
        <v>102</v>
      </c>
      <c r="C133" s="115" t="s">
        <v>202</v>
      </c>
      <c r="D133" s="116">
        <v>132</v>
      </c>
      <c r="E133" s="115" t="s">
        <v>562</v>
      </c>
      <c r="F133" s="115" t="s">
        <v>562</v>
      </c>
      <c r="G133" s="151"/>
      <c r="H133" s="151">
        <v>0.74</v>
      </c>
      <c r="I133" s="151"/>
      <c r="J133" s="151">
        <v>0.26</v>
      </c>
      <c r="K133" s="129">
        <v>0.5</v>
      </c>
      <c r="L133" s="130"/>
      <c r="M133" s="152"/>
      <c r="N133" s="128" t="s">
        <v>105</v>
      </c>
      <c r="O133" s="128">
        <f t="shared" si="20"/>
        <v>0.32</v>
      </c>
      <c r="P133" s="128">
        <f t="shared" si="21"/>
        <v>0.28</v>
      </c>
      <c r="Q133" s="128">
        <f t="shared" si="22"/>
        <v>0.24</v>
      </c>
      <c r="R133" s="127">
        <v>0.2</v>
      </c>
      <c r="S133" s="128">
        <f t="shared" si="23"/>
        <v>0.16</v>
      </c>
      <c r="T133" s="152"/>
      <c r="U133" s="128" t="s">
        <v>351</v>
      </c>
      <c r="V133" s="154">
        <v>2</v>
      </c>
      <c r="W133" s="154"/>
      <c r="X133" s="154"/>
      <c r="Y133" s="154"/>
      <c r="Z133" s="154"/>
      <c r="AA133" s="154"/>
      <c r="AB133" s="152"/>
      <c r="AC133" s="152"/>
      <c r="AD133" s="152"/>
      <c r="AE133" s="152"/>
      <c r="AF133" s="115"/>
      <c r="AG133" s="160"/>
      <c r="AH133" s="121" t="s">
        <v>563</v>
      </c>
      <c r="AI133" s="115" t="s">
        <v>496</v>
      </c>
      <c r="AJ133" s="115" t="s">
        <v>134</v>
      </c>
      <c r="AK133" s="115"/>
      <c r="AL133" s="115"/>
      <c r="AM133" s="115"/>
      <c r="AN133" s="115"/>
      <c r="AO133" s="139">
        <f>(0.437+0.628+0.522)/3</f>
        <v>0.529</v>
      </c>
      <c r="AP133" s="139" t="s">
        <v>278</v>
      </c>
      <c r="AQ133" s="139" t="s">
        <v>278</v>
      </c>
      <c r="AR133" s="139" t="s">
        <v>278</v>
      </c>
      <c r="AS133" s="149" t="e">
        <f t="shared" si="24"/>
        <v>#VALUE!</v>
      </c>
      <c r="AT133" s="141"/>
    </row>
    <row r="134" ht="59" customHeight="1" spans="1:46">
      <c r="A134" s="115" t="s">
        <v>349</v>
      </c>
      <c r="B134" s="115" t="s">
        <v>102</v>
      </c>
      <c r="C134" s="115" t="s">
        <v>202</v>
      </c>
      <c r="D134" s="116">
        <v>133</v>
      </c>
      <c r="E134" s="115" t="s">
        <v>564</v>
      </c>
      <c r="F134" s="115" t="s">
        <v>564</v>
      </c>
      <c r="G134" s="151"/>
      <c r="H134" s="151">
        <v>2.58666666666667</v>
      </c>
      <c r="I134" s="151"/>
      <c r="J134" s="151">
        <v>3.06</v>
      </c>
      <c r="K134" s="129">
        <v>0.5</v>
      </c>
      <c r="L134" s="130"/>
      <c r="M134" s="152"/>
      <c r="N134" s="128" t="s">
        <v>105</v>
      </c>
      <c r="O134" s="128">
        <f t="shared" si="20"/>
        <v>3.2</v>
      </c>
      <c r="P134" s="128">
        <f t="shared" si="21"/>
        <v>2.8</v>
      </c>
      <c r="Q134" s="128">
        <f t="shared" si="22"/>
        <v>2.4</v>
      </c>
      <c r="R134" s="127">
        <v>2</v>
      </c>
      <c r="S134" s="128">
        <f t="shared" si="23"/>
        <v>1.6</v>
      </c>
      <c r="T134" s="152"/>
      <c r="U134" s="128" t="s">
        <v>188</v>
      </c>
      <c r="V134" s="154">
        <v>2</v>
      </c>
      <c r="W134" s="154"/>
      <c r="X134" s="154"/>
      <c r="Y134" s="154"/>
      <c r="Z134" s="154"/>
      <c r="AA134" s="154"/>
      <c r="AB134" s="152"/>
      <c r="AC134" s="152"/>
      <c r="AD134" s="152"/>
      <c r="AE134" s="128" t="s">
        <v>130</v>
      </c>
      <c r="AF134" s="115"/>
      <c r="AG134" s="160"/>
      <c r="AH134" s="121" t="s">
        <v>565</v>
      </c>
      <c r="AI134" s="115" t="s">
        <v>496</v>
      </c>
      <c r="AJ134" s="115" t="s">
        <v>134</v>
      </c>
      <c r="AK134" s="115"/>
      <c r="AL134" s="115"/>
      <c r="AM134" s="115"/>
      <c r="AN134" s="115"/>
      <c r="AO134" s="139">
        <f>(3.167+3.253+3.253)/3</f>
        <v>3.22433333333333</v>
      </c>
      <c r="AP134" s="139" t="s">
        <v>278</v>
      </c>
      <c r="AQ134" s="139" t="s">
        <v>278</v>
      </c>
      <c r="AR134" s="139" t="s">
        <v>278</v>
      </c>
      <c r="AS134" s="149" t="e">
        <f t="shared" si="24"/>
        <v>#VALUE!</v>
      </c>
      <c r="AT134" s="141"/>
    </row>
    <row r="135" ht="59" customHeight="1" spans="1:46">
      <c r="A135" s="115" t="s">
        <v>349</v>
      </c>
      <c r="B135" s="115" t="s">
        <v>102</v>
      </c>
      <c r="C135" s="115" t="s">
        <v>202</v>
      </c>
      <c r="D135" s="116">
        <v>134</v>
      </c>
      <c r="E135" s="115" t="s">
        <v>566</v>
      </c>
      <c r="F135" s="115" t="s">
        <v>566</v>
      </c>
      <c r="G135" s="151"/>
      <c r="H135" s="151">
        <v>0.176666666666667</v>
      </c>
      <c r="I135" s="151"/>
      <c r="J135" s="151">
        <v>0.29</v>
      </c>
      <c r="K135" s="129">
        <v>0.5</v>
      </c>
      <c r="L135" s="130"/>
      <c r="M135" s="152"/>
      <c r="N135" s="128" t="s">
        <v>105</v>
      </c>
      <c r="O135" s="128">
        <f t="shared" si="20"/>
        <v>0.32</v>
      </c>
      <c r="P135" s="128">
        <f t="shared" si="21"/>
        <v>0.28</v>
      </c>
      <c r="Q135" s="128">
        <f t="shared" si="22"/>
        <v>0.24</v>
      </c>
      <c r="R135" s="127">
        <v>0.2</v>
      </c>
      <c r="S135" s="128">
        <f t="shared" si="23"/>
        <v>0.16</v>
      </c>
      <c r="T135" s="152"/>
      <c r="U135" s="128" t="s">
        <v>351</v>
      </c>
      <c r="V135" s="154">
        <v>2</v>
      </c>
      <c r="W135" s="154"/>
      <c r="X135" s="154"/>
      <c r="Y135" s="154"/>
      <c r="Z135" s="154"/>
      <c r="AA135" s="154"/>
      <c r="AB135" s="152"/>
      <c r="AC135" s="152"/>
      <c r="AD135" s="152"/>
      <c r="AE135" s="152"/>
      <c r="AF135" s="115"/>
      <c r="AG135" s="160"/>
      <c r="AH135" s="121" t="s">
        <v>567</v>
      </c>
      <c r="AI135" s="115" t="s">
        <v>496</v>
      </c>
      <c r="AJ135" s="115" t="s">
        <v>134</v>
      </c>
      <c r="AK135" s="115"/>
      <c r="AL135" s="115"/>
      <c r="AM135" s="115"/>
      <c r="AN135" s="115"/>
      <c r="AO135" s="139">
        <f>(0.281+0.214+0.256)/3</f>
        <v>0.250333333333333</v>
      </c>
      <c r="AP135" s="139" t="s">
        <v>278</v>
      </c>
      <c r="AQ135" s="139" t="s">
        <v>278</v>
      </c>
      <c r="AR135" s="139" t="s">
        <v>278</v>
      </c>
      <c r="AS135" s="149" t="e">
        <f t="shared" si="24"/>
        <v>#VALUE!</v>
      </c>
      <c r="AT135" s="141"/>
    </row>
    <row r="136" ht="59" customHeight="1" spans="1:46">
      <c r="A136" s="115" t="s">
        <v>349</v>
      </c>
      <c r="B136" s="115" t="s">
        <v>381</v>
      </c>
      <c r="C136" s="115" t="s">
        <v>202</v>
      </c>
      <c r="D136" s="116">
        <v>135</v>
      </c>
      <c r="E136" s="121" t="s">
        <v>568</v>
      </c>
      <c r="F136" s="121" t="s">
        <v>569</v>
      </c>
      <c r="G136" s="122"/>
      <c r="H136" s="122"/>
      <c r="I136" s="122"/>
      <c r="J136" s="122"/>
      <c r="K136" s="129">
        <v>0.5</v>
      </c>
      <c r="L136" s="130"/>
      <c r="M136" s="152"/>
      <c r="N136" s="128" t="s">
        <v>105</v>
      </c>
      <c r="O136" s="128"/>
      <c r="P136" s="128"/>
      <c r="Q136" s="128"/>
      <c r="R136" s="128"/>
      <c r="S136" s="128"/>
      <c r="T136" s="152"/>
      <c r="U136" s="152"/>
      <c r="V136" s="154">
        <v>3</v>
      </c>
      <c r="W136" s="154"/>
      <c r="X136" s="154"/>
      <c r="Y136" s="154"/>
      <c r="Z136" s="154"/>
      <c r="AA136" s="154"/>
      <c r="AB136" s="152"/>
      <c r="AC136" s="152"/>
      <c r="AD136" s="152"/>
      <c r="AE136" s="152"/>
      <c r="AF136" s="115"/>
      <c r="AG136" s="160"/>
      <c r="AH136" s="121"/>
      <c r="AI136" s="115"/>
      <c r="AJ136" s="115" t="s">
        <v>134</v>
      </c>
      <c r="AK136" s="115"/>
      <c r="AL136" s="115"/>
      <c r="AM136" s="115"/>
      <c r="AN136" s="115"/>
      <c r="AO136" s="133">
        <v>1</v>
      </c>
      <c r="AP136" s="133">
        <v>0</v>
      </c>
      <c r="AQ136" s="133">
        <v>0</v>
      </c>
      <c r="AR136" s="133">
        <v>0</v>
      </c>
      <c r="AS136" s="149" t="e">
        <f t="shared" si="24"/>
        <v>#DIV/0!</v>
      </c>
      <c r="AT136" s="141"/>
    </row>
    <row r="137" ht="59" customHeight="1" spans="1:46">
      <c r="A137" s="115" t="s">
        <v>349</v>
      </c>
      <c r="B137" s="115" t="s">
        <v>381</v>
      </c>
      <c r="C137" s="115" t="s">
        <v>202</v>
      </c>
      <c r="D137" s="116">
        <v>136</v>
      </c>
      <c r="E137" s="121" t="s">
        <v>570</v>
      </c>
      <c r="F137" s="121" t="s">
        <v>571</v>
      </c>
      <c r="G137" s="122"/>
      <c r="H137" s="122"/>
      <c r="I137" s="122"/>
      <c r="J137" s="122"/>
      <c r="K137" s="129">
        <v>0.5</v>
      </c>
      <c r="L137" s="130"/>
      <c r="M137" s="152"/>
      <c r="N137" s="128" t="s">
        <v>105</v>
      </c>
      <c r="O137" s="128"/>
      <c r="P137" s="128"/>
      <c r="Q137" s="128"/>
      <c r="R137" s="128"/>
      <c r="S137" s="128"/>
      <c r="T137" s="152"/>
      <c r="U137" s="152"/>
      <c r="V137" s="154">
        <v>3</v>
      </c>
      <c r="W137" s="154"/>
      <c r="X137" s="154"/>
      <c r="Y137" s="154"/>
      <c r="Z137" s="154"/>
      <c r="AA137" s="154"/>
      <c r="AB137" s="152"/>
      <c r="AC137" s="152"/>
      <c r="AD137" s="152"/>
      <c r="AE137" s="152"/>
      <c r="AF137" s="115"/>
      <c r="AG137" s="160"/>
      <c r="AH137" s="115"/>
      <c r="AI137" s="115"/>
      <c r="AJ137" s="115" t="s">
        <v>134</v>
      </c>
      <c r="AK137" s="115"/>
      <c r="AL137" s="115"/>
      <c r="AM137" s="115"/>
      <c r="AN137" s="115"/>
      <c r="AO137" s="133">
        <v>0</v>
      </c>
      <c r="AP137" s="133">
        <v>0</v>
      </c>
      <c r="AQ137" s="133">
        <v>0</v>
      </c>
      <c r="AR137" s="133">
        <v>0</v>
      </c>
      <c r="AS137" s="149" t="e">
        <f t="shared" si="24"/>
        <v>#DIV/0!</v>
      </c>
      <c r="AT137" s="141"/>
    </row>
    <row r="138" ht="59" customHeight="1" spans="1:46">
      <c r="A138" s="115" t="s">
        <v>349</v>
      </c>
      <c r="B138" s="115" t="s">
        <v>381</v>
      </c>
      <c r="C138" s="115" t="s">
        <v>202</v>
      </c>
      <c r="D138" s="116">
        <v>137</v>
      </c>
      <c r="E138" s="121" t="s">
        <v>572</v>
      </c>
      <c r="F138" s="121" t="s">
        <v>573</v>
      </c>
      <c r="G138" s="122"/>
      <c r="H138" s="122"/>
      <c r="I138" s="122"/>
      <c r="J138" s="122"/>
      <c r="K138" s="129">
        <v>0.5</v>
      </c>
      <c r="L138" s="130"/>
      <c r="M138" s="152"/>
      <c r="N138" s="128" t="s">
        <v>105</v>
      </c>
      <c r="O138" s="128"/>
      <c r="P138" s="128"/>
      <c r="Q138" s="128"/>
      <c r="R138" s="128"/>
      <c r="S138" s="128"/>
      <c r="T138" s="152"/>
      <c r="U138" s="152"/>
      <c r="V138" s="154">
        <v>3</v>
      </c>
      <c r="W138" s="154"/>
      <c r="X138" s="154"/>
      <c r="Y138" s="154"/>
      <c r="Z138" s="154"/>
      <c r="AA138" s="154"/>
      <c r="AB138" s="152"/>
      <c r="AC138" s="152"/>
      <c r="AD138" s="152"/>
      <c r="AE138" s="152"/>
      <c r="AF138" s="115"/>
      <c r="AG138" s="160"/>
      <c r="AH138" s="121"/>
      <c r="AI138" s="115"/>
      <c r="AJ138" s="115" t="s">
        <v>134</v>
      </c>
      <c r="AK138" s="115"/>
      <c r="AL138" s="115"/>
      <c r="AM138" s="115"/>
      <c r="AN138" s="115"/>
      <c r="AO138" s="133">
        <v>3</v>
      </c>
      <c r="AP138" s="131" t="s">
        <v>9</v>
      </c>
      <c r="AQ138" s="131" t="s">
        <v>9</v>
      </c>
      <c r="AR138" s="131" t="s">
        <v>9</v>
      </c>
      <c r="AS138" s="149" t="e">
        <f t="shared" si="24"/>
        <v>#VALUE!</v>
      </c>
      <c r="AT138" s="141"/>
    </row>
    <row r="139" ht="59" customHeight="1" spans="1:46">
      <c r="A139" s="115" t="s">
        <v>349</v>
      </c>
      <c r="B139" s="115" t="s">
        <v>381</v>
      </c>
      <c r="C139" s="115" t="s">
        <v>202</v>
      </c>
      <c r="D139" s="116">
        <v>138</v>
      </c>
      <c r="E139" s="121" t="s">
        <v>574</v>
      </c>
      <c r="F139" s="121" t="s">
        <v>575</v>
      </c>
      <c r="G139" s="122"/>
      <c r="H139" s="122"/>
      <c r="I139" s="122"/>
      <c r="J139" s="122"/>
      <c r="K139" s="129">
        <v>0.5</v>
      </c>
      <c r="L139" s="130"/>
      <c r="M139" s="152"/>
      <c r="N139" s="128" t="s">
        <v>105</v>
      </c>
      <c r="O139" s="128"/>
      <c r="P139" s="128"/>
      <c r="Q139" s="128"/>
      <c r="R139" s="128"/>
      <c r="S139" s="128"/>
      <c r="T139" s="152"/>
      <c r="U139" s="152"/>
      <c r="V139" s="154">
        <v>3</v>
      </c>
      <c r="W139" s="154"/>
      <c r="X139" s="154"/>
      <c r="Y139" s="154"/>
      <c r="Z139" s="154"/>
      <c r="AA139" s="154"/>
      <c r="AB139" s="152"/>
      <c r="AC139" s="152"/>
      <c r="AD139" s="152"/>
      <c r="AE139" s="152"/>
      <c r="AF139" s="115"/>
      <c r="AG139" s="160"/>
      <c r="AH139" s="121"/>
      <c r="AI139" s="115"/>
      <c r="AJ139" s="115" t="s">
        <v>134</v>
      </c>
      <c r="AK139" s="115"/>
      <c r="AL139" s="115"/>
      <c r="AM139" s="115"/>
      <c r="AN139" s="115"/>
      <c r="AO139" s="133">
        <v>0</v>
      </c>
      <c r="AP139" s="133">
        <v>0</v>
      </c>
      <c r="AQ139" s="133">
        <v>0</v>
      </c>
      <c r="AR139" s="133">
        <v>0</v>
      </c>
      <c r="AS139" s="149" t="e">
        <f t="shared" si="24"/>
        <v>#DIV/0!</v>
      </c>
      <c r="AT139" s="141"/>
    </row>
    <row r="140" ht="59" customHeight="1" spans="1:46">
      <c r="A140" s="115" t="s">
        <v>349</v>
      </c>
      <c r="B140" s="115" t="s">
        <v>381</v>
      </c>
      <c r="C140" s="115" t="s">
        <v>202</v>
      </c>
      <c r="D140" s="116">
        <v>139</v>
      </c>
      <c r="E140" s="121" t="s">
        <v>576</v>
      </c>
      <c r="F140" s="121" t="s">
        <v>577</v>
      </c>
      <c r="G140" s="122"/>
      <c r="H140" s="122"/>
      <c r="I140" s="122"/>
      <c r="J140" s="122"/>
      <c r="K140" s="129">
        <v>0.5</v>
      </c>
      <c r="L140" s="130"/>
      <c r="M140" s="152"/>
      <c r="N140" s="128" t="s">
        <v>105</v>
      </c>
      <c r="O140" s="128"/>
      <c r="P140" s="128"/>
      <c r="Q140" s="128"/>
      <c r="R140" s="128"/>
      <c r="S140" s="128"/>
      <c r="T140" s="152"/>
      <c r="U140" s="152"/>
      <c r="V140" s="154">
        <v>3</v>
      </c>
      <c r="W140" s="154"/>
      <c r="X140" s="154"/>
      <c r="Y140" s="154"/>
      <c r="Z140" s="154"/>
      <c r="AA140" s="154"/>
      <c r="AB140" s="152"/>
      <c r="AC140" s="152"/>
      <c r="AD140" s="152"/>
      <c r="AE140" s="152"/>
      <c r="AF140" s="115"/>
      <c r="AG140" s="160"/>
      <c r="AH140" s="121"/>
      <c r="AI140" s="115"/>
      <c r="AJ140" s="115" t="s">
        <v>134</v>
      </c>
      <c r="AK140" s="115"/>
      <c r="AL140" s="115"/>
      <c r="AM140" s="115"/>
      <c r="AN140" s="115"/>
      <c r="AO140" s="133">
        <v>3</v>
      </c>
      <c r="AP140" s="133">
        <v>1</v>
      </c>
      <c r="AQ140" s="133">
        <v>0</v>
      </c>
      <c r="AR140" s="133">
        <v>0</v>
      </c>
      <c r="AS140" s="149" t="e">
        <f t="shared" si="24"/>
        <v>#DIV/0!</v>
      </c>
      <c r="AT140" s="141"/>
    </row>
    <row r="141" ht="59" hidden="1" customHeight="1" spans="1:46">
      <c r="A141" s="115" t="s">
        <v>349</v>
      </c>
      <c r="B141" s="115" t="s">
        <v>102</v>
      </c>
      <c r="C141" s="115" t="s">
        <v>202</v>
      </c>
      <c r="D141" s="116">
        <v>140</v>
      </c>
      <c r="E141" s="115" t="s">
        <v>578</v>
      </c>
      <c r="F141" s="115" t="s">
        <v>578</v>
      </c>
      <c r="G141" s="151"/>
      <c r="H141" s="151"/>
      <c r="I141" s="151"/>
      <c r="J141" s="151"/>
      <c r="K141" s="129">
        <v>0.5</v>
      </c>
      <c r="L141" s="130"/>
      <c r="M141" s="152"/>
      <c r="N141" s="128" t="s">
        <v>105</v>
      </c>
      <c r="O141" s="128">
        <f t="shared" ref="O141:O152" si="25">R141*1.6</f>
        <v>3.2</v>
      </c>
      <c r="P141" s="128">
        <f t="shared" ref="P141:P152" si="26">R141*1.4</f>
        <v>2.8</v>
      </c>
      <c r="Q141" s="128">
        <f t="shared" ref="Q141:Q152" si="27">R141*1.2</f>
        <v>2.4</v>
      </c>
      <c r="R141" s="127">
        <v>2</v>
      </c>
      <c r="S141" s="128">
        <f t="shared" ref="S141:S152" si="28">R141*0.8</f>
        <v>1.6</v>
      </c>
      <c r="T141" s="152"/>
      <c r="U141" s="128" t="s">
        <v>188</v>
      </c>
      <c r="V141" s="154">
        <v>2</v>
      </c>
      <c r="W141" s="154"/>
      <c r="X141" s="154"/>
      <c r="Y141" s="154"/>
      <c r="Z141" s="154"/>
      <c r="AA141" s="154"/>
      <c r="AB141" s="152"/>
      <c r="AC141" s="152"/>
      <c r="AD141" s="152"/>
      <c r="AE141" s="152"/>
      <c r="AF141" s="115"/>
      <c r="AG141" s="160"/>
      <c r="AH141" s="121" t="s">
        <v>579</v>
      </c>
      <c r="AI141" s="115" t="s">
        <v>496</v>
      </c>
      <c r="AJ141" s="115" t="s">
        <v>580</v>
      </c>
      <c r="AK141" s="115"/>
      <c r="AL141" s="115"/>
      <c r="AM141" s="115"/>
      <c r="AN141" s="115"/>
      <c r="AO141" s="115"/>
      <c r="AP141" s="115"/>
      <c r="AQ141" s="141"/>
      <c r="AR141" s="141"/>
      <c r="AS141" s="141"/>
      <c r="AT141" s="141"/>
    </row>
    <row r="142" ht="59" hidden="1" customHeight="1" spans="1:46">
      <c r="A142" s="115" t="s">
        <v>349</v>
      </c>
      <c r="B142" s="115" t="s">
        <v>102</v>
      </c>
      <c r="C142" s="115" t="s">
        <v>202</v>
      </c>
      <c r="D142" s="116">
        <v>141</v>
      </c>
      <c r="E142" s="115" t="s">
        <v>581</v>
      </c>
      <c r="F142" s="115" t="s">
        <v>581</v>
      </c>
      <c r="G142" s="151"/>
      <c r="H142" s="151"/>
      <c r="I142" s="151"/>
      <c r="J142" s="151"/>
      <c r="K142" s="129">
        <v>0.5</v>
      </c>
      <c r="L142" s="130"/>
      <c r="M142" s="152"/>
      <c r="N142" s="128" t="s">
        <v>105</v>
      </c>
      <c r="O142" s="128">
        <f t="shared" si="25"/>
        <v>0.32</v>
      </c>
      <c r="P142" s="128">
        <f t="shared" si="26"/>
        <v>0.28</v>
      </c>
      <c r="Q142" s="128">
        <f t="shared" si="27"/>
        <v>0.24</v>
      </c>
      <c r="R142" s="127">
        <v>0.2</v>
      </c>
      <c r="S142" s="128">
        <f t="shared" si="28"/>
        <v>0.16</v>
      </c>
      <c r="T142" s="152"/>
      <c r="U142" s="128" t="s">
        <v>351</v>
      </c>
      <c r="V142" s="154">
        <v>2</v>
      </c>
      <c r="W142" s="154"/>
      <c r="X142" s="154"/>
      <c r="Y142" s="154"/>
      <c r="Z142" s="154"/>
      <c r="AA142" s="154"/>
      <c r="AB142" s="152"/>
      <c r="AC142" s="152"/>
      <c r="AD142" s="152"/>
      <c r="AE142" s="152"/>
      <c r="AF142" s="115"/>
      <c r="AG142" s="160"/>
      <c r="AH142" s="121" t="s">
        <v>582</v>
      </c>
      <c r="AI142" s="115" t="s">
        <v>496</v>
      </c>
      <c r="AJ142" s="115" t="s">
        <v>580</v>
      </c>
      <c r="AK142" s="115"/>
      <c r="AL142" s="115"/>
      <c r="AM142" s="115"/>
      <c r="AN142" s="115"/>
      <c r="AO142" s="115"/>
      <c r="AP142" s="115"/>
      <c r="AQ142" s="141"/>
      <c r="AR142" s="141"/>
      <c r="AS142" s="141"/>
      <c r="AT142" s="141"/>
    </row>
    <row r="143" ht="59" hidden="1" customHeight="1" spans="1:46">
      <c r="A143" s="115" t="s">
        <v>349</v>
      </c>
      <c r="B143" s="115" t="s">
        <v>102</v>
      </c>
      <c r="C143" s="115" t="s">
        <v>202</v>
      </c>
      <c r="D143" s="116">
        <v>142</v>
      </c>
      <c r="E143" s="115" t="s">
        <v>583</v>
      </c>
      <c r="F143" s="115" t="s">
        <v>583</v>
      </c>
      <c r="G143" s="151"/>
      <c r="H143" s="151"/>
      <c r="I143" s="151"/>
      <c r="J143" s="151"/>
      <c r="K143" s="129">
        <v>0.5</v>
      </c>
      <c r="L143" s="130"/>
      <c r="M143" s="152"/>
      <c r="N143" s="128" t="s">
        <v>105</v>
      </c>
      <c r="O143" s="128">
        <f t="shared" si="25"/>
        <v>3.2</v>
      </c>
      <c r="P143" s="128">
        <f t="shared" si="26"/>
        <v>2.8</v>
      </c>
      <c r="Q143" s="128">
        <f t="shared" si="27"/>
        <v>2.4</v>
      </c>
      <c r="R143" s="127">
        <v>2</v>
      </c>
      <c r="S143" s="128">
        <f t="shared" si="28"/>
        <v>1.6</v>
      </c>
      <c r="T143" s="152"/>
      <c r="U143" s="128" t="s">
        <v>188</v>
      </c>
      <c r="V143" s="154">
        <v>2</v>
      </c>
      <c r="W143" s="154"/>
      <c r="X143" s="154"/>
      <c r="Y143" s="154"/>
      <c r="Z143" s="154"/>
      <c r="AA143" s="154"/>
      <c r="AB143" s="152"/>
      <c r="AC143" s="152"/>
      <c r="AD143" s="152"/>
      <c r="AE143" s="152"/>
      <c r="AF143" s="115"/>
      <c r="AG143" s="160"/>
      <c r="AH143" s="121" t="s">
        <v>584</v>
      </c>
      <c r="AI143" s="115" t="s">
        <v>496</v>
      </c>
      <c r="AJ143" s="115" t="s">
        <v>580</v>
      </c>
      <c r="AK143" s="115"/>
      <c r="AL143" s="115"/>
      <c r="AM143" s="115"/>
      <c r="AN143" s="115"/>
      <c r="AO143" s="115"/>
      <c r="AP143" s="115"/>
      <c r="AQ143" s="141"/>
      <c r="AR143" s="141"/>
      <c r="AS143" s="141"/>
      <c r="AT143" s="141"/>
    </row>
    <row r="144" ht="59" hidden="1" customHeight="1" spans="1:46">
      <c r="A144" s="115" t="s">
        <v>349</v>
      </c>
      <c r="B144" s="115" t="s">
        <v>102</v>
      </c>
      <c r="C144" s="115" t="s">
        <v>202</v>
      </c>
      <c r="D144" s="116">
        <v>143</v>
      </c>
      <c r="E144" s="115" t="s">
        <v>585</v>
      </c>
      <c r="F144" s="115" t="s">
        <v>585</v>
      </c>
      <c r="G144" s="151"/>
      <c r="H144" s="151"/>
      <c r="I144" s="151"/>
      <c r="J144" s="151"/>
      <c r="K144" s="129">
        <v>0.5</v>
      </c>
      <c r="L144" s="130"/>
      <c r="M144" s="152"/>
      <c r="N144" s="128" t="s">
        <v>105</v>
      </c>
      <c r="O144" s="128">
        <f t="shared" si="25"/>
        <v>0.32</v>
      </c>
      <c r="P144" s="128">
        <f t="shared" si="26"/>
        <v>0.28</v>
      </c>
      <c r="Q144" s="128">
        <f t="shared" si="27"/>
        <v>0.24</v>
      </c>
      <c r="R144" s="127">
        <v>0.2</v>
      </c>
      <c r="S144" s="128">
        <f t="shared" si="28"/>
        <v>0.16</v>
      </c>
      <c r="T144" s="152"/>
      <c r="U144" s="128" t="s">
        <v>351</v>
      </c>
      <c r="V144" s="154">
        <v>2</v>
      </c>
      <c r="W144" s="154"/>
      <c r="X144" s="154"/>
      <c r="Y144" s="154"/>
      <c r="Z144" s="154"/>
      <c r="AA144" s="154"/>
      <c r="AB144" s="152"/>
      <c r="AC144" s="152"/>
      <c r="AD144" s="152"/>
      <c r="AE144" s="152"/>
      <c r="AF144" s="115"/>
      <c r="AG144" s="160"/>
      <c r="AH144" s="121" t="s">
        <v>586</v>
      </c>
      <c r="AI144" s="115" t="s">
        <v>496</v>
      </c>
      <c r="AJ144" s="170" t="s">
        <v>580</v>
      </c>
      <c r="AK144" s="115"/>
      <c r="AL144" s="115"/>
      <c r="AM144" s="115"/>
      <c r="AN144" s="115"/>
      <c r="AO144" s="115"/>
      <c r="AP144" s="115"/>
      <c r="AQ144" s="141"/>
      <c r="AR144" s="141"/>
      <c r="AS144" s="141"/>
      <c r="AT144" s="141"/>
    </row>
    <row r="145" ht="59" hidden="1" customHeight="1" spans="1:46">
      <c r="A145" s="115" t="s">
        <v>349</v>
      </c>
      <c r="B145" s="115" t="s">
        <v>102</v>
      </c>
      <c r="C145" s="115" t="s">
        <v>202</v>
      </c>
      <c r="D145" s="116">
        <v>144</v>
      </c>
      <c r="E145" s="115" t="s">
        <v>587</v>
      </c>
      <c r="F145" s="115" t="s">
        <v>587</v>
      </c>
      <c r="G145" s="151"/>
      <c r="H145" s="151"/>
      <c r="I145" s="151"/>
      <c r="J145" s="151"/>
      <c r="K145" s="129">
        <v>0.5</v>
      </c>
      <c r="L145" s="130"/>
      <c r="M145" s="152"/>
      <c r="N145" s="128" t="s">
        <v>105</v>
      </c>
      <c r="O145" s="128">
        <f t="shared" si="25"/>
        <v>0.32</v>
      </c>
      <c r="P145" s="128">
        <f t="shared" si="26"/>
        <v>0.28</v>
      </c>
      <c r="Q145" s="128">
        <f t="shared" si="27"/>
        <v>0.24</v>
      </c>
      <c r="R145" s="127">
        <v>0.2</v>
      </c>
      <c r="S145" s="128">
        <f t="shared" si="28"/>
        <v>0.16</v>
      </c>
      <c r="T145" s="152"/>
      <c r="U145" s="128" t="s">
        <v>351</v>
      </c>
      <c r="V145" s="157">
        <v>2</v>
      </c>
      <c r="W145" s="152"/>
      <c r="X145" s="152"/>
      <c r="Y145" s="152"/>
      <c r="Z145" s="152"/>
      <c r="AA145" s="152"/>
      <c r="AB145" s="115"/>
      <c r="AC145" s="115"/>
      <c r="AD145" s="115"/>
      <c r="AE145" s="115"/>
      <c r="AF145" s="115"/>
      <c r="AG145" s="160"/>
      <c r="AH145" s="121"/>
      <c r="AI145" s="171" t="s">
        <v>588</v>
      </c>
      <c r="AJ145" s="141" t="s">
        <v>580</v>
      </c>
      <c r="AK145" s="115"/>
      <c r="AL145" s="115"/>
      <c r="AM145" s="115"/>
      <c r="AN145" s="115"/>
      <c r="AO145" s="115"/>
      <c r="AP145" s="115"/>
      <c r="AQ145" s="141"/>
      <c r="AR145" s="141"/>
      <c r="AS145" s="141"/>
      <c r="AT145" s="141"/>
    </row>
    <row r="146" ht="59" hidden="1" customHeight="1" spans="1:46">
      <c r="A146" s="115" t="s">
        <v>349</v>
      </c>
      <c r="B146" s="115" t="s">
        <v>102</v>
      </c>
      <c r="C146" s="115" t="s">
        <v>202</v>
      </c>
      <c r="D146" s="116">
        <v>145</v>
      </c>
      <c r="E146" s="115" t="s">
        <v>589</v>
      </c>
      <c r="F146" s="115" t="s">
        <v>589</v>
      </c>
      <c r="G146" s="151"/>
      <c r="H146" s="151"/>
      <c r="I146" s="151"/>
      <c r="J146" s="151"/>
      <c r="K146" s="129">
        <v>0.5</v>
      </c>
      <c r="L146" s="130"/>
      <c r="M146" s="152"/>
      <c r="N146" s="128" t="s">
        <v>105</v>
      </c>
      <c r="O146" s="128">
        <f t="shared" si="25"/>
        <v>3.2</v>
      </c>
      <c r="P146" s="128">
        <f t="shared" si="26"/>
        <v>2.8</v>
      </c>
      <c r="Q146" s="128">
        <f t="shared" si="27"/>
        <v>2.4</v>
      </c>
      <c r="R146" s="127">
        <v>2</v>
      </c>
      <c r="S146" s="128">
        <f t="shared" si="28"/>
        <v>1.6</v>
      </c>
      <c r="T146" s="152"/>
      <c r="U146" s="128" t="s">
        <v>188</v>
      </c>
      <c r="V146" s="157">
        <v>2</v>
      </c>
      <c r="W146" s="152"/>
      <c r="X146" s="152"/>
      <c r="Y146" s="152"/>
      <c r="Z146" s="152"/>
      <c r="AA146" s="152"/>
      <c r="AB146" s="115"/>
      <c r="AC146" s="115"/>
      <c r="AD146" s="115"/>
      <c r="AE146" s="115"/>
      <c r="AF146" s="115"/>
      <c r="AG146" s="160"/>
      <c r="AH146" s="121"/>
      <c r="AI146" s="171" t="s">
        <v>590</v>
      </c>
      <c r="AJ146" s="141" t="s">
        <v>580</v>
      </c>
      <c r="AK146" s="115"/>
      <c r="AL146" s="115"/>
      <c r="AM146" s="115"/>
      <c r="AN146" s="115"/>
      <c r="AO146" s="115"/>
      <c r="AP146" s="115"/>
      <c r="AQ146" s="141"/>
      <c r="AR146" s="141"/>
      <c r="AS146" s="141"/>
      <c r="AT146" s="141"/>
    </row>
    <row r="147" ht="59" hidden="1" customHeight="1" spans="1:46">
      <c r="A147" s="115" t="s">
        <v>349</v>
      </c>
      <c r="B147" s="115" t="s">
        <v>102</v>
      </c>
      <c r="C147" s="115" t="s">
        <v>202</v>
      </c>
      <c r="D147" s="116">
        <v>146</v>
      </c>
      <c r="E147" s="115" t="s">
        <v>591</v>
      </c>
      <c r="F147" s="115" t="s">
        <v>591</v>
      </c>
      <c r="G147" s="151"/>
      <c r="H147" s="151"/>
      <c r="I147" s="151"/>
      <c r="J147" s="151"/>
      <c r="K147" s="129">
        <v>0.5</v>
      </c>
      <c r="L147" s="130"/>
      <c r="M147" s="152"/>
      <c r="N147" s="128" t="s">
        <v>105</v>
      </c>
      <c r="O147" s="128">
        <f t="shared" si="25"/>
        <v>0.32</v>
      </c>
      <c r="P147" s="128">
        <f t="shared" si="26"/>
        <v>0.28</v>
      </c>
      <c r="Q147" s="128">
        <f t="shared" si="27"/>
        <v>0.24</v>
      </c>
      <c r="R147" s="127">
        <v>0.2</v>
      </c>
      <c r="S147" s="128">
        <f t="shared" si="28"/>
        <v>0.16</v>
      </c>
      <c r="T147" s="152"/>
      <c r="U147" s="128" t="s">
        <v>188</v>
      </c>
      <c r="V147" s="154">
        <v>2</v>
      </c>
      <c r="W147" s="154"/>
      <c r="X147" s="154"/>
      <c r="Y147" s="154"/>
      <c r="Z147" s="154"/>
      <c r="AA147" s="154"/>
      <c r="AB147" s="152"/>
      <c r="AC147" s="152"/>
      <c r="AD147" s="152"/>
      <c r="AE147" s="152"/>
      <c r="AF147" s="115"/>
      <c r="AG147" s="160"/>
      <c r="AH147" s="121" t="s">
        <v>592</v>
      </c>
      <c r="AI147" s="115" t="s">
        <v>496</v>
      </c>
      <c r="AJ147" s="172" t="s">
        <v>580</v>
      </c>
      <c r="AK147" s="115"/>
      <c r="AL147" s="115"/>
      <c r="AM147" s="115"/>
      <c r="AN147" s="115"/>
      <c r="AO147" s="115"/>
      <c r="AP147" s="115"/>
      <c r="AQ147" s="141"/>
      <c r="AR147" s="141"/>
      <c r="AS147" s="141"/>
      <c r="AT147" s="141"/>
    </row>
    <row r="148" ht="59" hidden="1" customHeight="1" spans="1:46">
      <c r="A148" s="115" t="s">
        <v>349</v>
      </c>
      <c r="B148" s="115" t="s">
        <v>102</v>
      </c>
      <c r="C148" s="115" t="s">
        <v>202</v>
      </c>
      <c r="D148" s="116">
        <v>147</v>
      </c>
      <c r="E148" s="115" t="s">
        <v>593</v>
      </c>
      <c r="F148" s="115" t="s">
        <v>593</v>
      </c>
      <c r="G148" s="151"/>
      <c r="H148" s="151"/>
      <c r="I148" s="151"/>
      <c r="J148" s="151"/>
      <c r="K148" s="129">
        <v>0.5</v>
      </c>
      <c r="L148" s="130"/>
      <c r="M148" s="152"/>
      <c r="N148" s="128" t="s">
        <v>105</v>
      </c>
      <c r="O148" s="128">
        <f t="shared" si="25"/>
        <v>0.32</v>
      </c>
      <c r="P148" s="128">
        <f t="shared" si="26"/>
        <v>0.28</v>
      </c>
      <c r="Q148" s="128">
        <f t="shared" si="27"/>
        <v>0.24</v>
      </c>
      <c r="R148" s="127">
        <v>0.2</v>
      </c>
      <c r="S148" s="128">
        <f t="shared" si="28"/>
        <v>0.16</v>
      </c>
      <c r="T148" s="152"/>
      <c r="U148" s="128" t="s">
        <v>351</v>
      </c>
      <c r="V148" s="154">
        <v>2</v>
      </c>
      <c r="W148" s="154"/>
      <c r="X148" s="154"/>
      <c r="Y148" s="154"/>
      <c r="Z148" s="154"/>
      <c r="AA148" s="154"/>
      <c r="AB148" s="152"/>
      <c r="AC148" s="152"/>
      <c r="AD148" s="152"/>
      <c r="AE148" s="152"/>
      <c r="AF148" s="115"/>
      <c r="AG148" s="160"/>
      <c r="AH148" s="121" t="s">
        <v>594</v>
      </c>
      <c r="AI148" s="115" t="s">
        <v>496</v>
      </c>
      <c r="AJ148" s="115" t="s">
        <v>580</v>
      </c>
      <c r="AK148" s="115"/>
      <c r="AL148" s="115"/>
      <c r="AM148" s="115"/>
      <c r="AN148" s="115"/>
      <c r="AO148" s="115"/>
      <c r="AP148" s="115"/>
      <c r="AQ148" s="141"/>
      <c r="AR148" s="141"/>
      <c r="AS148" s="141"/>
      <c r="AT148" s="141"/>
    </row>
    <row r="149" ht="59" hidden="1" customHeight="1" spans="1:46">
      <c r="A149" s="115" t="s">
        <v>349</v>
      </c>
      <c r="B149" s="115" t="s">
        <v>102</v>
      </c>
      <c r="C149" s="115" t="s">
        <v>202</v>
      </c>
      <c r="D149" s="116">
        <v>148</v>
      </c>
      <c r="E149" s="115" t="s">
        <v>595</v>
      </c>
      <c r="F149" s="115" t="s">
        <v>595</v>
      </c>
      <c r="G149" s="151"/>
      <c r="H149" s="151"/>
      <c r="I149" s="151"/>
      <c r="J149" s="151"/>
      <c r="K149" s="129">
        <v>0.5</v>
      </c>
      <c r="L149" s="130"/>
      <c r="M149" s="152"/>
      <c r="N149" s="128" t="s">
        <v>105</v>
      </c>
      <c r="O149" s="128">
        <f t="shared" si="25"/>
        <v>3.2</v>
      </c>
      <c r="P149" s="128">
        <f t="shared" si="26"/>
        <v>2.8</v>
      </c>
      <c r="Q149" s="128">
        <f t="shared" si="27"/>
        <v>2.4</v>
      </c>
      <c r="R149" s="127">
        <v>2</v>
      </c>
      <c r="S149" s="128">
        <f t="shared" si="28"/>
        <v>1.6</v>
      </c>
      <c r="T149" s="152"/>
      <c r="U149" s="128" t="s">
        <v>188</v>
      </c>
      <c r="V149" s="154">
        <v>2</v>
      </c>
      <c r="W149" s="154"/>
      <c r="X149" s="154"/>
      <c r="Y149" s="154"/>
      <c r="Z149" s="154"/>
      <c r="AA149" s="154"/>
      <c r="AB149" s="152"/>
      <c r="AC149" s="152"/>
      <c r="AD149" s="152"/>
      <c r="AE149" s="152"/>
      <c r="AF149" s="115"/>
      <c r="AG149" s="160"/>
      <c r="AH149" s="121" t="s">
        <v>596</v>
      </c>
      <c r="AI149" s="115" t="s">
        <v>496</v>
      </c>
      <c r="AJ149" s="115" t="s">
        <v>580</v>
      </c>
      <c r="AK149" s="115"/>
      <c r="AL149" s="115"/>
      <c r="AM149" s="115"/>
      <c r="AN149" s="115"/>
      <c r="AO149" s="115"/>
      <c r="AP149" s="115"/>
      <c r="AQ149" s="141"/>
      <c r="AR149" s="141"/>
      <c r="AS149" s="141"/>
      <c r="AT149" s="141"/>
    </row>
    <row r="150" ht="59" hidden="1" customHeight="1" spans="1:46">
      <c r="A150" s="115" t="s">
        <v>349</v>
      </c>
      <c r="B150" s="115" t="s">
        <v>102</v>
      </c>
      <c r="C150" s="115" t="s">
        <v>202</v>
      </c>
      <c r="D150" s="116">
        <v>149</v>
      </c>
      <c r="E150" s="115" t="s">
        <v>597</v>
      </c>
      <c r="F150" s="115" t="s">
        <v>597</v>
      </c>
      <c r="G150" s="151"/>
      <c r="H150" s="151"/>
      <c r="I150" s="151"/>
      <c r="J150" s="151"/>
      <c r="K150" s="129">
        <v>0.5</v>
      </c>
      <c r="L150" s="130"/>
      <c r="M150" s="152"/>
      <c r="N150" s="128" t="s">
        <v>105</v>
      </c>
      <c r="O150" s="128">
        <f t="shared" si="25"/>
        <v>0.32</v>
      </c>
      <c r="P150" s="128">
        <f t="shared" si="26"/>
        <v>0.28</v>
      </c>
      <c r="Q150" s="128">
        <f t="shared" si="27"/>
        <v>0.24</v>
      </c>
      <c r="R150" s="127">
        <v>0.2</v>
      </c>
      <c r="S150" s="128">
        <f t="shared" si="28"/>
        <v>0.16</v>
      </c>
      <c r="T150" s="152"/>
      <c r="U150" s="128" t="s">
        <v>351</v>
      </c>
      <c r="V150" s="154">
        <v>2</v>
      </c>
      <c r="W150" s="154"/>
      <c r="X150" s="154"/>
      <c r="Y150" s="154"/>
      <c r="Z150" s="154"/>
      <c r="AA150" s="154"/>
      <c r="AB150" s="152"/>
      <c r="AC150" s="152"/>
      <c r="AD150" s="152"/>
      <c r="AE150" s="152"/>
      <c r="AF150" s="115"/>
      <c r="AG150" s="160"/>
      <c r="AH150" s="121" t="s">
        <v>598</v>
      </c>
      <c r="AI150" s="115" t="s">
        <v>496</v>
      </c>
      <c r="AJ150" s="115" t="s">
        <v>580</v>
      </c>
      <c r="AK150" s="115"/>
      <c r="AL150" s="115"/>
      <c r="AM150" s="115"/>
      <c r="AN150" s="115"/>
      <c r="AO150" s="115"/>
      <c r="AP150" s="115"/>
      <c r="AQ150" s="141"/>
      <c r="AR150" s="141"/>
      <c r="AS150" s="141"/>
      <c r="AT150" s="141"/>
    </row>
    <row r="151" ht="59" hidden="1" customHeight="1" spans="1:46">
      <c r="A151" s="115" t="s">
        <v>349</v>
      </c>
      <c r="B151" s="115" t="s">
        <v>102</v>
      </c>
      <c r="C151" s="115" t="s">
        <v>202</v>
      </c>
      <c r="D151" s="116">
        <v>150</v>
      </c>
      <c r="E151" s="115" t="s">
        <v>599</v>
      </c>
      <c r="F151" s="115" t="s">
        <v>599</v>
      </c>
      <c r="G151" s="151"/>
      <c r="H151" s="151"/>
      <c r="I151" s="151"/>
      <c r="J151" s="151"/>
      <c r="K151" s="129">
        <v>0.5</v>
      </c>
      <c r="L151" s="130"/>
      <c r="M151" s="152"/>
      <c r="N151" s="128" t="s">
        <v>105</v>
      </c>
      <c r="O151" s="128">
        <f t="shared" si="25"/>
        <v>3.2</v>
      </c>
      <c r="P151" s="128">
        <f t="shared" si="26"/>
        <v>2.8</v>
      </c>
      <c r="Q151" s="128">
        <f t="shared" si="27"/>
        <v>2.4</v>
      </c>
      <c r="R151" s="127">
        <v>2</v>
      </c>
      <c r="S151" s="128">
        <f t="shared" si="28"/>
        <v>1.6</v>
      </c>
      <c r="T151" s="152"/>
      <c r="U151" s="128" t="s">
        <v>188</v>
      </c>
      <c r="V151" s="154">
        <v>2</v>
      </c>
      <c r="W151" s="154"/>
      <c r="X151" s="154"/>
      <c r="Y151" s="154"/>
      <c r="Z151" s="154"/>
      <c r="AA151" s="154"/>
      <c r="AB151" s="152"/>
      <c r="AC151" s="152"/>
      <c r="AD151" s="152"/>
      <c r="AE151" s="152"/>
      <c r="AF151" s="115"/>
      <c r="AG151" s="139"/>
      <c r="AH151" s="121" t="s">
        <v>600</v>
      </c>
      <c r="AI151" s="121" t="s">
        <v>601</v>
      </c>
      <c r="AJ151" s="115" t="s">
        <v>580</v>
      </c>
      <c r="AK151" s="115"/>
      <c r="AL151" s="115"/>
      <c r="AM151" s="115"/>
      <c r="AN151" s="115"/>
      <c r="AO151" s="115"/>
      <c r="AP151" s="115"/>
      <c r="AQ151" s="141"/>
      <c r="AR151" s="141"/>
      <c r="AS151" s="141"/>
      <c r="AT151" s="141"/>
    </row>
    <row r="152" ht="59" hidden="1" customHeight="1" spans="1:46">
      <c r="A152" s="115" t="s">
        <v>349</v>
      </c>
      <c r="B152" s="115" t="s">
        <v>102</v>
      </c>
      <c r="C152" s="115" t="s">
        <v>202</v>
      </c>
      <c r="D152" s="116">
        <v>151</v>
      </c>
      <c r="E152" s="115" t="s">
        <v>602</v>
      </c>
      <c r="F152" s="115" t="s">
        <v>602</v>
      </c>
      <c r="G152" s="151"/>
      <c r="H152" s="151"/>
      <c r="I152" s="151"/>
      <c r="J152" s="151"/>
      <c r="K152" s="129">
        <v>0.5</v>
      </c>
      <c r="L152" s="130"/>
      <c r="M152" s="152"/>
      <c r="N152" s="128" t="s">
        <v>105</v>
      </c>
      <c r="O152" s="128">
        <f t="shared" si="25"/>
        <v>0.32</v>
      </c>
      <c r="P152" s="128">
        <f t="shared" si="26"/>
        <v>0.28</v>
      </c>
      <c r="Q152" s="128">
        <f t="shared" si="27"/>
        <v>0.24</v>
      </c>
      <c r="R152" s="127">
        <v>0.2</v>
      </c>
      <c r="S152" s="128">
        <f t="shared" si="28"/>
        <v>0.16</v>
      </c>
      <c r="T152" s="152"/>
      <c r="U152" s="128" t="s">
        <v>351</v>
      </c>
      <c r="V152" s="154">
        <v>2</v>
      </c>
      <c r="W152" s="154"/>
      <c r="X152" s="154"/>
      <c r="Y152" s="154"/>
      <c r="Z152" s="154"/>
      <c r="AA152" s="154"/>
      <c r="AB152" s="152"/>
      <c r="AC152" s="152"/>
      <c r="AD152" s="152"/>
      <c r="AE152" s="152"/>
      <c r="AF152" s="115"/>
      <c r="AG152" s="115" t="s">
        <v>603</v>
      </c>
      <c r="AH152" s="115"/>
      <c r="AI152" s="115"/>
      <c r="AJ152" s="115" t="s">
        <v>580</v>
      </c>
      <c r="AK152" s="115"/>
      <c r="AL152" s="115"/>
      <c r="AM152" s="115"/>
      <c r="AN152" s="115"/>
      <c r="AO152" s="115"/>
      <c r="AP152" s="115"/>
      <c r="AQ152" s="141"/>
      <c r="AR152" s="141"/>
      <c r="AS152" s="141"/>
      <c r="AT152" s="141"/>
    </row>
    <row r="153" ht="50" hidden="1" customHeight="1" spans="1:46">
      <c r="A153" s="115" t="s">
        <v>349</v>
      </c>
      <c r="B153" s="115" t="s">
        <v>381</v>
      </c>
      <c r="C153" s="115" t="s">
        <v>202</v>
      </c>
      <c r="D153" s="116">
        <v>152</v>
      </c>
      <c r="E153" s="115" t="s">
        <v>604</v>
      </c>
      <c r="F153" s="115" t="s">
        <v>604</v>
      </c>
      <c r="G153" s="151"/>
      <c r="H153" s="151"/>
      <c r="I153" s="151"/>
      <c r="J153" s="151"/>
      <c r="K153" s="129">
        <v>0.5</v>
      </c>
      <c r="L153" s="130"/>
      <c r="M153" s="152"/>
      <c r="N153" s="128" t="s">
        <v>105</v>
      </c>
      <c r="O153" s="128"/>
      <c r="P153" s="128"/>
      <c r="Q153" s="128"/>
      <c r="R153" s="128"/>
      <c r="S153" s="128"/>
      <c r="T153" s="152"/>
      <c r="U153" s="128"/>
      <c r="V153" s="154">
        <v>3</v>
      </c>
      <c r="W153" s="154"/>
      <c r="X153" s="154"/>
      <c r="Y153" s="154"/>
      <c r="Z153" s="154"/>
      <c r="AA153" s="154"/>
      <c r="AB153" s="152"/>
      <c r="AC153" s="152"/>
      <c r="AD153" s="152"/>
      <c r="AE153" s="152"/>
      <c r="AF153" s="115"/>
      <c r="AG153" s="160"/>
      <c r="AH153" s="121" t="s">
        <v>605</v>
      </c>
      <c r="AI153" s="121" t="s">
        <v>606</v>
      </c>
      <c r="AJ153" s="115" t="s">
        <v>580</v>
      </c>
      <c r="AK153" s="115"/>
      <c r="AL153" s="115"/>
      <c r="AM153" s="115"/>
      <c r="AN153" s="115"/>
      <c r="AO153" s="115"/>
      <c r="AP153" s="115"/>
      <c r="AQ153" s="141"/>
      <c r="AR153" s="141"/>
      <c r="AS153" s="141"/>
      <c r="AT153" s="141"/>
    </row>
    <row r="154" ht="58" hidden="1" customHeight="1" spans="1:46">
      <c r="A154" s="115" t="s">
        <v>349</v>
      </c>
      <c r="B154" s="115" t="s">
        <v>381</v>
      </c>
      <c r="C154" s="115" t="s">
        <v>202</v>
      </c>
      <c r="D154" s="116">
        <v>153</v>
      </c>
      <c r="E154" s="115" t="s">
        <v>607</v>
      </c>
      <c r="F154" s="115" t="s">
        <v>607</v>
      </c>
      <c r="G154" s="151"/>
      <c r="H154" s="151"/>
      <c r="I154" s="151"/>
      <c r="J154" s="151"/>
      <c r="K154" s="129">
        <v>0.5</v>
      </c>
      <c r="L154" s="130"/>
      <c r="M154" s="152"/>
      <c r="N154" s="128" t="s">
        <v>105</v>
      </c>
      <c r="O154" s="128"/>
      <c r="P154" s="128"/>
      <c r="Q154" s="128"/>
      <c r="R154" s="128"/>
      <c r="S154" s="128"/>
      <c r="T154" s="152"/>
      <c r="U154" s="128"/>
      <c r="V154" s="154">
        <v>3</v>
      </c>
      <c r="W154" s="154"/>
      <c r="X154" s="154"/>
      <c r="Y154" s="154"/>
      <c r="Z154" s="154"/>
      <c r="AA154" s="154"/>
      <c r="AB154" s="152"/>
      <c r="AC154" s="152"/>
      <c r="AD154" s="152"/>
      <c r="AE154" s="152"/>
      <c r="AF154" s="115"/>
      <c r="AG154" s="160"/>
      <c r="AH154" s="121" t="s">
        <v>608</v>
      </c>
      <c r="AI154" s="121" t="s">
        <v>606</v>
      </c>
      <c r="AJ154" s="115" t="s">
        <v>580</v>
      </c>
      <c r="AK154" s="115"/>
      <c r="AL154" s="115"/>
      <c r="AM154" s="115"/>
      <c r="AN154" s="115"/>
      <c r="AO154" s="115"/>
      <c r="AP154" s="115"/>
      <c r="AQ154" s="141"/>
      <c r="AR154" s="141"/>
      <c r="AS154" s="141"/>
      <c r="AT154" s="141"/>
    </row>
    <row r="155" ht="58" hidden="1" customHeight="1" spans="1:46">
      <c r="A155" s="115" t="s">
        <v>349</v>
      </c>
      <c r="B155" s="115" t="s">
        <v>381</v>
      </c>
      <c r="C155" s="115" t="s">
        <v>202</v>
      </c>
      <c r="D155" s="116">
        <v>154</v>
      </c>
      <c r="E155" s="115" t="s">
        <v>609</v>
      </c>
      <c r="F155" s="115" t="s">
        <v>609</v>
      </c>
      <c r="G155" s="151"/>
      <c r="H155" s="151"/>
      <c r="I155" s="151"/>
      <c r="J155" s="151"/>
      <c r="K155" s="129">
        <v>0.5</v>
      </c>
      <c r="L155" s="130"/>
      <c r="M155" s="152"/>
      <c r="N155" s="128" t="s">
        <v>105</v>
      </c>
      <c r="O155" s="128"/>
      <c r="P155" s="128"/>
      <c r="Q155" s="128"/>
      <c r="R155" s="128"/>
      <c r="S155" s="128"/>
      <c r="T155" s="152"/>
      <c r="U155" s="152"/>
      <c r="V155" s="154">
        <v>3</v>
      </c>
      <c r="W155" s="154"/>
      <c r="X155" s="154"/>
      <c r="Y155" s="154"/>
      <c r="Z155" s="154"/>
      <c r="AA155" s="154"/>
      <c r="AB155" s="152"/>
      <c r="AC155" s="152"/>
      <c r="AD155" s="152"/>
      <c r="AE155" s="152"/>
      <c r="AF155" s="115"/>
      <c r="AG155" s="160"/>
      <c r="AH155" s="121" t="s">
        <v>610</v>
      </c>
      <c r="AI155" s="121" t="s">
        <v>606</v>
      </c>
      <c r="AJ155" s="115" t="s">
        <v>580</v>
      </c>
      <c r="AK155" s="115"/>
      <c r="AL155" s="115"/>
      <c r="AM155" s="115"/>
      <c r="AN155" s="115"/>
      <c r="AO155" s="115"/>
      <c r="AP155" s="115"/>
      <c r="AQ155" s="141"/>
      <c r="AR155" s="141"/>
      <c r="AS155" s="141"/>
      <c r="AT155" s="141"/>
    </row>
    <row r="156" ht="67" hidden="1" customHeight="1" spans="1:46">
      <c r="A156" s="115" t="s">
        <v>349</v>
      </c>
      <c r="B156" s="115" t="s">
        <v>381</v>
      </c>
      <c r="C156" s="115" t="s">
        <v>202</v>
      </c>
      <c r="D156" s="116">
        <v>155</v>
      </c>
      <c r="E156" s="115" t="s">
        <v>611</v>
      </c>
      <c r="F156" s="115" t="s">
        <v>611</v>
      </c>
      <c r="G156" s="151"/>
      <c r="H156" s="151"/>
      <c r="I156" s="151"/>
      <c r="J156" s="151"/>
      <c r="K156" s="129">
        <v>0.5</v>
      </c>
      <c r="L156" s="130"/>
      <c r="M156" s="152"/>
      <c r="N156" s="128" t="s">
        <v>105</v>
      </c>
      <c r="O156" s="128"/>
      <c r="P156" s="128"/>
      <c r="Q156" s="128"/>
      <c r="R156" s="128"/>
      <c r="S156" s="128"/>
      <c r="T156" s="152"/>
      <c r="U156" s="152"/>
      <c r="V156" s="154">
        <v>3</v>
      </c>
      <c r="W156" s="154"/>
      <c r="X156" s="154"/>
      <c r="Y156" s="154"/>
      <c r="Z156" s="154"/>
      <c r="AA156" s="154"/>
      <c r="AB156" s="152"/>
      <c r="AC156" s="152"/>
      <c r="AD156" s="152"/>
      <c r="AE156" s="152"/>
      <c r="AF156" s="115"/>
      <c r="AG156" s="160"/>
      <c r="AH156" s="121" t="s">
        <v>612</v>
      </c>
      <c r="AI156" s="121" t="s">
        <v>606</v>
      </c>
      <c r="AJ156" s="115" t="s">
        <v>580</v>
      </c>
      <c r="AK156" s="115"/>
      <c r="AL156" s="115"/>
      <c r="AM156" s="115"/>
      <c r="AN156" s="115"/>
      <c r="AO156" s="115"/>
      <c r="AP156" s="115"/>
      <c r="AQ156" s="141"/>
      <c r="AR156" s="141"/>
      <c r="AS156" s="141"/>
      <c r="AT156" s="141"/>
    </row>
    <row r="157" ht="43" hidden="1" customHeight="1" spans="1:46">
      <c r="A157" s="115" t="s">
        <v>349</v>
      </c>
      <c r="B157" s="115" t="s">
        <v>381</v>
      </c>
      <c r="C157" s="115" t="s">
        <v>202</v>
      </c>
      <c r="D157" s="116">
        <v>156</v>
      </c>
      <c r="E157" s="115" t="s">
        <v>613</v>
      </c>
      <c r="F157" s="115" t="s">
        <v>613</v>
      </c>
      <c r="G157" s="151"/>
      <c r="H157" s="151"/>
      <c r="I157" s="151"/>
      <c r="J157" s="151"/>
      <c r="K157" s="129">
        <v>0.5</v>
      </c>
      <c r="L157" s="130"/>
      <c r="M157" s="152"/>
      <c r="N157" s="128" t="s">
        <v>105</v>
      </c>
      <c r="O157" s="128"/>
      <c r="P157" s="128"/>
      <c r="Q157" s="128"/>
      <c r="R157" s="128"/>
      <c r="S157" s="128"/>
      <c r="T157" s="152"/>
      <c r="U157" s="152"/>
      <c r="V157" s="154">
        <v>3</v>
      </c>
      <c r="W157" s="154"/>
      <c r="X157" s="154"/>
      <c r="Y157" s="154"/>
      <c r="Z157" s="154"/>
      <c r="AA157" s="154"/>
      <c r="AB157" s="152"/>
      <c r="AC157" s="152"/>
      <c r="AD157" s="152"/>
      <c r="AE157" s="152"/>
      <c r="AF157" s="115"/>
      <c r="AG157" s="160"/>
      <c r="AH157" s="121" t="s">
        <v>614</v>
      </c>
      <c r="AI157" s="115" t="s">
        <v>606</v>
      </c>
      <c r="AJ157" s="115" t="s">
        <v>580</v>
      </c>
      <c r="AK157" s="115"/>
      <c r="AL157" s="115"/>
      <c r="AM157" s="115"/>
      <c r="AN157" s="115"/>
      <c r="AO157" s="115"/>
      <c r="AP157" s="115"/>
      <c r="AQ157" s="141"/>
      <c r="AR157" s="141"/>
      <c r="AS157" s="141"/>
      <c r="AT157" s="141"/>
    </row>
    <row r="158" ht="23.2" spans="1:46">
      <c r="A158" s="167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8"/>
      <c r="AG158" s="173"/>
      <c r="AH158" s="168"/>
      <c r="AI158" s="168"/>
      <c r="AJ158" s="43"/>
      <c r="AK158" s="43"/>
      <c r="AL158" s="43"/>
      <c r="AM158" s="43"/>
      <c r="AN158" s="43"/>
      <c r="AO158" s="43"/>
      <c r="AP158" s="174"/>
      <c r="AQ158" s="175"/>
      <c r="AR158" s="167"/>
      <c r="AS158" s="167"/>
      <c r="AT158" s="167"/>
    </row>
    <row r="159" ht="23.2" spans="1:46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8"/>
      <c r="AG159" s="173"/>
      <c r="AH159" s="168"/>
      <c r="AI159" s="168"/>
      <c r="AJ159" s="43"/>
      <c r="AK159" s="43"/>
      <c r="AL159" s="43"/>
      <c r="AM159" s="43"/>
      <c r="AN159" s="43"/>
      <c r="AO159" s="43"/>
      <c r="AP159" s="174"/>
      <c r="AQ159" s="175"/>
      <c r="AR159" s="167"/>
      <c r="AS159" s="167"/>
      <c r="AT159" s="167"/>
    </row>
    <row r="160" ht="23.2" spans="1:46">
      <c r="A160" s="167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8"/>
      <c r="AG160" s="173"/>
      <c r="AH160" s="168"/>
      <c r="AI160" s="168"/>
      <c r="AJ160" s="43"/>
      <c r="AK160" s="43"/>
      <c r="AL160" s="43"/>
      <c r="AM160" s="43"/>
      <c r="AN160" s="43"/>
      <c r="AO160" s="43"/>
      <c r="AP160" s="174"/>
      <c r="AQ160" s="175"/>
      <c r="AR160" s="167"/>
      <c r="AS160" s="167"/>
      <c r="AT160" s="167"/>
    </row>
    <row r="161" ht="23.2" spans="1:46">
      <c r="A161" s="167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  <c r="AF161" s="168"/>
      <c r="AG161" s="173"/>
      <c r="AH161" s="168"/>
      <c r="AI161" s="168"/>
      <c r="AJ161" s="43"/>
      <c r="AK161" s="43"/>
      <c r="AL161" s="43"/>
      <c r="AM161" s="43"/>
      <c r="AN161" s="43"/>
      <c r="AO161" s="43"/>
      <c r="AP161" s="174"/>
      <c r="AQ161" s="175"/>
      <c r="AR161" s="167"/>
      <c r="AS161" s="167"/>
      <c r="AT161" s="167"/>
    </row>
    <row r="162" ht="23.2" spans="1:46">
      <c r="A162" s="167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8"/>
      <c r="AG162" s="173"/>
      <c r="AH162" s="168"/>
      <c r="AI162" s="168"/>
      <c r="AJ162" s="43"/>
      <c r="AK162" s="43"/>
      <c r="AL162" s="43"/>
      <c r="AM162" s="43"/>
      <c r="AN162" s="43"/>
      <c r="AO162" s="43"/>
      <c r="AP162" s="174"/>
      <c r="AQ162" s="175"/>
      <c r="AR162" s="167"/>
      <c r="AS162" s="167"/>
      <c r="AT162" s="167"/>
    </row>
    <row r="163" ht="23.2" spans="1:46">
      <c r="A163" s="167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  <c r="AF163" s="168"/>
      <c r="AG163" s="173"/>
      <c r="AH163" s="168"/>
      <c r="AI163" s="168"/>
      <c r="AJ163" s="43"/>
      <c r="AK163" s="43"/>
      <c r="AL163" s="43"/>
      <c r="AM163" s="43"/>
      <c r="AN163" s="43"/>
      <c r="AO163" s="43"/>
      <c r="AP163" s="174"/>
      <c r="AQ163" s="175"/>
      <c r="AR163" s="167"/>
      <c r="AS163" s="167"/>
      <c r="AT163" s="167"/>
    </row>
    <row r="164" ht="23.2" spans="1:46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8"/>
      <c r="AG164" s="173"/>
      <c r="AH164" s="168"/>
      <c r="AI164" s="168"/>
      <c r="AJ164" s="43"/>
      <c r="AK164" s="43"/>
      <c r="AL164" s="43"/>
      <c r="AM164" s="43"/>
      <c r="AN164" s="43"/>
      <c r="AO164" s="43"/>
      <c r="AP164" s="174"/>
      <c r="AQ164" s="175"/>
      <c r="AR164" s="167"/>
      <c r="AS164" s="167"/>
      <c r="AT164" s="167"/>
    </row>
    <row r="165" ht="23.2" spans="1:46">
      <c r="A165" s="167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8"/>
      <c r="AG165" s="173"/>
      <c r="AH165" s="168"/>
      <c r="AI165" s="168"/>
      <c r="AJ165" s="43"/>
      <c r="AK165" s="43"/>
      <c r="AL165" s="43"/>
      <c r="AM165" s="43"/>
      <c r="AN165" s="43"/>
      <c r="AO165" s="43"/>
      <c r="AP165" s="174"/>
      <c r="AQ165" s="175"/>
      <c r="AR165" s="167"/>
      <c r="AS165" s="167"/>
      <c r="AT165" s="167"/>
    </row>
    <row r="166" ht="23.2" spans="1:46">
      <c r="A166" s="167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8"/>
      <c r="AG166" s="173"/>
      <c r="AH166" s="168"/>
      <c r="AI166" s="168"/>
      <c r="AJ166" s="43"/>
      <c r="AK166" s="43"/>
      <c r="AL166" s="43"/>
      <c r="AM166" s="43"/>
      <c r="AN166" s="43"/>
      <c r="AO166" s="43"/>
      <c r="AP166" s="174"/>
      <c r="AQ166" s="175"/>
      <c r="AR166" s="167"/>
      <c r="AS166" s="167"/>
      <c r="AT166" s="167"/>
    </row>
    <row r="167" ht="23.2" spans="1:46">
      <c r="A167" s="167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  <c r="AF167" s="168"/>
      <c r="AG167" s="173"/>
      <c r="AH167" s="168"/>
      <c r="AI167" s="168"/>
      <c r="AJ167" s="43"/>
      <c r="AK167" s="43"/>
      <c r="AL167" s="43"/>
      <c r="AM167" s="43"/>
      <c r="AN167" s="43"/>
      <c r="AO167" s="43"/>
      <c r="AP167" s="174"/>
      <c r="AQ167" s="175"/>
      <c r="AR167" s="167"/>
      <c r="AS167" s="167"/>
      <c r="AT167" s="167"/>
    </row>
    <row r="168" ht="23.2" spans="1:46">
      <c r="A168" s="167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8"/>
      <c r="AG168" s="173"/>
      <c r="AH168" s="168"/>
      <c r="AI168" s="168"/>
      <c r="AJ168" s="43"/>
      <c r="AK168" s="43"/>
      <c r="AL168" s="43"/>
      <c r="AM168" s="43"/>
      <c r="AN168" s="43"/>
      <c r="AO168" s="43"/>
      <c r="AP168" s="174"/>
      <c r="AQ168" s="175"/>
      <c r="AR168" s="167"/>
      <c r="AS168" s="167"/>
      <c r="AT168" s="167"/>
    </row>
    <row r="169" ht="23.2" spans="1:46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8"/>
      <c r="AG169" s="173"/>
      <c r="AH169" s="168"/>
      <c r="AI169" s="168"/>
      <c r="AJ169" s="43"/>
      <c r="AK169" s="43"/>
      <c r="AL169" s="43"/>
      <c r="AM169" s="43"/>
      <c r="AN169" s="43"/>
      <c r="AO169" s="43"/>
      <c r="AP169" s="174"/>
      <c r="AQ169" s="175"/>
      <c r="AR169" s="167"/>
      <c r="AS169" s="167"/>
      <c r="AT169" s="167"/>
    </row>
    <row r="170" ht="23.2" spans="1:46">
      <c r="A170" s="167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  <c r="AF170" s="168"/>
      <c r="AG170" s="173"/>
      <c r="AH170" s="168"/>
      <c r="AI170" s="168"/>
      <c r="AJ170" s="43"/>
      <c r="AK170" s="43"/>
      <c r="AL170" s="43"/>
      <c r="AM170" s="43"/>
      <c r="AN170" s="43"/>
      <c r="AO170" s="43"/>
      <c r="AP170" s="174"/>
      <c r="AQ170" s="175"/>
      <c r="AR170" s="167"/>
      <c r="AS170" s="167"/>
      <c r="AT170" s="167"/>
    </row>
    <row r="171" ht="23.2" spans="1:46">
      <c r="A171" s="167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  <c r="AF171" s="168"/>
      <c r="AG171" s="173"/>
      <c r="AH171" s="168"/>
      <c r="AI171" s="168"/>
      <c r="AJ171" s="43"/>
      <c r="AK171" s="43"/>
      <c r="AL171" s="43"/>
      <c r="AM171" s="43"/>
      <c r="AN171" s="43"/>
      <c r="AO171" s="43"/>
      <c r="AP171" s="174"/>
      <c r="AQ171" s="175"/>
      <c r="AR171" s="167"/>
      <c r="AS171" s="167"/>
      <c r="AT171" s="167"/>
    </row>
    <row r="172" ht="23.2" spans="1:46">
      <c r="A172" s="167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  <c r="AF172" s="168"/>
      <c r="AG172" s="173"/>
      <c r="AH172" s="168"/>
      <c r="AI172" s="168"/>
      <c r="AJ172" s="43"/>
      <c r="AK172" s="43"/>
      <c r="AL172" s="43"/>
      <c r="AM172" s="43"/>
      <c r="AN172" s="43"/>
      <c r="AO172" s="43"/>
      <c r="AP172" s="174"/>
      <c r="AQ172" s="175"/>
      <c r="AR172" s="167"/>
      <c r="AS172" s="167"/>
      <c r="AT172" s="167"/>
    </row>
    <row r="173" ht="23.2" spans="1:46">
      <c r="A173" s="167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8"/>
      <c r="AG173" s="173"/>
      <c r="AH173" s="168"/>
      <c r="AI173" s="168"/>
      <c r="AJ173" s="43"/>
      <c r="AK173" s="43"/>
      <c r="AL173" s="43"/>
      <c r="AM173" s="43"/>
      <c r="AN173" s="43"/>
      <c r="AO173" s="43"/>
      <c r="AP173" s="174"/>
      <c r="AQ173" s="175"/>
      <c r="AR173" s="167"/>
      <c r="AS173" s="167"/>
      <c r="AT173" s="167"/>
    </row>
    <row r="174" ht="23.2" spans="1:46">
      <c r="A174" s="167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  <c r="AF174" s="168"/>
      <c r="AG174" s="173"/>
      <c r="AH174" s="168"/>
      <c r="AI174" s="168"/>
      <c r="AJ174" s="43"/>
      <c r="AK174" s="43"/>
      <c r="AL174" s="43"/>
      <c r="AM174" s="43"/>
      <c r="AN174" s="43"/>
      <c r="AO174" s="43"/>
      <c r="AP174" s="174"/>
      <c r="AQ174" s="175"/>
      <c r="AR174" s="167"/>
      <c r="AS174" s="167"/>
      <c r="AT174" s="167"/>
    </row>
    <row r="175" ht="23.2" spans="1:46">
      <c r="A175" s="167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  <c r="AF175" s="168"/>
      <c r="AG175" s="173"/>
      <c r="AH175" s="168"/>
      <c r="AI175" s="168"/>
      <c r="AJ175" s="43"/>
      <c r="AK175" s="43"/>
      <c r="AL175" s="43"/>
      <c r="AM175" s="43"/>
      <c r="AN175" s="43"/>
      <c r="AO175" s="43"/>
      <c r="AP175" s="174"/>
      <c r="AQ175" s="175"/>
      <c r="AR175" s="167"/>
      <c r="AS175" s="167"/>
      <c r="AT175" s="167"/>
    </row>
    <row r="176" ht="23.2" spans="1:46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8"/>
      <c r="AG176" s="173"/>
      <c r="AH176" s="168"/>
      <c r="AI176" s="168"/>
      <c r="AJ176" s="43"/>
      <c r="AK176" s="43"/>
      <c r="AL176" s="43"/>
      <c r="AM176" s="43"/>
      <c r="AN176" s="43"/>
      <c r="AO176" s="43"/>
      <c r="AP176" s="174"/>
      <c r="AQ176" s="175"/>
      <c r="AR176" s="167"/>
      <c r="AS176" s="167"/>
      <c r="AT176" s="167"/>
    </row>
    <row r="177" ht="23.2" spans="1:46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  <c r="AF177" s="168"/>
      <c r="AG177" s="173"/>
      <c r="AH177" s="168"/>
      <c r="AI177" s="168"/>
      <c r="AJ177" s="43"/>
      <c r="AK177" s="43"/>
      <c r="AL177" s="43"/>
      <c r="AM177" s="43"/>
      <c r="AN177" s="43"/>
      <c r="AO177" s="43"/>
      <c r="AP177" s="174"/>
      <c r="AQ177" s="175"/>
      <c r="AR177" s="167"/>
      <c r="AS177" s="167"/>
      <c r="AT177" s="167"/>
    </row>
    <row r="178" ht="23.2" spans="1:46">
      <c r="A178" s="167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  <c r="AF178" s="168"/>
      <c r="AG178" s="173"/>
      <c r="AH178" s="168"/>
      <c r="AI178" s="168"/>
      <c r="AJ178" s="43"/>
      <c r="AK178" s="43"/>
      <c r="AL178" s="43"/>
      <c r="AM178" s="43"/>
      <c r="AN178" s="43"/>
      <c r="AO178" s="43"/>
      <c r="AP178" s="174"/>
      <c r="AQ178" s="175"/>
      <c r="AR178" s="167"/>
      <c r="AS178" s="167"/>
      <c r="AT178" s="167"/>
    </row>
    <row r="179" ht="23.2" spans="1:46">
      <c r="A179" s="167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  <c r="AF179" s="168"/>
      <c r="AG179" s="173"/>
      <c r="AH179" s="168"/>
      <c r="AI179" s="168"/>
      <c r="AJ179" s="43"/>
      <c r="AK179" s="43"/>
      <c r="AL179" s="43"/>
      <c r="AM179" s="43"/>
      <c r="AN179" s="43"/>
      <c r="AO179" s="43"/>
      <c r="AP179" s="174"/>
      <c r="AQ179" s="175"/>
      <c r="AR179" s="167"/>
      <c r="AS179" s="167"/>
      <c r="AT179" s="167"/>
    </row>
    <row r="180" ht="23.2" spans="1:46">
      <c r="A180" s="167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  <c r="AF180" s="168"/>
      <c r="AG180" s="173"/>
      <c r="AH180" s="168"/>
      <c r="AI180" s="168"/>
      <c r="AJ180" s="43"/>
      <c r="AK180" s="43"/>
      <c r="AL180" s="43"/>
      <c r="AM180" s="43"/>
      <c r="AN180" s="43"/>
      <c r="AO180" s="43"/>
      <c r="AP180" s="174"/>
      <c r="AQ180" s="175"/>
      <c r="AR180" s="167"/>
      <c r="AS180" s="167"/>
      <c r="AT180" s="167"/>
    </row>
    <row r="181" ht="23.2" spans="1:46">
      <c r="A181" s="167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  <c r="AF181" s="168"/>
      <c r="AG181" s="173"/>
      <c r="AH181" s="168"/>
      <c r="AI181" s="168"/>
      <c r="AJ181" s="43"/>
      <c r="AK181" s="43"/>
      <c r="AL181" s="43"/>
      <c r="AM181" s="43"/>
      <c r="AN181" s="43"/>
      <c r="AO181" s="43"/>
      <c r="AP181" s="174"/>
      <c r="AQ181" s="175"/>
      <c r="AR181" s="167"/>
      <c r="AS181" s="167"/>
      <c r="AT181" s="167"/>
    </row>
    <row r="182" ht="23.2" spans="1:46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  <c r="AF182" s="168"/>
      <c r="AG182" s="173"/>
      <c r="AH182" s="168"/>
      <c r="AI182" s="168"/>
      <c r="AJ182" s="43"/>
      <c r="AK182" s="43"/>
      <c r="AL182" s="43"/>
      <c r="AM182" s="43"/>
      <c r="AN182" s="43"/>
      <c r="AO182" s="43"/>
      <c r="AP182" s="174"/>
      <c r="AQ182" s="175"/>
      <c r="AR182" s="167"/>
      <c r="AS182" s="167"/>
      <c r="AT182" s="167"/>
    </row>
    <row r="183" ht="23.2" spans="1:46">
      <c r="A183" s="167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  <c r="AF183" s="168"/>
      <c r="AG183" s="173"/>
      <c r="AH183" s="168"/>
      <c r="AI183" s="168"/>
      <c r="AJ183" s="43"/>
      <c r="AK183" s="43"/>
      <c r="AL183" s="43"/>
      <c r="AM183" s="43"/>
      <c r="AN183" s="43"/>
      <c r="AO183" s="43"/>
      <c r="AP183" s="174"/>
      <c r="AQ183" s="175"/>
      <c r="AR183" s="167"/>
      <c r="AS183" s="167"/>
      <c r="AT183" s="167"/>
    </row>
    <row r="184" ht="23.2" spans="1:46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68"/>
      <c r="AG184" s="173"/>
      <c r="AH184" s="168"/>
      <c r="AI184" s="168"/>
      <c r="AJ184" s="43"/>
      <c r="AK184" s="43"/>
      <c r="AL184" s="43"/>
      <c r="AM184" s="43"/>
      <c r="AN184" s="43"/>
      <c r="AO184" s="43"/>
      <c r="AP184" s="174"/>
      <c r="AQ184" s="175"/>
      <c r="AR184" s="167"/>
      <c r="AS184" s="167"/>
      <c r="AT184" s="167"/>
    </row>
    <row r="185" ht="23.2" spans="1:46">
      <c r="A185" s="167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8"/>
      <c r="AG185" s="173"/>
      <c r="AH185" s="168"/>
      <c r="AI185" s="168"/>
      <c r="AJ185" s="43"/>
      <c r="AK185" s="43"/>
      <c r="AL185" s="43"/>
      <c r="AM185" s="43"/>
      <c r="AN185" s="43"/>
      <c r="AO185" s="43"/>
      <c r="AP185" s="174"/>
      <c r="AQ185" s="175"/>
      <c r="AR185" s="167"/>
      <c r="AS185" s="167"/>
      <c r="AT185" s="167"/>
    </row>
    <row r="186" ht="23.2" spans="1:46">
      <c r="A186" s="167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8"/>
      <c r="AG186" s="173"/>
      <c r="AH186" s="168"/>
      <c r="AI186" s="168"/>
      <c r="AJ186" s="43"/>
      <c r="AK186" s="43"/>
      <c r="AL186" s="43"/>
      <c r="AM186" s="43"/>
      <c r="AN186" s="43"/>
      <c r="AO186" s="43"/>
      <c r="AP186" s="174"/>
      <c r="AQ186" s="175"/>
      <c r="AR186" s="167"/>
      <c r="AS186" s="167"/>
      <c r="AT186" s="167"/>
    </row>
    <row r="187" ht="23.2" spans="1:46">
      <c r="A187" s="167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8"/>
      <c r="AG187" s="173"/>
      <c r="AH187" s="168"/>
      <c r="AI187" s="168"/>
      <c r="AJ187" s="43"/>
      <c r="AK187" s="43"/>
      <c r="AL187" s="43"/>
      <c r="AM187" s="43"/>
      <c r="AN187" s="43"/>
      <c r="AO187" s="43"/>
      <c r="AP187" s="174"/>
      <c r="AQ187" s="175"/>
      <c r="AR187" s="167"/>
      <c r="AS187" s="167"/>
      <c r="AT187" s="167"/>
    </row>
    <row r="188" ht="23.2" spans="1:46">
      <c r="A188" s="167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8"/>
      <c r="AG188" s="173"/>
      <c r="AH188" s="168"/>
      <c r="AI188" s="168"/>
      <c r="AJ188" s="43"/>
      <c r="AK188" s="43"/>
      <c r="AL188" s="43"/>
      <c r="AM188" s="43"/>
      <c r="AN188" s="43"/>
      <c r="AO188" s="43"/>
      <c r="AP188" s="174"/>
      <c r="AQ188" s="175"/>
      <c r="AR188" s="167"/>
      <c r="AS188" s="167"/>
      <c r="AT188" s="167"/>
    </row>
    <row r="189" ht="23.2" spans="1:46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8"/>
      <c r="AG189" s="173"/>
      <c r="AH189" s="168"/>
      <c r="AI189" s="168"/>
      <c r="AJ189" s="43"/>
      <c r="AK189" s="43"/>
      <c r="AL189" s="43"/>
      <c r="AM189" s="43"/>
      <c r="AN189" s="43"/>
      <c r="AO189" s="43"/>
      <c r="AP189" s="174"/>
      <c r="AQ189" s="175"/>
      <c r="AR189" s="167"/>
      <c r="AS189" s="167"/>
      <c r="AT189" s="167"/>
    </row>
    <row r="190" ht="23.2" spans="1:46">
      <c r="A190" s="167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8"/>
      <c r="AG190" s="173"/>
      <c r="AH190" s="168"/>
      <c r="AI190" s="168"/>
      <c r="AJ190" s="43"/>
      <c r="AK190" s="43"/>
      <c r="AL190" s="43"/>
      <c r="AM190" s="43"/>
      <c r="AN190" s="43"/>
      <c r="AO190" s="43"/>
      <c r="AP190" s="174"/>
      <c r="AQ190" s="175"/>
      <c r="AR190" s="167"/>
      <c r="AS190" s="167"/>
      <c r="AT190" s="167"/>
    </row>
    <row r="191" ht="23.2" spans="1:46">
      <c r="A191" s="167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68"/>
      <c r="AG191" s="173"/>
      <c r="AH191" s="168"/>
      <c r="AI191" s="168"/>
      <c r="AJ191" s="43"/>
      <c r="AK191" s="43"/>
      <c r="AL191" s="43"/>
      <c r="AM191" s="43"/>
      <c r="AN191" s="43"/>
      <c r="AO191" s="43"/>
      <c r="AP191" s="174"/>
      <c r="AQ191" s="175"/>
      <c r="AR191" s="167"/>
      <c r="AS191" s="167"/>
      <c r="AT191" s="167"/>
    </row>
    <row r="192" ht="23.2" spans="1:46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8"/>
      <c r="AG192" s="173"/>
      <c r="AH192" s="168"/>
      <c r="AI192" s="168"/>
      <c r="AJ192" s="43"/>
      <c r="AK192" s="43"/>
      <c r="AL192" s="43"/>
      <c r="AM192" s="43"/>
      <c r="AN192" s="43"/>
      <c r="AO192" s="43"/>
      <c r="AP192" s="174"/>
      <c r="AQ192" s="175"/>
      <c r="AR192" s="167"/>
      <c r="AS192" s="167"/>
      <c r="AT192" s="167"/>
    </row>
    <row r="193" ht="23.2" spans="1:46">
      <c r="A193" s="167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  <c r="AF193" s="168"/>
      <c r="AG193" s="173"/>
      <c r="AH193" s="168"/>
      <c r="AI193" s="168"/>
      <c r="AJ193" s="43"/>
      <c r="AK193" s="43"/>
      <c r="AL193" s="43"/>
      <c r="AM193" s="43"/>
      <c r="AN193" s="43"/>
      <c r="AO193" s="43"/>
      <c r="AP193" s="174"/>
      <c r="AQ193" s="175"/>
      <c r="AR193" s="167"/>
      <c r="AS193" s="167"/>
      <c r="AT193" s="167"/>
    </row>
    <row r="194" ht="23.2" spans="1:46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8"/>
      <c r="AG194" s="173"/>
      <c r="AH194" s="168"/>
      <c r="AI194" s="168"/>
      <c r="AJ194" s="43"/>
      <c r="AK194" s="43"/>
      <c r="AL194" s="43"/>
      <c r="AM194" s="43"/>
      <c r="AN194" s="43"/>
      <c r="AO194" s="43"/>
      <c r="AP194" s="174"/>
      <c r="AQ194" s="175"/>
      <c r="AR194" s="167"/>
      <c r="AS194" s="167"/>
      <c r="AT194" s="167"/>
    </row>
    <row r="195" ht="23.2" spans="1:46">
      <c r="A195" s="167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  <c r="AF195" s="168"/>
      <c r="AG195" s="173"/>
      <c r="AH195" s="168"/>
      <c r="AI195" s="168"/>
      <c r="AJ195" s="43"/>
      <c r="AK195" s="43"/>
      <c r="AL195" s="43"/>
      <c r="AM195" s="43"/>
      <c r="AN195" s="43"/>
      <c r="AO195" s="43"/>
      <c r="AP195" s="174"/>
      <c r="AQ195" s="175"/>
      <c r="AR195" s="167"/>
      <c r="AS195" s="167"/>
      <c r="AT195" s="167"/>
    </row>
    <row r="196" ht="23.2" spans="1:46">
      <c r="A196" s="167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  <c r="AF196" s="168"/>
      <c r="AG196" s="173"/>
      <c r="AH196" s="168"/>
      <c r="AI196" s="168"/>
      <c r="AJ196" s="43"/>
      <c r="AK196" s="43"/>
      <c r="AL196" s="43"/>
      <c r="AM196" s="43"/>
      <c r="AN196" s="43"/>
      <c r="AO196" s="43"/>
      <c r="AP196" s="174"/>
      <c r="AQ196" s="175"/>
      <c r="AR196" s="167"/>
      <c r="AS196" s="167"/>
      <c r="AT196" s="167"/>
    </row>
    <row r="197" ht="23.2" spans="1:46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  <c r="AF197" s="168"/>
      <c r="AG197" s="173"/>
      <c r="AH197" s="168"/>
      <c r="AI197" s="168"/>
      <c r="AJ197" s="43"/>
      <c r="AK197" s="43"/>
      <c r="AL197" s="43"/>
      <c r="AM197" s="43"/>
      <c r="AN197" s="43"/>
      <c r="AO197" s="43"/>
      <c r="AP197" s="174"/>
      <c r="AQ197" s="175"/>
      <c r="AR197" s="167"/>
      <c r="AS197" s="167"/>
      <c r="AT197" s="167"/>
    </row>
    <row r="198" ht="23.2" spans="1:46">
      <c r="A198" s="167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8"/>
      <c r="AG198" s="173"/>
      <c r="AH198" s="168"/>
      <c r="AI198" s="168"/>
      <c r="AJ198" s="43"/>
      <c r="AK198" s="43"/>
      <c r="AL198" s="43"/>
      <c r="AM198" s="43"/>
      <c r="AN198" s="43"/>
      <c r="AO198" s="43"/>
      <c r="AP198" s="174"/>
      <c r="AQ198" s="175"/>
      <c r="AR198" s="167"/>
      <c r="AS198" s="167"/>
      <c r="AT198" s="167"/>
    </row>
    <row r="199" ht="23.2" spans="1:46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8"/>
      <c r="AG199" s="173"/>
      <c r="AH199" s="168"/>
      <c r="AI199" s="168"/>
      <c r="AJ199" s="43"/>
      <c r="AK199" s="43"/>
      <c r="AL199" s="43"/>
      <c r="AM199" s="43"/>
      <c r="AN199" s="43"/>
      <c r="AO199" s="43"/>
      <c r="AP199" s="174"/>
      <c r="AQ199" s="175"/>
      <c r="AR199" s="167"/>
      <c r="AS199" s="167"/>
      <c r="AT199" s="167"/>
    </row>
    <row r="200" ht="23.2" spans="1:46">
      <c r="A200" s="167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8"/>
      <c r="AG200" s="173"/>
      <c r="AH200" s="168"/>
      <c r="AI200" s="168"/>
      <c r="AJ200" s="43"/>
      <c r="AK200" s="43"/>
      <c r="AL200" s="43"/>
      <c r="AM200" s="43"/>
      <c r="AN200" s="43"/>
      <c r="AO200" s="43"/>
      <c r="AP200" s="174"/>
      <c r="AQ200" s="175"/>
      <c r="AR200" s="167"/>
      <c r="AS200" s="167"/>
      <c r="AT200" s="167"/>
    </row>
  </sheetData>
  <autoFilter ref="A1:AT157">
    <filterColumn colId="35">
      <customFilters>
        <customFilter operator="equal" val="Baidu"/>
        <customFilter operator="equal" val="Desay/Baidu"/>
      </customFilters>
    </filterColumn>
    <extLst/>
  </autoFilter>
  <conditionalFormatting sqref="S35">
    <cfRule type="expression" dxfId="0" priority="12">
      <formula>$S159&gt;$AT159</formula>
    </cfRule>
  </conditionalFormatting>
  <conditionalFormatting sqref="S36">
    <cfRule type="expression" dxfId="0" priority="13">
      <formula>$S87&gt;$AT87</formula>
    </cfRule>
  </conditionalFormatting>
  <conditionalFormatting sqref="S40">
    <cfRule type="expression" dxfId="0" priority="11">
      <formula>$S35&gt;$AT35</formula>
    </cfRule>
  </conditionalFormatting>
  <conditionalFormatting sqref="S87">
    <cfRule type="expression" dxfId="0" priority="5">
      <formula>$R$2&gt;$AF$2</formula>
    </cfRule>
    <cfRule type="expression" dxfId="0" priority="6">
      <formula>$R86&gt;$AF86</formula>
    </cfRule>
  </conditionalFormatting>
  <conditionalFormatting sqref="S88">
    <cfRule type="expression" dxfId="0" priority="4">
      <formula>#REF!&gt;#REF!</formula>
    </cfRule>
  </conditionalFormatting>
  <conditionalFormatting sqref="S110">
    <cfRule type="expression" dxfId="0" priority="3">
      <formula>#REF!&gt;#REF!</formula>
    </cfRule>
  </conditionalFormatting>
  <conditionalFormatting sqref="S117">
    <cfRule type="expression" dxfId="0" priority="14">
      <formula>#REF!&gt;#REF!</formula>
    </cfRule>
  </conditionalFormatting>
  <conditionalFormatting sqref="S145">
    <cfRule type="expression" dxfId="0" priority="7">
      <formula>#REF!&gt;#REF!</formula>
    </cfRule>
  </conditionalFormatting>
  <conditionalFormatting sqref="AS6:AS140">
    <cfRule type="cellIs" dxfId="1" priority="1" operator="greaterThanOrEqual">
      <formula>0.2</formula>
    </cfRule>
  </conditionalFormatting>
  <conditionalFormatting sqref="S76:S86 S2:S13 S15:S33 S88:S96 S35:S66 S141:S152 S101:S135">
    <cfRule type="expression" dxfId="0" priority="8">
      <formula>$S$2&gt;$AT$2</formula>
    </cfRule>
  </conditionalFormatting>
  <conditionalFormatting sqref="S101:S109 S76:S86 S15:S33 S41:S50 S89:S96 S37:S39 S2:S13 S52:S65 S141:S144 S146:S152 S111:S116 S118:S135">
    <cfRule type="expression" dxfId="0" priority="9">
      <formula>$S1&gt;$AT1</formula>
    </cfRule>
  </conditionalFormatting>
  <conditionalFormatting sqref="AJ76:AJ87 AJ36:AJ39 AJ158:AP200 AJ49:AJ57 AJ15:AJ21 AJ26:AJ29 AJ41:AJ42 AJ59:AJ62 AJ66 AJ45 AJ101:AJ157">
    <cfRule type="containsText" dxfId="2" priority="2" operator="between" text="Desay">
      <formula>NOT(ISERROR(SEARCH("Desay",AJ15)))</formula>
    </cfRule>
  </conditionalFormatting>
  <conditionalFormatting sqref="S51 S66">
    <cfRule type="expression" dxfId="0" priority="10">
      <formula>$S49&gt;$AT49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00"/>
  <sheetViews>
    <sheetView workbookViewId="0">
      <selection activeCell="A1" sqref="A1"/>
    </sheetView>
  </sheetViews>
  <sheetFormatPr defaultColWidth="11" defaultRowHeight="17.6"/>
  <cols>
    <col min="1" max="1" width="17.6696428571429" customWidth="1"/>
    <col min="2" max="2" width="20.3303571428571" customWidth="1"/>
    <col min="3" max="3" width="81.6696428571429" customWidth="1"/>
    <col min="4" max="4" width="11" hidden="1" customWidth="1"/>
    <col min="5" max="5" width="16.1696428571429" customWidth="1"/>
    <col min="6" max="10" width="11" hidden="1" customWidth="1"/>
    <col min="11" max="11" width="14.5" customWidth="1"/>
    <col min="12" max="15" width="11" hidden="1" customWidth="1"/>
    <col min="16" max="17" width="12.5" customWidth="1"/>
    <col min="18" max="18" width="13" customWidth="1"/>
    <col min="19" max="19" width="8.66964285714286" customWidth="1"/>
  </cols>
  <sheetData>
    <row r="1" ht="41" spans="1:19">
      <c r="A1" s="72" t="s">
        <v>615</v>
      </c>
      <c r="B1" s="72" t="s">
        <v>616</v>
      </c>
      <c r="C1" s="72" t="s">
        <v>617</v>
      </c>
      <c r="D1" s="72" t="s">
        <v>618</v>
      </c>
      <c r="E1" s="90" t="s">
        <v>619</v>
      </c>
      <c r="F1" s="90" t="s">
        <v>620</v>
      </c>
      <c r="G1" s="90" t="s">
        <v>621</v>
      </c>
      <c r="H1" s="90" t="s">
        <v>622</v>
      </c>
      <c r="I1" s="90" t="s">
        <v>623</v>
      </c>
      <c r="J1" s="90" t="s">
        <v>624</v>
      </c>
      <c r="K1" s="90" t="s">
        <v>36</v>
      </c>
      <c r="L1" s="90" t="s">
        <v>97</v>
      </c>
      <c r="M1" s="90" t="s">
        <v>27</v>
      </c>
      <c r="N1" s="90" t="s">
        <v>28</v>
      </c>
      <c r="O1" s="90" t="s">
        <v>29</v>
      </c>
      <c r="P1" s="90" t="s">
        <v>30</v>
      </c>
      <c r="Q1" s="90" t="s">
        <v>31</v>
      </c>
      <c r="R1" s="90" t="s">
        <v>32</v>
      </c>
      <c r="S1" s="90" t="s">
        <v>625</v>
      </c>
    </row>
    <row r="2" ht="30" hidden="1" customHeight="1" spans="1:19">
      <c r="A2" s="73" t="s">
        <v>626</v>
      </c>
      <c r="B2" s="74"/>
      <c r="C2" s="75" t="s">
        <v>627</v>
      </c>
      <c r="D2" s="76"/>
      <c r="E2" s="87" t="s">
        <v>628</v>
      </c>
      <c r="F2" s="87"/>
      <c r="G2" s="86"/>
      <c r="H2" s="86"/>
      <c r="I2" s="96"/>
      <c r="J2" s="86"/>
      <c r="K2" s="86" t="s">
        <v>114</v>
      </c>
      <c r="L2" s="75"/>
      <c r="M2" s="75"/>
      <c r="N2" s="75"/>
      <c r="O2" s="75"/>
      <c r="P2" s="75"/>
      <c r="Q2" s="75"/>
      <c r="R2" s="75"/>
      <c r="S2" s="75"/>
    </row>
    <row r="3" ht="34" spans="1:19">
      <c r="A3" s="77" t="s">
        <v>629</v>
      </c>
      <c r="B3" s="74" t="s">
        <v>630</v>
      </c>
      <c r="C3" s="75" t="s">
        <v>631</v>
      </c>
      <c r="D3" s="75"/>
      <c r="E3" s="88" t="s">
        <v>632</v>
      </c>
      <c r="F3" s="88"/>
      <c r="G3" s="83"/>
      <c r="H3" s="83"/>
      <c r="I3" s="96"/>
      <c r="J3" s="83"/>
      <c r="K3" s="83" t="s">
        <v>134</v>
      </c>
      <c r="L3" s="75"/>
      <c r="M3" s="75"/>
      <c r="N3" s="75"/>
      <c r="O3" s="75"/>
      <c r="P3" s="98" t="s">
        <v>9</v>
      </c>
      <c r="Q3" s="98" t="s">
        <v>9</v>
      </c>
      <c r="R3" s="98" t="s">
        <v>9</v>
      </c>
      <c r="S3" s="75"/>
    </row>
    <row r="4" spans="1:19">
      <c r="A4" s="77"/>
      <c r="B4" s="78"/>
      <c r="C4" s="75" t="s">
        <v>633</v>
      </c>
      <c r="D4" s="75"/>
      <c r="E4" s="88"/>
      <c r="F4" s="88"/>
      <c r="G4" s="83"/>
      <c r="H4" s="83"/>
      <c r="I4" s="96"/>
      <c r="J4" s="83"/>
      <c r="K4" s="83" t="s">
        <v>134</v>
      </c>
      <c r="L4" s="75"/>
      <c r="M4" s="75"/>
      <c r="N4" s="75"/>
      <c r="O4" s="75"/>
      <c r="P4" s="98" t="s">
        <v>9</v>
      </c>
      <c r="Q4" s="98" t="s">
        <v>9</v>
      </c>
      <c r="R4" s="98" t="s">
        <v>9</v>
      </c>
      <c r="S4" s="75"/>
    </row>
    <row r="5" spans="1:19">
      <c r="A5" s="77"/>
      <c r="B5" s="78"/>
      <c r="C5" s="75" t="s">
        <v>634</v>
      </c>
      <c r="D5" s="75"/>
      <c r="E5" s="88"/>
      <c r="F5" s="88"/>
      <c r="G5" s="83"/>
      <c r="H5" s="83"/>
      <c r="I5" s="96"/>
      <c r="J5" s="83"/>
      <c r="K5" s="83" t="s">
        <v>134</v>
      </c>
      <c r="L5" s="75"/>
      <c r="M5" s="75"/>
      <c r="N5" s="75"/>
      <c r="O5" s="75"/>
      <c r="P5" s="98" t="s">
        <v>9</v>
      </c>
      <c r="Q5" s="98" t="s">
        <v>9</v>
      </c>
      <c r="R5" s="98" t="s">
        <v>9</v>
      </c>
      <c r="S5" s="75"/>
    </row>
    <row r="6" spans="1:19">
      <c r="A6" s="77"/>
      <c r="B6" s="78"/>
      <c r="C6" s="75" t="s">
        <v>635</v>
      </c>
      <c r="D6" s="75"/>
      <c r="E6" s="88"/>
      <c r="F6" s="88"/>
      <c r="G6" s="83"/>
      <c r="H6" s="83"/>
      <c r="I6" s="96"/>
      <c r="J6" s="83"/>
      <c r="K6" s="83" t="s">
        <v>134</v>
      </c>
      <c r="L6" s="75"/>
      <c r="M6" s="75"/>
      <c r="N6" s="75"/>
      <c r="O6" s="75"/>
      <c r="P6" s="98" t="s">
        <v>9</v>
      </c>
      <c r="Q6" s="98" t="s">
        <v>9</v>
      </c>
      <c r="R6" s="98" t="s">
        <v>9</v>
      </c>
      <c r="S6" s="75"/>
    </row>
    <row r="7" spans="1:19">
      <c r="A7" s="77"/>
      <c r="B7" s="78"/>
      <c r="C7" s="75" t="s">
        <v>636</v>
      </c>
      <c r="D7" s="75"/>
      <c r="E7" s="88"/>
      <c r="F7" s="88"/>
      <c r="G7" s="83"/>
      <c r="H7" s="83"/>
      <c r="I7" s="96"/>
      <c r="J7" s="83"/>
      <c r="K7" s="83" t="s">
        <v>134</v>
      </c>
      <c r="L7" s="75"/>
      <c r="M7" s="75"/>
      <c r="N7" s="75"/>
      <c r="O7" s="75"/>
      <c r="P7" s="98" t="s">
        <v>9</v>
      </c>
      <c r="Q7" s="98" t="s">
        <v>9</v>
      </c>
      <c r="R7" s="98" t="s">
        <v>9</v>
      </c>
      <c r="S7" s="75"/>
    </row>
    <row r="8" spans="1:19">
      <c r="A8" s="77"/>
      <c r="B8" s="78"/>
      <c r="C8" s="75" t="s">
        <v>637</v>
      </c>
      <c r="D8" s="75"/>
      <c r="E8" s="88"/>
      <c r="F8" s="88"/>
      <c r="G8" s="83"/>
      <c r="H8" s="83"/>
      <c r="I8" s="96"/>
      <c r="J8" s="83"/>
      <c r="K8" s="83" t="s">
        <v>134</v>
      </c>
      <c r="L8" s="75"/>
      <c r="M8" s="75"/>
      <c r="N8" s="75"/>
      <c r="O8" s="75"/>
      <c r="P8" s="98" t="s">
        <v>9</v>
      </c>
      <c r="Q8" s="98" t="s">
        <v>9</v>
      </c>
      <c r="R8" s="98" t="s">
        <v>9</v>
      </c>
      <c r="S8" s="75"/>
    </row>
    <row r="9" spans="1:19">
      <c r="A9" s="77"/>
      <c r="B9" s="78"/>
      <c r="C9" s="75" t="s">
        <v>638</v>
      </c>
      <c r="D9" s="75"/>
      <c r="E9" s="88"/>
      <c r="F9" s="88"/>
      <c r="G9" s="83"/>
      <c r="H9" s="83"/>
      <c r="I9" s="96"/>
      <c r="J9" s="83"/>
      <c r="K9" s="83" t="s">
        <v>134</v>
      </c>
      <c r="L9" s="75"/>
      <c r="M9" s="75"/>
      <c r="N9" s="75"/>
      <c r="O9" s="75"/>
      <c r="P9" s="98" t="s">
        <v>9</v>
      </c>
      <c r="Q9" s="98" t="s">
        <v>9</v>
      </c>
      <c r="R9" s="98" t="s">
        <v>9</v>
      </c>
      <c r="S9" s="75"/>
    </row>
    <row r="10" spans="1:19">
      <c r="A10" s="77"/>
      <c r="B10" s="78"/>
      <c r="C10" s="79" t="s">
        <v>639</v>
      </c>
      <c r="D10" s="79"/>
      <c r="E10" s="88"/>
      <c r="F10" s="88"/>
      <c r="G10" s="83"/>
      <c r="H10" s="83"/>
      <c r="I10" s="96"/>
      <c r="J10" s="83"/>
      <c r="K10" s="83" t="s">
        <v>134</v>
      </c>
      <c r="L10" s="75"/>
      <c r="M10" s="75"/>
      <c r="N10" s="75"/>
      <c r="O10" s="75"/>
      <c r="P10" s="98" t="s">
        <v>9</v>
      </c>
      <c r="Q10" s="98" t="s">
        <v>9</v>
      </c>
      <c r="R10" s="98" t="s">
        <v>9</v>
      </c>
      <c r="S10" s="75"/>
    </row>
    <row r="11" spans="1:19">
      <c r="A11" s="77"/>
      <c r="B11" s="78"/>
      <c r="C11" s="79" t="s">
        <v>640</v>
      </c>
      <c r="D11" s="79"/>
      <c r="E11" s="88"/>
      <c r="F11" s="88"/>
      <c r="G11" s="83"/>
      <c r="H11" s="83"/>
      <c r="I11" s="96"/>
      <c r="J11" s="83"/>
      <c r="K11" s="83" t="s">
        <v>134</v>
      </c>
      <c r="L11" s="75"/>
      <c r="M11" s="75"/>
      <c r="N11" s="75"/>
      <c r="O11" s="75"/>
      <c r="P11" s="98" t="s">
        <v>9</v>
      </c>
      <c r="Q11" s="98" t="s">
        <v>9</v>
      </c>
      <c r="R11" s="98" t="s">
        <v>9</v>
      </c>
      <c r="S11" s="75"/>
    </row>
    <row r="12" spans="1:19">
      <c r="A12" s="77"/>
      <c r="B12" s="78"/>
      <c r="C12" s="79" t="s">
        <v>641</v>
      </c>
      <c r="D12" s="79"/>
      <c r="E12" s="88"/>
      <c r="F12" s="88"/>
      <c r="G12" s="83"/>
      <c r="H12" s="83"/>
      <c r="I12" s="96"/>
      <c r="J12" s="83"/>
      <c r="K12" s="83" t="s">
        <v>134</v>
      </c>
      <c r="L12" s="75"/>
      <c r="M12" s="75"/>
      <c r="N12" s="75"/>
      <c r="O12" s="75"/>
      <c r="P12" s="98" t="s">
        <v>9</v>
      </c>
      <c r="Q12" s="98" t="s">
        <v>9</v>
      </c>
      <c r="R12" s="98" t="s">
        <v>9</v>
      </c>
      <c r="S12" s="75"/>
    </row>
    <row r="13" spans="1:19">
      <c r="A13" s="77"/>
      <c r="B13" s="78"/>
      <c r="C13" s="79" t="s">
        <v>642</v>
      </c>
      <c r="D13" s="79"/>
      <c r="E13" s="88"/>
      <c r="F13" s="88"/>
      <c r="G13" s="83"/>
      <c r="H13" s="83"/>
      <c r="I13" s="96"/>
      <c r="J13" s="83"/>
      <c r="K13" s="83" t="s">
        <v>134</v>
      </c>
      <c r="L13" s="75"/>
      <c r="M13" s="75"/>
      <c r="N13" s="75"/>
      <c r="O13" s="75"/>
      <c r="P13" s="98" t="s">
        <v>9</v>
      </c>
      <c r="Q13" s="98" t="s">
        <v>9</v>
      </c>
      <c r="R13" s="98" t="s">
        <v>9</v>
      </c>
      <c r="S13" s="75"/>
    </row>
    <row r="14" spans="1:19">
      <c r="A14" s="77"/>
      <c r="B14" s="78"/>
      <c r="C14" s="75" t="s">
        <v>643</v>
      </c>
      <c r="D14" s="75"/>
      <c r="E14" s="88"/>
      <c r="F14" s="88"/>
      <c r="G14" s="83"/>
      <c r="H14" s="83"/>
      <c r="I14" s="96"/>
      <c r="J14" s="83"/>
      <c r="K14" s="83" t="s">
        <v>134</v>
      </c>
      <c r="L14" s="75"/>
      <c r="M14" s="75"/>
      <c r="N14" s="75"/>
      <c r="O14" s="75"/>
      <c r="P14" s="98" t="s">
        <v>9</v>
      </c>
      <c r="Q14" s="98" t="s">
        <v>9</v>
      </c>
      <c r="R14" s="98" t="s">
        <v>9</v>
      </c>
      <c r="S14" s="75"/>
    </row>
    <row r="15" spans="1:19">
      <c r="A15" s="77"/>
      <c r="B15" s="78"/>
      <c r="C15" s="75" t="s">
        <v>644</v>
      </c>
      <c r="D15" s="75"/>
      <c r="E15" s="88"/>
      <c r="F15" s="88"/>
      <c r="G15" s="83"/>
      <c r="H15" s="83"/>
      <c r="I15" s="96"/>
      <c r="J15" s="83"/>
      <c r="K15" s="83" t="s">
        <v>134</v>
      </c>
      <c r="L15" s="75"/>
      <c r="M15" s="75"/>
      <c r="N15" s="75"/>
      <c r="O15" s="75"/>
      <c r="P15" s="98" t="s">
        <v>9</v>
      </c>
      <c r="Q15" s="98" t="s">
        <v>9</v>
      </c>
      <c r="R15" s="98" t="s">
        <v>9</v>
      </c>
      <c r="S15" s="75"/>
    </row>
    <row r="16" spans="1:19">
      <c r="A16" s="77"/>
      <c r="B16" s="78"/>
      <c r="C16" s="75" t="s">
        <v>645</v>
      </c>
      <c r="D16" s="75"/>
      <c r="E16" s="88"/>
      <c r="F16" s="88"/>
      <c r="G16" s="83"/>
      <c r="H16" s="83"/>
      <c r="I16" s="96"/>
      <c r="J16" s="83"/>
      <c r="K16" s="83" t="s">
        <v>134</v>
      </c>
      <c r="L16" s="75"/>
      <c r="M16" s="75"/>
      <c r="N16" s="75"/>
      <c r="O16" s="75"/>
      <c r="P16" s="98" t="s">
        <v>9</v>
      </c>
      <c r="Q16" s="98" t="s">
        <v>9</v>
      </c>
      <c r="R16" s="98" t="s">
        <v>9</v>
      </c>
      <c r="S16" s="75"/>
    </row>
    <row r="17" spans="1:19">
      <c r="A17" s="77"/>
      <c r="B17" s="78"/>
      <c r="C17" s="75" t="s">
        <v>646</v>
      </c>
      <c r="D17" s="75"/>
      <c r="E17" s="88"/>
      <c r="F17" s="88"/>
      <c r="G17" s="83"/>
      <c r="H17" s="83"/>
      <c r="I17" s="96"/>
      <c r="J17" s="83"/>
      <c r="K17" s="83" t="s">
        <v>134</v>
      </c>
      <c r="L17" s="75"/>
      <c r="M17" s="75"/>
      <c r="N17" s="75"/>
      <c r="O17" s="75"/>
      <c r="P17" s="98" t="s">
        <v>9</v>
      </c>
      <c r="Q17" s="98" t="s">
        <v>9</v>
      </c>
      <c r="R17" s="98" t="s">
        <v>9</v>
      </c>
      <c r="S17" s="75"/>
    </row>
    <row r="18" spans="1:19">
      <c r="A18" s="77"/>
      <c r="B18" s="78"/>
      <c r="C18" s="75" t="s">
        <v>647</v>
      </c>
      <c r="D18" s="75"/>
      <c r="E18" s="88"/>
      <c r="F18" s="88"/>
      <c r="G18" s="83"/>
      <c r="H18" s="83"/>
      <c r="I18" s="96"/>
      <c r="J18" s="83"/>
      <c r="K18" s="83" t="s">
        <v>134</v>
      </c>
      <c r="L18" s="75"/>
      <c r="M18" s="75"/>
      <c r="N18" s="75"/>
      <c r="O18" s="75"/>
      <c r="P18" s="98" t="s">
        <v>9</v>
      </c>
      <c r="Q18" s="98" t="s">
        <v>9</v>
      </c>
      <c r="R18" s="98" t="s">
        <v>9</v>
      </c>
      <c r="S18" s="75"/>
    </row>
    <row r="19" spans="1:19">
      <c r="A19" s="77"/>
      <c r="B19" s="78"/>
      <c r="C19" s="75" t="s">
        <v>648</v>
      </c>
      <c r="D19" s="75"/>
      <c r="E19" s="88"/>
      <c r="F19" s="88"/>
      <c r="G19" s="83"/>
      <c r="H19" s="83"/>
      <c r="I19" s="96"/>
      <c r="J19" s="83"/>
      <c r="K19" s="83" t="s">
        <v>134</v>
      </c>
      <c r="L19" s="75"/>
      <c r="M19" s="75"/>
      <c r="N19" s="75"/>
      <c r="O19" s="75"/>
      <c r="P19" s="98" t="s">
        <v>9</v>
      </c>
      <c r="Q19" s="98" t="s">
        <v>9</v>
      </c>
      <c r="R19" s="98" t="s">
        <v>9</v>
      </c>
      <c r="S19" s="75"/>
    </row>
    <row r="20" spans="1:19">
      <c r="A20" s="77"/>
      <c r="B20" s="78"/>
      <c r="C20" s="75" t="s">
        <v>649</v>
      </c>
      <c r="D20" s="75"/>
      <c r="E20" s="88"/>
      <c r="F20" s="88"/>
      <c r="G20" s="83"/>
      <c r="H20" s="83"/>
      <c r="I20" s="96"/>
      <c r="J20" s="83"/>
      <c r="K20" s="83" t="s">
        <v>134</v>
      </c>
      <c r="L20" s="75"/>
      <c r="M20" s="75"/>
      <c r="N20" s="75"/>
      <c r="O20" s="75"/>
      <c r="P20" s="98" t="s">
        <v>9</v>
      </c>
      <c r="Q20" s="98" t="s">
        <v>9</v>
      </c>
      <c r="R20" s="98" t="s">
        <v>9</v>
      </c>
      <c r="S20" s="75"/>
    </row>
    <row r="21" spans="1:19">
      <c r="A21" s="77"/>
      <c r="B21" s="78"/>
      <c r="C21" s="75" t="s">
        <v>650</v>
      </c>
      <c r="D21" s="75"/>
      <c r="E21" s="88"/>
      <c r="F21" s="88"/>
      <c r="G21" s="83"/>
      <c r="H21" s="83"/>
      <c r="I21" s="96"/>
      <c r="J21" s="83"/>
      <c r="K21" s="83" t="s">
        <v>134</v>
      </c>
      <c r="L21" s="75"/>
      <c r="M21" s="75"/>
      <c r="N21" s="75"/>
      <c r="O21" s="75"/>
      <c r="P21" s="98" t="s">
        <v>9</v>
      </c>
      <c r="Q21" s="98" t="s">
        <v>9</v>
      </c>
      <c r="R21" s="98" t="s">
        <v>9</v>
      </c>
      <c r="S21" s="75"/>
    </row>
    <row r="22" spans="1:19">
      <c r="A22" s="77"/>
      <c r="B22" s="78"/>
      <c r="C22" s="75" t="s">
        <v>651</v>
      </c>
      <c r="D22" s="75"/>
      <c r="E22" s="88"/>
      <c r="F22" s="88"/>
      <c r="G22" s="83"/>
      <c r="H22" s="83"/>
      <c r="I22" s="96"/>
      <c r="J22" s="83"/>
      <c r="K22" s="83" t="s">
        <v>134</v>
      </c>
      <c r="L22" s="75"/>
      <c r="M22" s="75"/>
      <c r="N22" s="75"/>
      <c r="O22" s="75"/>
      <c r="P22" s="98" t="s">
        <v>9</v>
      </c>
      <c r="Q22" s="98" t="s">
        <v>9</v>
      </c>
      <c r="R22" s="98" t="s">
        <v>9</v>
      </c>
      <c r="S22" s="75"/>
    </row>
    <row r="23" spans="1:19">
      <c r="A23" s="77"/>
      <c r="B23" s="78"/>
      <c r="C23" s="75" t="s">
        <v>652</v>
      </c>
      <c r="D23" s="75"/>
      <c r="E23" s="88"/>
      <c r="F23" s="88"/>
      <c r="G23" s="83"/>
      <c r="H23" s="83"/>
      <c r="I23" s="96"/>
      <c r="J23" s="83"/>
      <c r="K23" s="83" t="s">
        <v>134</v>
      </c>
      <c r="L23" s="75"/>
      <c r="M23" s="75"/>
      <c r="N23" s="75"/>
      <c r="O23" s="75"/>
      <c r="P23" s="98" t="s">
        <v>9</v>
      </c>
      <c r="Q23" s="98" t="s">
        <v>9</v>
      </c>
      <c r="R23" s="98" t="s">
        <v>9</v>
      </c>
      <c r="S23" s="75"/>
    </row>
    <row r="24" spans="1:19">
      <c r="A24" s="77"/>
      <c r="B24" s="78"/>
      <c r="C24" s="75" t="s">
        <v>653</v>
      </c>
      <c r="D24" s="75"/>
      <c r="E24" s="88"/>
      <c r="F24" s="88"/>
      <c r="G24" s="83"/>
      <c r="H24" s="83"/>
      <c r="I24" s="96"/>
      <c r="J24" s="83"/>
      <c r="K24" s="83" t="s">
        <v>134</v>
      </c>
      <c r="L24" s="75"/>
      <c r="M24" s="75"/>
      <c r="N24" s="75"/>
      <c r="O24" s="75"/>
      <c r="P24" s="98" t="s">
        <v>9</v>
      </c>
      <c r="Q24" s="98" t="s">
        <v>9</v>
      </c>
      <c r="R24" s="98" t="s">
        <v>9</v>
      </c>
      <c r="S24" s="75"/>
    </row>
    <row r="25" spans="1:19">
      <c r="A25" s="77"/>
      <c r="B25" s="78"/>
      <c r="C25" s="75" t="s">
        <v>654</v>
      </c>
      <c r="D25" s="75"/>
      <c r="E25" s="88"/>
      <c r="F25" s="88"/>
      <c r="G25" s="83"/>
      <c r="H25" s="83"/>
      <c r="I25" s="96"/>
      <c r="J25" s="83"/>
      <c r="K25" s="83" t="s">
        <v>134</v>
      </c>
      <c r="L25" s="75"/>
      <c r="M25" s="75"/>
      <c r="N25" s="75"/>
      <c r="O25" s="75"/>
      <c r="P25" s="98" t="s">
        <v>9</v>
      </c>
      <c r="Q25" s="98" t="s">
        <v>9</v>
      </c>
      <c r="R25" s="98" t="s">
        <v>9</v>
      </c>
      <c r="S25" s="75"/>
    </row>
    <row r="26" spans="1:19">
      <c r="A26" s="77"/>
      <c r="B26" s="78"/>
      <c r="C26" s="75" t="s">
        <v>655</v>
      </c>
      <c r="D26" s="75"/>
      <c r="E26" s="88"/>
      <c r="F26" s="88"/>
      <c r="G26" s="83"/>
      <c r="H26" s="83"/>
      <c r="I26" s="96"/>
      <c r="J26" s="83"/>
      <c r="K26" s="83" t="s">
        <v>134</v>
      </c>
      <c r="L26" s="75"/>
      <c r="M26" s="75"/>
      <c r="N26" s="75"/>
      <c r="O26" s="75"/>
      <c r="P26" s="98" t="s">
        <v>9</v>
      </c>
      <c r="Q26" s="98" t="s">
        <v>9</v>
      </c>
      <c r="R26" s="98" t="s">
        <v>9</v>
      </c>
      <c r="S26" s="75"/>
    </row>
    <row r="27" spans="1:19">
      <c r="A27" s="77"/>
      <c r="B27" s="78"/>
      <c r="C27" s="75" t="s">
        <v>656</v>
      </c>
      <c r="D27" s="75"/>
      <c r="E27" s="88"/>
      <c r="F27" s="88"/>
      <c r="G27" s="83"/>
      <c r="H27" s="83"/>
      <c r="I27" s="96"/>
      <c r="J27" s="83"/>
      <c r="K27" s="83" t="s">
        <v>134</v>
      </c>
      <c r="L27" s="75"/>
      <c r="M27" s="75"/>
      <c r="N27" s="75"/>
      <c r="O27" s="75"/>
      <c r="P27" s="98" t="s">
        <v>9</v>
      </c>
      <c r="Q27" s="98" t="s">
        <v>9</v>
      </c>
      <c r="R27" s="98" t="s">
        <v>9</v>
      </c>
      <c r="S27" s="75"/>
    </row>
    <row r="28" spans="1:19">
      <c r="A28" s="77"/>
      <c r="B28" s="78"/>
      <c r="C28" s="75" t="s">
        <v>657</v>
      </c>
      <c r="D28" s="75"/>
      <c r="E28" s="88"/>
      <c r="F28" s="88"/>
      <c r="G28" s="83"/>
      <c r="H28" s="83"/>
      <c r="I28" s="96"/>
      <c r="J28" s="83"/>
      <c r="K28" s="83" t="s">
        <v>134</v>
      </c>
      <c r="L28" s="75"/>
      <c r="M28" s="75"/>
      <c r="N28" s="75"/>
      <c r="O28" s="75"/>
      <c r="P28" s="98" t="s">
        <v>9</v>
      </c>
      <c r="Q28" s="98" t="s">
        <v>9</v>
      </c>
      <c r="R28" s="98" t="s">
        <v>9</v>
      </c>
      <c r="S28" s="75"/>
    </row>
    <row r="29" spans="1:19">
      <c r="A29" s="77"/>
      <c r="B29" s="78"/>
      <c r="C29" s="75" t="s">
        <v>658</v>
      </c>
      <c r="D29" s="75"/>
      <c r="E29" s="88"/>
      <c r="F29" s="88"/>
      <c r="G29" s="83"/>
      <c r="H29" s="83"/>
      <c r="I29" s="96"/>
      <c r="J29" s="83"/>
      <c r="K29" s="83" t="s">
        <v>134</v>
      </c>
      <c r="L29" s="75"/>
      <c r="M29" s="75"/>
      <c r="N29" s="75"/>
      <c r="O29" s="75"/>
      <c r="P29" s="98" t="s">
        <v>9</v>
      </c>
      <c r="Q29" s="98" t="s">
        <v>9</v>
      </c>
      <c r="R29" s="98" t="s">
        <v>9</v>
      </c>
      <c r="S29" s="75"/>
    </row>
    <row r="30" ht="34" spans="1:19">
      <c r="A30" s="77"/>
      <c r="B30" s="78"/>
      <c r="C30" s="75" t="s">
        <v>659</v>
      </c>
      <c r="D30" s="75"/>
      <c r="E30" s="88"/>
      <c r="F30" s="88"/>
      <c r="G30" s="83"/>
      <c r="H30" s="83"/>
      <c r="I30" s="96"/>
      <c r="J30" s="83"/>
      <c r="K30" s="83" t="s">
        <v>134</v>
      </c>
      <c r="L30" s="75"/>
      <c r="M30" s="75"/>
      <c r="N30" s="75"/>
      <c r="O30" s="75"/>
      <c r="P30" s="98" t="s">
        <v>9</v>
      </c>
      <c r="Q30" s="98" t="s">
        <v>9</v>
      </c>
      <c r="R30" s="98" t="s">
        <v>9</v>
      </c>
      <c r="S30" s="75"/>
    </row>
    <row r="31" spans="1:19">
      <c r="A31" s="77"/>
      <c r="B31" s="78"/>
      <c r="C31" s="75" t="s">
        <v>660</v>
      </c>
      <c r="D31" s="75"/>
      <c r="E31" s="88"/>
      <c r="F31" s="88"/>
      <c r="G31" s="83"/>
      <c r="H31" s="83"/>
      <c r="I31" s="96"/>
      <c r="J31" s="83"/>
      <c r="K31" s="83" t="s">
        <v>134</v>
      </c>
      <c r="L31" s="75"/>
      <c r="M31" s="75"/>
      <c r="N31" s="75"/>
      <c r="O31" s="75"/>
      <c r="P31" s="98" t="s">
        <v>9</v>
      </c>
      <c r="Q31" s="98" t="s">
        <v>9</v>
      </c>
      <c r="R31" s="98" t="s">
        <v>9</v>
      </c>
      <c r="S31" s="75"/>
    </row>
    <row r="32" spans="1:19">
      <c r="A32" s="77"/>
      <c r="B32" s="78"/>
      <c r="C32" s="75" t="s">
        <v>661</v>
      </c>
      <c r="D32" s="75"/>
      <c r="E32" s="88"/>
      <c r="F32" s="88"/>
      <c r="G32" s="83"/>
      <c r="H32" s="83"/>
      <c r="I32" s="96"/>
      <c r="J32" s="83"/>
      <c r="K32" s="83" t="s">
        <v>134</v>
      </c>
      <c r="L32" s="75"/>
      <c r="M32" s="75"/>
      <c r="N32" s="75"/>
      <c r="O32" s="75"/>
      <c r="P32" s="98" t="s">
        <v>9</v>
      </c>
      <c r="Q32" s="98" t="s">
        <v>9</v>
      </c>
      <c r="R32" s="98" t="s">
        <v>9</v>
      </c>
      <c r="S32" s="75"/>
    </row>
    <row r="33" ht="34" spans="1:19">
      <c r="A33" s="77"/>
      <c r="B33" s="78"/>
      <c r="C33" s="75" t="s">
        <v>662</v>
      </c>
      <c r="D33" s="75" t="s">
        <v>109</v>
      </c>
      <c r="E33" s="88" t="s">
        <v>628</v>
      </c>
      <c r="F33" s="88"/>
      <c r="G33" s="83"/>
      <c r="H33" s="83"/>
      <c r="I33" s="96"/>
      <c r="J33" s="83"/>
      <c r="K33" s="83" t="s">
        <v>134</v>
      </c>
      <c r="L33" s="75"/>
      <c r="M33" s="75"/>
      <c r="N33" s="75"/>
      <c r="O33" s="75"/>
      <c r="P33" s="98" t="s">
        <v>9</v>
      </c>
      <c r="Q33" s="98" t="s">
        <v>9</v>
      </c>
      <c r="R33" s="98" t="s">
        <v>9</v>
      </c>
      <c r="S33" s="75"/>
    </row>
    <row r="34" ht="34" spans="1:19">
      <c r="A34" s="77"/>
      <c r="B34" s="78"/>
      <c r="C34" s="75" t="s">
        <v>663</v>
      </c>
      <c r="D34" s="75" t="s">
        <v>109</v>
      </c>
      <c r="E34" s="88" t="s">
        <v>628</v>
      </c>
      <c r="F34" s="88"/>
      <c r="G34" s="83"/>
      <c r="H34" s="83"/>
      <c r="I34" s="96"/>
      <c r="J34" s="83"/>
      <c r="K34" s="83" t="s">
        <v>134</v>
      </c>
      <c r="L34" s="75"/>
      <c r="M34" s="75"/>
      <c r="N34" s="75"/>
      <c r="O34" s="75"/>
      <c r="P34" s="98" t="s">
        <v>9</v>
      </c>
      <c r="Q34" s="98" t="s">
        <v>9</v>
      </c>
      <c r="R34" s="98" t="s">
        <v>9</v>
      </c>
      <c r="S34" s="75"/>
    </row>
    <row r="35" spans="1:19">
      <c r="A35" s="77"/>
      <c r="B35" s="80"/>
      <c r="C35" s="75" t="s">
        <v>664</v>
      </c>
      <c r="D35" s="75"/>
      <c r="E35" s="88" t="s">
        <v>628</v>
      </c>
      <c r="F35" s="88"/>
      <c r="G35" s="83"/>
      <c r="H35" s="83"/>
      <c r="I35" s="96"/>
      <c r="J35" s="83"/>
      <c r="K35" s="83" t="s">
        <v>134</v>
      </c>
      <c r="L35" s="75"/>
      <c r="M35" s="75"/>
      <c r="N35" s="75"/>
      <c r="O35" s="75"/>
      <c r="P35" s="98" t="s">
        <v>9</v>
      </c>
      <c r="Q35" s="98" t="s">
        <v>9</v>
      </c>
      <c r="R35" s="98" t="s">
        <v>9</v>
      </c>
      <c r="S35" s="75"/>
    </row>
    <row r="36" spans="1:19">
      <c r="A36" s="81" t="s">
        <v>665</v>
      </c>
      <c r="B36" s="81" t="s">
        <v>666</v>
      </c>
      <c r="C36" s="75" t="s">
        <v>667</v>
      </c>
      <c r="D36" s="75"/>
      <c r="E36" s="88" t="s">
        <v>668</v>
      </c>
      <c r="F36" s="88"/>
      <c r="G36" s="83"/>
      <c r="H36" s="83"/>
      <c r="I36" s="96"/>
      <c r="J36" s="83"/>
      <c r="K36" s="83" t="s">
        <v>134</v>
      </c>
      <c r="L36" s="75"/>
      <c r="M36" s="75"/>
      <c r="N36" s="75"/>
      <c r="O36" s="75"/>
      <c r="P36" s="98">
        <f>(734+816+771)/3</f>
        <v>773.666666666667</v>
      </c>
      <c r="Q36" s="101">
        <v>812</v>
      </c>
      <c r="R36" s="101">
        <v>799</v>
      </c>
      <c r="S36" s="75"/>
    </row>
    <row r="37" spans="1:19">
      <c r="A37" s="77"/>
      <c r="B37" s="77"/>
      <c r="C37" s="75" t="s">
        <v>669</v>
      </c>
      <c r="D37" s="82"/>
      <c r="E37" s="85" t="s">
        <v>670</v>
      </c>
      <c r="F37" s="85"/>
      <c r="G37" s="91"/>
      <c r="H37" s="91"/>
      <c r="I37" s="96"/>
      <c r="J37" s="91"/>
      <c r="K37" s="83" t="s">
        <v>134</v>
      </c>
      <c r="L37" s="75"/>
      <c r="M37" s="75"/>
      <c r="N37" s="75"/>
      <c r="O37" s="75"/>
      <c r="P37" s="99">
        <f>(1.224+1.3+1.413)/3</f>
        <v>1.31233333333333</v>
      </c>
      <c r="Q37" s="101">
        <v>1.265</v>
      </c>
      <c r="R37" s="101">
        <v>1.114</v>
      </c>
      <c r="S37" s="75"/>
    </row>
    <row r="38" spans="1:19">
      <c r="A38" s="73"/>
      <c r="B38" s="77"/>
      <c r="C38" s="75" t="s">
        <v>671</v>
      </c>
      <c r="D38" s="75"/>
      <c r="E38" s="88" t="s">
        <v>672</v>
      </c>
      <c r="F38" s="88"/>
      <c r="G38" s="83"/>
      <c r="H38" s="83"/>
      <c r="I38" s="96"/>
      <c r="J38" s="83"/>
      <c r="K38" s="83" t="s">
        <v>134</v>
      </c>
      <c r="L38" s="75"/>
      <c r="M38" s="75"/>
      <c r="N38" s="75"/>
      <c r="O38" s="75"/>
      <c r="P38" s="98">
        <f>(511+551+492)/3</f>
        <v>518</v>
      </c>
      <c r="Q38" s="101">
        <v>551</v>
      </c>
      <c r="R38" s="101">
        <v>612</v>
      </c>
      <c r="S38" s="75"/>
    </row>
    <row r="39" spans="1:19">
      <c r="A39" s="77"/>
      <c r="B39" s="77"/>
      <c r="C39" s="75" t="s">
        <v>673</v>
      </c>
      <c r="D39" s="76"/>
      <c r="E39" s="87"/>
      <c r="F39" s="87"/>
      <c r="G39" s="86"/>
      <c r="H39" s="86"/>
      <c r="I39" s="96"/>
      <c r="J39" s="86"/>
      <c r="K39" s="83" t="s">
        <v>134</v>
      </c>
      <c r="L39" s="75"/>
      <c r="M39" s="75"/>
      <c r="N39" s="75"/>
      <c r="O39" s="75"/>
      <c r="P39" s="100">
        <f>(1.237+1.12+1.516)/3</f>
        <v>1.291</v>
      </c>
      <c r="Q39" s="101">
        <v>1.2</v>
      </c>
      <c r="R39" s="101">
        <v>1.11</v>
      </c>
      <c r="S39" s="75"/>
    </row>
    <row r="40" spans="1:19">
      <c r="A40" s="77"/>
      <c r="B40" s="77"/>
      <c r="C40" s="75" t="s">
        <v>674</v>
      </c>
      <c r="D40" s="76"/>
      <c r="E40" s="87"/>
      <c r="F40" s="87"/>
      <c r="G40" s="86"/>
      <c r="H40" s="86"/>
      <c r="I40" s="96"/>
      <c r="J40" s="86"/>
      <c r="K40" s="83" t="s">
        <v>134</v>
      </c>
      <c r="L40" s="75"/>
      <c r="M40" s="75"/>
      <c r="N40" s="75"/>
      <c r="O40" s="75"/>
      <c r="P40" s="100">
        <f>(877+912+798)/3</f>
        <v>862.333333333333</v>
      </c>
      <c r="Q40" s="101">
        <v>913</v>
      </c>
      <c r="R40" s="101">
        <v>885</v>
      </c>
      <c r="S40" s="75"/>
    </row>
    <row r="41" spans="1:19">
      <c r="A41" s="77"/>
      <c r="B41" s="77"/>
      <c r="C41" s="75" t="s">
        <v>675</v>
      </c>
      <c r="D41" s="76"/>
      <c r="E41" s="87" t="s">
        <v>668</v>
      </c>
      <c r="F41" s="87"/>
      <c r="G41" s="86"/>
      <c r="H41" s="86"/>
      <c r="I41" s="96"/>
      <c r="J41" s="86"/>
      <c r="K41" s="83" t="s">
        <v>134</v>
      </c>
      <c r="L41" s="75"/>
      <c r="M41" s="75"/>
      <c r="N41" s="75"/>
      <c r="O41" s="75"/>
      <c r="P41" s="100">
        <f>(616+729+794)/3</f>
        <v>713</v>
      </c>
      <c r="Q41" s="101">
        <v>804</v>
      </c>
      <c r="R41" s="102">
        <v>798</v>
      </c>
      <c r="S41" s="75"/>
    </row>
    <row r="42" spans="1:19">
      <c r="A42" s="77"/>
      <c r="B42" s="77"/>
      <c r="C42" s="83" t="s">
        <v>676</v>
      </c>
      <c r="D42" s="83"/>
      <c r="E42" s="88" t="s">
        <v>668</v>
      </c>
      <c r="F42" s="88"/>
      <c r="G42" s="83"/>
      <c r="H42" s="83"/>
      <c r="I42" s="96"/>
      <c r="J42" s="83"/>
      <c r="K42" s="83" t="s">
        <v>134</v>
      </c>
      <c r="L42" s="75"/>
      <c r="M42" s="75"/>
      <c r="N42" s="75"/>
      <c r="O42" s="75"/>
      <c r="P42" s="98">
        <f>(812+731+778)/3</f>
        <v>773.666666666667</v>
      </c>
      <c r="Q42" s="101">
        <v>774</v>
      </c>
      <c r="R42" s="101">
        <v>813</v>
      </c>
      <c r="S42" s="75"/>
    </row>
    <row r="43" spans="1:19">
      <c r="A43" s="77"/>
      <c r="B43" s="77"/>
      <c r="C43" s="83" t="s">
        <v>677</v>
      </c>
      <c r="D43" s="83"/>
      <c r="E43" s="88" t="s">
        <v>668</v>
      </c>
      <c r="F43" s="88"/>
      <c r="G43" s="83"/>
      <c r="H43" s="83"/>
      <c r="I43" s="96"/>
      <c r="J43" s="83"/>
      <c r="K43" s="83" t="s">
        <v>134</v>
      </c>
      <c r="L43" s="75"/>
      <c r="M43" s="75"/>
      <c r="N43" s="75"/>
      <c r="O43" s="75"/>
      <c r="P43" s="100">
        <f>(616+729+794)/3</f>
        <v>713</v>
      </c>
      <c r="Q43" s="101">
        <v>804</v>
      </c>
      <c r="R43" s="101">
        <v>798</v>
      </c>
      <c r="S43" s="75"/>
    </row>
    <row r="44" spans="1:19">
      <c r="A44" s="77"/>
      <c r="B44" s="77"/>
      <c r="C44" s="83" t="s">
        <v>678</v>
      </c>
      <c r="D44" s="83"/>
      <c r="E44" s="88" t="s">
        <v>668</v>
      </c>
      <c r="F44" s="88"/>
      <c r="G44" s="83"/>
      <c r="H44" s="83"/>
      <c r="I44" s="96"/>
      <c r="J44" s="83"/>
      <c r="K44" s="83" t="s">
        <v>134</v>
      </c>
      <c r="L44" s="75"/>
      <c r="M44" s="75"/>
      <c r="N44" s="75"/>
      <c r="O44" s="75"/>
      <c r="P44" s="98">
        <f>(951+812+881)/3</f>
        <v>881.333333333333</v>
      </c>
      <c r="Q44" s="101">
        <v>883</v>
      </c>
      <c r="R44" s="101">
        <v>891</v>
      </c>
      <c r="S44" s="75"/>
    </row>
    <row r="45" spans="1:19">
      <c r="A45" s="77"/>
      <c r="B45" s="77"/>
      <c r="C45" s="75" t="s">
        <v>679</v>
      </c>
      <c r="D45" s="75"/>
      <c r="E45" s="88"/>
      <c r="F45" s="88"/>
      <c r="G45" s="83"/>
      <c r="H45" s="83"/>
      <c r="I45" s="96"/>
      <c r="J45" s="83"/>
      <c r="K45" s="83" t="s">
        <v>134</v>
      </c>
      <c r="L45" s="75"/>
      <c r="M45" s="75"/>
      <c r="N45" s="75"/>
      <c r="O45" s="75"/>
      <c r="P45" s="98">
        <f>(1.63+1.365+1.11)/3</f>
        <v>1.36833333333333</v>
      </c>
      <c r="Q45" s="101">
        <v>1.01</v>
      </c>
      <c r="R45" s="101">
        <v>1.254</v>
      </c>
      <c r="S45" s="75"/>
    </row>
    <row r="46" spans="1:19">
      <c r="A46" s="77"/>
      <c r="B46" s="77"/>
      <c r="C46" s="75" t="s">
        <v>680</v>
      </c>
      <c r="D46" s="75"/>
      <c r="E46" s="88"/>
      <c r="F46" s="88"/>
      <c r="G46" s="83"/>
      <c r="H46" s="83"/>
      <c r="I46" s="96"/>
      <c r="J46" s="83"/>
      <c r="K46" s="83" t="s">
        <v>134</v>
      </c>
      <c r="L46" s="75"/>
      <c r="M46" s="75"/>
      <c r="N46" s="75"/>
      <c r="O46" s="75"/>
      <c r="P46" s="98">
        <f>(1.2+1.08+1.65)/3</f>
        <v>1.31</v>
      </c>
      <c r="Q46" s="101">
        <v>1.776</v>
      </c>
      <c r="R46" s="101">
        <v>1.621</v>
      </c>
      <c r="S46" s="75"/>
    </row>
    <row r="47" spans="1:19">
      <c r="A47" s="77"/>
      <c r="B47" s="77"/>
      <c r="C47" s="75" t="s">
        <v>681</v>
      </c>
      <c r="D47" s="75"/>
      <c r="E47" s="88"/>
      <c r="F47" s="88"/>
      <c r="G47" s="83"/>
      <c r="H47" s="83"/>
      <c r="I47" s="96"/>
      <c r="J47" s="83"/>
      <c r="K47" s="83" t="s">
        <v>134</v>
      </c>
      <c r="L47" s="75"/>
      <c r="M47" s="75"/>
      <c r="N47" s="75"/>
      <c r="O47" s="75"/>
      <c r="P47" s="98">
        <f>(1.91+1.62+1.321)/3</f>
        <v>1.617</v>
      </c>
      <c r="Q47" s="101">
        <v>1.321</v>
      </c>
      <c r="R47" s="101">
        <v>1.553</v>
      </c>
      <c r="S47" s="75"/>
    </row>
    <row r="48" spans="1:19">
      <c r="A48" s="77"/>
      <c r="B48" s="77"/>
      <c r="C48" s="75" t="s">
        <v>682</v>
      </c>
      <c r="D48" s="75"/>
      <c r="E48" s="88"/>
      <c r="F48" s="88"/>
      <c r="G48" s="83"/>
      <c r="H48" s="83"/>
      <c r="I48" s="96"/>
      <c r="J48" s="83"/>
      <c r="K48" s="83" t="s">
        <v>134</v>
      </c>
      <c r="L48" s="75"/>
      <c r="M48" s="75"/>
      <c r="N48" s="75"/>
      <c r="O48" s="75"/>
      <c r="P48" s="98">
        <f>(1.71+1.886+1.69)/3</f>
        <v>1.762</v>
      </c>
      <c r="Q48" s="101">
        <v>1.998</v>
      </c>
      <c r="R48" s="101">
        <v>1.7</v>
      </c>
      <c r="S48" s="75"/>
    </row>
    <row r="49" spans="1:19">
      <c r="A49" s="77"/>
      <c r="B49" s="77"/>
      <c r="C49" s="75" t="s">
        <v>683</v>
      </c>
      <c r="D49" s="75"/>
      <c r="E49" s="88"/>
      <c r="F49" s="88"/>
      <c r="G49" s="83"/>
      <c r="H49" s="83"/>
      <c r="I49" s="96"/>
      <c r="J49" s="83"/>
      <c r="K49" s="83" t="s">
        <v>134</v>
      </c>
      <c r="L49" s="75"/>
      <c r="M49" s="75"/>
      <c r="N49" s="75"/>
      <c r="O49" s="75"/>
      <c r="P49" s="98">
        <f>(2.17+2.04+2.012)/3</f>
        <v>2.074</v>
      </c>
      <c r="Q49" s="101">
        <v>1.992</v>
      </c>
      <c r="R49" s="101">
        <v>1.86</v>
      </c>
      <c r="S49" s="75"/>
    </row>
    <row r="50" spans="1:19">
      <c r="A50" s="77"/>
      <c r="B50" s="77"/>
      <c r="C50" s="75" t="s">
        <v>684</v>
      </c>
      <c r="D50" s="75"/>
      <c r="E50" s="88"/>
      <c r="F50" s="88"/>
      <c r="G50" s="83"/>
      <c r="H50" s="83"/>
      <c r="I50" s="96"/>
      <c r="J50" s="83"/>
      <c r="K50" s="83" t="s">
        <v>134</v>
      </c>
      <c r="L50" s="75"/>
      <c r="M50" s="75"/>
      <c r="N50" s="75"/>
      <c r="O50" s="75"/>
      <c r="P50" s="98">
        <f>(734+816+771)/3</f>
        <v>773.666666666667</v>
      </c>
      <c r="Q50" s="101">
        <v>812</v>
      </c>
      <c r="R50" s="101">
        <v>799</v>
      </c>
      <c r="S50" s="75"/>
    </row>
    <row r="51" hidden="1" spans="1:19">
      <c r="A51" s="77"/>
      <c r="B51" s="77"/>
      <c r="C51" s="75" t="s">
        <v>685</v>
      </c>
      <c r="D51" s="75"/>
      <c r="E51" s="88" t="s">
        <v>670</v>
      </c>
      <c r="F51" s="88"/>
      <c r="G51" s="83"/>
      <c r="H51" s="83"/>
      <c r="I51" s="96"/>
      <c r="J51" s="83"/>
      <c r="K51" s="83" t="s">
        <v>580</v>
      </c>
      <c r="L51" s="75"/>
      <c r="M51" s="75"/>
      <c r="N51" s="75"/>
      <c r="O51" s="75"/>
      <c r="P51" s="75"/>
      <c r="Q51" s="75"/>
      <c r="R51" s="75"/>
      <c r="S51" s="75"/>
    </row>
    <row r="52" hidden="1" spans="1:19">
      <c r="A52" s="77"/>
      <c r="B52" s="77"/>
      <c r="C52" s="75" t="s">
        <v>686</v>
      </c>
      <c r="D52" s="82"/>
      <c r="E52" s="85"/>
      <c r="F52" s="85"/>
      <c r="G52" s="91"/>
      <c r="H52" s="91"/>
      <c r="I52" s="96"/>
      <c r="J52" s="91"/>
      <c r="K52" s="83" t="s">
        <v>580</v>
      </c>
      <c r="L52" s="75"/>
      <c r="M52" s="75"/>
      <c r="N52" s="75"/>
      <c r="O52" s="75"/>
      <c r="P52" s="75"/>
      <c r="Q52" s="75"/>
      <c r="R52" s="75"/>
      <c r="S52" s="75"/>
    </row>
    <row r="53" hidden="1" spans="1:19">
      <c r="A53" s="77"/>
      <c r="B53" s="77"/>
      <c r="C53" s="75" t="s">
        <v>687</v>
      </c>
      <c r="D53" s="82"/>
      <c r="E53" s="85"/>
      <c r="F53" s="85"/>
      <c r="G53" s="91"/>
      <c r="H53" s="91"/>
      <c r="I53" s="96"/>
      <c r="J53" s="91"/>
      <c r="K53" s="83" t="s">
        <v>580</v>
      </c>
      <c r="L53" s="75"/>
      <c r="M53" s="75"/>
      <c r="N53" s="75"/>
      <c r="O53" s="75"/>
      <c r="P53" s="75"/>
      <c r="Q53" s="75"/>
      <c r="R53" s="75"/>
      <c r="S53" s="75"/>
    </row>
    <row r="54" hidden="1" spans="1:19">
      <c r="A54" s="77"/>
      <c r="B54" s="77"/>
      <c r="C54" s="75" t="s">
        <v>688</v>
      </c>
      <c r="D54" s="82"/>
      <c r="E54" s="85"/>
      <c r="F54" s="85"/>
      <c r="G54" s="91"/>
      <c r="H54" s="91"/>
      <c r="I54" s="96"/>
      <c r="J54" s="91"/>
      <c r="K54" s="83" t="s">
        <v>580</v>
      </c>
      <c r="L54" s="75"/>
      <c r="M54" s="75"/>
      <c r="N54" s="75"/>
      <c r="O54" s="75"/>
      <c r="P54" s="75"/>
      <c r="Q54" s="75"/>
      <c r="R54" s="75"/>
      <c r="S54" s="75"/>
    </row>
    <row r="55" ht="47" hidden="1" spans="1:19">
      <c r="A55" s="81" t="s">
        <v>689</v>
      </c>
      <c r="B55" s="81" t="s">
        <v>690</v>
      </c>
      <c r="C55" s="75" t="s">
        <v>691</v>
      </c>
      <c r="D55" s="75"/>
      <c r="E55" s="92" t="s">
        <v>692</v>
      </c>
      <c r="F55" s="93">
        <f>(9.52+8.86+8.55)/3</f>
        <v>8.97666666666667</v>
      </c>
      <c r="G55" s="94"/>
      <c r="H55" s="95" t="s">
        <v>693</v>
      </c>
      <c r="I55" s="96"/>
      <c r="J55" s="97" t="s">
        <v>694</v>
      </c>
      <c r="K55" s="83" t="s">
        <v>114</v>
      </c>
      <c r="L55" s="75"/>
      <c r="M55" s="75"/>
      <c r="N55" s="75"/>
      <c r="O55" s="75"/>
      <c r="P55" s="75"/>
      <c r="Q55" s="75"/>
      <c r="R55" s="75"/>
      <c r="S55" s="75"/>
    </row>
    <row r="56" ht="47" hidden="1" spans="1:19">
      <c r="A56" s="77"/>
      <c r="B56" s="77"/>
      <c r="C56" s="75" t="s">
        <v>695</v>
      </c>
      <c r="D56" s="75"/>
      <c r="E56" s="92" t="s">
        <v>632</v>
      </c>
      <c r="F56" s="93">
        <f>(168+132+101+233+234+134)/6</f>
        <v>167</v>
      </c>
      <c r="G56" s="94"/>
      <c r="H56" s="95" t="s">
        <v>693</v>
      </c>
      <c r="I56" s="96"/>
      <c r="J56" s="97" t="s">
        <v>694</v>
      </c>
      <c r="K56" s="83" t="s">
        <v>114</v>
      </c>
      <c r="L56" s="75"/>
      <c r="M56" s="75"/>
      <c r="N56" s="75"/>
      <c r="O56" s="75"/>
      <c r="P56" s="75"/>
      <c r="Q56" s="75"/>
      <c r="R56" s="75"/>
      <c r="S56" s="75"/>
    </row>
    <row r="57" ht="47" hidden="1" spans="1:19">
      <c r="A57" s="77"/>
      <c r="B57" s="77"/>
      <c r="C57" s="75" t="s">
        <v>696</v>
      </c>
      <c r="D57" s="75"/>
      <c r="E57" s="92" t="s">
        <v>697</v>
      </c>
      <c r="F57" s="93">
        <f>(1.99+1.83+1.6)/3</f>
        <v>1.80666666666667</v>
      </c>
      <c r="G57" s="94"/>
      <c r="H57" s="95" t="s">
        <v>693</v>
      </c>
      <c r="I57" s="96"/>
      <c r="J57" s="97" t="s">
        <v>694</v>
      </c>
      <c r="K57" s="83" t="s">
        <v>698</v>
      </c>
      <c r="L57" s="75"/>
      <c r="M57" s="75"/>
      <c r="N57" s="75"/>
      <c r="O57" s="75"/>
      <c r="P57" s="75"/>
      <c r="Q57" s="75"/>
      <c r="R57" s="75"/>
      <c r="S57" s="75"/>
    </row>
    <row r="58" ht="47" hidden="1" spans="1:19">
      <c r="A58" s="84"/>
      <c r="B58" s="84"/>
      <c r="C58" s="75" t="s">
        <v>699</v>
      </c>
      <c r="D58" s="75"/>
      <c r="E58" s="92" t="s">
        <v>700</v>
      </c>
      <c r="F58" s="93">
        <f>(266+241+300)/3</f>
        <v>269</v>
      </c>
      <c r="G58" s="94"/>
      <c r="H58" s="95" t="s">
        <v>693</v>
      </c>
      <c r="I58" s="96"/>
      <c r="J58" s="97" t="s">
        <v>694</v>
      </c>
      <c r="K58" s="83" t="s">
        <v>114</v>
      </c>
      <c r="L58" s="75"/>
      <c r="M58" s="75"/>
      <c r="N58" s="75"/>
      <c r="O58" s="75"/>
      <c r="P58" s="75"/>
      <c r="Q58" s="75"/>
      <c r="R58" s="75"/>
      <c r="S58" s="75"/>
    </row>
    <row r="59" spans="1:19">
      <c r="A59" s="81" t="s">
        <v>701</v>
      </c>
      <c r="B59" s="85" t="s">
        <v>702</v>
      </c>
      <c r="C59" s="83" t="s">
        <v>703</v>
      </c>
      <c r="D59" s="86"/>
      <c r="E59" s="87" t="s">
        <v>697</v>
      </c>
      <c r="F59" s="87"/>
      <c r="G59" s="86"/>
      <c r="H59" s="86"/>
      <c r="I59" s="96"/>
      <c r="J59" s="86"/>
      <c r="K59" s="86" t="s">
        <v>134</v>
      </c>
      <c r="L59" s="75"/>
      <c r="M59" s="75"/>
      <c r="N59" s="75"/>
      <c r="O59" s="75"/>
      <c r="P59" s="98">
        <f>(1.203+1.87+1.1)/3</f>
        <v>1.391</v>
      </c>
      <c r="Q59" s="98">
        <f>(1.38+1.3+1.31)/3</f>
        <v>1.33</v>
      </c>
      <c r="R59" s="103">
        <v>1.11</v>
      </c>
      <c r="S59" s="75"/>
    </row>
    <row r="60" spans="1:19">
      <c r="A60" s="84"/>
      <c r="B60" s="87"/>
      <c r="C60" s="83" t="s">
        <v>704</v>
      </c>
      <c r="D60" s="83"/>
      <c r="E60" s="88" t="s">
        <v>705</v>
      </c>
      <c r="F60" s="88"/>
      <c r="G60" s="83"/>
      <c r="H60" s="83"/>
      <c r="I60" s="96"/>
      <c r="J60" s="83"/>
      <c r="K60" s="83" t="s">
        <v>134</v>
      </c>
      <c r="L60" s="75"/>
      <c r="M60" s="75"/>
      <c r="N60" s="75"/>
      <c r="O60" s="75"/>
      <c r="P60" s="98">
        <f>(1.737+1.839+1.78)/3</f>
        <v>1.78533333333333</v>
      </c>
      <c r="Q60" s="98">
        <f>(1.972+1.804+1.81)/3</f>
        <v>1.862</v>
      </c>
      <c r="R60" s="104">
        <v>2.91</v>
      </c>
      <c r="S60" s="75"/>
    </row>
    <row r="61" spans="1:19">
      <c r="A61" s="85" t="s">
        <v>706</v>
      </c>
      <c r="B61" s="81" t="s">
        <v>702</v>
      </c>
      <c r="C61" s="88" t="s">
        <v>707</v>
      </c>
      <c r="D61" s="88"/>
      <c r="E61" s="88" t="s">
        <v>137</v>
      </c>
      <c r="F61" s="88"/>
      <c r="G61" s="83"/>
      <c r="H61" s="83"/>
      <c r="I61" s="96"/>
      <c r="J61" s="83"/>
      <c r="K61" s="83" t="s">
        <v>134</v>
      </c>
      <c r="L61" s="75"/>
      <c r="M61" s="75"/>
      <c r="N61" s="75"/>
      <c r="O61" s="75"/>
      <c r="P61" s="98" t="s">
        <v>708</v>
      </c>
      <c r="Q61" s="98" t="s">
        <v>708</v>
      </c>
      <c r="R61" s="98" t="s">
        <v>708</v>
      </c>
      <c r="S61" s="75"/>
    </row>
    <row r="62" spans="1:19">
      <c r="A62" s="89"/>
      <c r="B62" s="77"/>
      <c r="C62" s="88" t="s">
        <v>709</v>
      </c>
      <c r="D62" s="88"/>
      <c r="E62" s="88" t="s">
        <v>137</v>
      </c>
      <c r="F62" s="88"/>
      <c r="G62" s="83"/>
      <c r="H62" s="83"/>
      <c r="I62" s="96"/>
      <c r="J62" s="83"/>
      <c r="K62" s="83" t="s">
        <v>134</v>
      </c>
      <c r="L62" s="75"/>
      <c r="M62" s="75"/>
      <c r="N62" s="75"/>
      <c r="O62" s="75"/>
      <c r="P62" s="98" t="s">
        <v>708</v>
      </c>
      <c r="Q62" s="98" t="s">
        <v>708</v>
      </c>
      <c r="R62" s="98" t="s">
        <v>708</v>
      </c>
      <c r="S62" s="75"/>
    </row>
    <row r="63" spans="1:19">
      <c r="A63" s="87"/>
      <c r="B63" s="84"/>
      <c r="C63" s="88" t="s">
        <v>710</v>
      </c>
      <c r="D63" s="88"/>
      <c r="E63" s="88" t="s">
        <v>137</v>
      </c>
      <c r="F63" s="88"/>
      <c r="G63" s="83"/>
      <c r="H63" s="83"/>
      <c r="I63" s="96"/>
      <c r="J63" s="83"/>
      <c r="K63" s="83" t="s">
        <v>134</v>
      </c>
      <c r="L63" s="75"/>
      <c r="M63" s="75"/>
      <c r="N63" s="75"/>
      <c r="O63" s="75"/>
      <c r="P63" s="98" t="s">
        <v>708</v>
      </c>
      <c r="Q63" s="98" t="s">
        <v>708</v>
      </c>
      <c r="R63" s="98" t="s">
        <v>708</v>
      </c>
      <c r="S63" s="75"/>
    </row>
    <row r="64" spans="1:19">
      <c r="A64" s="88" t="s">
        <v>711</v>
      </c>
      <c r="B64" s="88" t="s">
        <v>702</v>
      </c>
      <c r="C64" s="88" t="s">
        <v>712</v>
      </c>
      <c r="D64" s="88"/>
      <c r="E64" s="88" t="s">
        <v>137</v>
      </c>
      <c r="F64" s="88"/>
      <c r="G64" s="83"/>
      <c r="H64" s="83"/>
      <c r="I64" s="96"/>
      <c r="J64" s="83"/>
      <c r="K64" s="83" t="s">
        <v>134</v>
      </c>
      <c r="L64" s="75"/>
      <c r="M64" s="75"/>
      <c r="N64" s="75"/>
      <c r="O64" s="75"/>
      <c r="P64" s="98" t="s">
        <v>708</v>
      </c>
      <c r="Q64" s="98" t="s">
        <v>708</v>
      </c>
      <c r="R64" s="98" t="s">
        <v>708</v>
      </c>
      <c r="S64" s="75"/>
    </row>
    <row r="65" spans="1:19">
      <c r="A65" s="105" t="s">
        <v>713</v>
      </c>
      <c r="B65" s="85" t="s">
        <v>702</v>
      </c>
      <c r="C65" s="88" t="s">
        <v>714</v>
      </c>
      <c r="D65" s="88"/>
      <c r="E65" s="88" t="s">
        <v>137</v>
      </c>
      <c r="F65" s="88"/>
      <c r="G65" s="83"/>
      <c r="H65" s="83"/>
      <c r="I65" s="96"/>
      <c r="J65" s="83"/>
      <c r="K65" s="83" t="s">
        <v>134</v>
      </c>
      <c r="L65" s="75"/>
      <c r="M65" s="75"/>
      <c r="N65" s="75"/>
      <c r="O65" s="75"/>
      <c r="P65" s="98" t="s">
        <v>708</v>
      </c>
      <c r="Q65" s="98" t="s">
        <v>708</v>
      </c>
      <c r="R65" s="98" t="s">
        <v>708</v>
      </c>
      <c r="S65" s="75"/>
    </row>
    <row r="66" spans="1:19">
      <c r="A66" s="106"/>
      <c r="B66" s="87"/>
      <c r="C66" s="88" t="s">
        <v>715</v>
      </c>
      <c r="D66" s="88"/>
      <c r="E66" s="88" t="s">
        <v>183</v>
      </c>
      <c r="F66" s="88"/>
      <c r="G66" s="83"/>
      <c r="H66" s="83"/>
      <c r="I66" s="96"/>
      <c r="J66" s="83"/>
      <c r="K66" s="83" t="s">
        <v>134</v>
      </c>
      <c r="L66" s="75"/>
      <c r="M66" s="75"/>
      <c r="N66" s="75"/>
      <c r="O66" s="75"/>
      <c r="P66" s="98" t="s">
        <v>708</v>
      </c>
      <c r="Q66" s="98" t="s">
        <v>708</v>
      </c>
      <c r="R66" s="98" t="s">
        <v>708</v>
      </c>
      <c r="S66" s="75"/>
    </row>
    <row r="67" spans="1:19">
      <c r="A67" s="88" t="s">
        <v>716</v>
      </c>
      <c r="B67" s="88" t="s">
        <v>702</v>
      </c>
      <c r="C67" s="88" t="s">
        <v>717</v>
      </c>
      <c r="D67" s="88"/>
      <c r="E67" s="88" t="s">
        <v>137</v>
      </c>
      <c r="F67" s="88"/>
      <c r="G67" s="83"/>
      <c r="H67" s="83"/>
      <c r="I67" s="96"/>
      <c r="J67" s="83"/>
      <c r="K67" s="83" t="s">
        <v>134</v>
      </c>
      <c r="L67" s="75"/>
      <c r="M67" s="75"/>
      <c r="N67" s="75"/>
      <c r="O67" s="75"/>
      <c r="P67" s="98" t="s">
        <v>708</v>
      </c>
      <c r="Q67" s="98" t="s">
        <v>708</v>
      </c>
      <c r="R67" s="98" t="s">
        <v>708</v>
      </c>
      <c r="S67" s="75"/>
    </row>
    <row r="68" spans="1:19">
      <c r="A68" s="81" t="s">
        <v>718</v>
      </c>
      <c r="B68" s="85" t="s">
        <v>702</v>
      </c>
      <c r="C68" s="88" t="s">
        <v>719</v>
      </c>
      <c r="D68" s="88"/>
      <c r="E68" s="88" t="s">
        <v>137</v>
      </c>
      <c r="F68" s="88"/>
      <c r="G68" s="83"/>
      <c r="H68" s="83"/>
      <c r="I68" s="96"/>
      <c r="J68" s="83"/>
      <c r="K68" s="83" t="s">
        <v>134</v>
      </c>
      <c r="L68" s="75"/>
      <c r="M68" s="75"/>
      <c r="N68" s="75"/>
      <c r="O68" s="75"/>
      <c r="P68" s="98" t="s">
        <v>708</v>
      </c>
      <c r="Q68" s="98" t="s">
        <v>708</v>
      </c>
      <c r="R68" s="98" t="s">
        <v>708</v>
      </c>
      <c r="S68" s="75"/>
    </row>
    <row r="69" hidden="1" spans="1:19">
      <c r="A69" s="84"/>
      <c r="B69" s="87"/>
      <c r="C69" s="88" t="s">
        <v>720</v>
      </c>
      <c r="D69" s="88"/>
      <c r="E69" s="88" t="s">
        <v>697</v>
      </c>
      <c r="F69" s="88"/>
      <c r="G69" s="83"/>
      <c r="H69" s="83"/>
      <c r="I69" s="96"/>
      <c r="J69" s="83"/>
      <c r="K69" s="83" t="s">
        <v>134</v>
      </c>
      <c r="L69" s="75"/>
      <c r="M69" s="75"/>
      <c r="N69" s="75"/>
      <c r="O69" s="75"/>
      <c r="P69" s="75"/>
      <c r="Q69" s="75"/>
      <c r="R69" s="75"/>
      <c r="S69" s="75"/>
    </row>
    <row r="70" spans="1:19">
      <c r="A70" s="81" t="s">
        <v>721</v>
      </c>
      <c r="B70" s="85" t="s">
        <v>702</v>
      </c>
      <c r="C70" s="88" t="s">
        <v>722</v>
      </c>
      <c r="D70" s="88"/>
      <c r="E70" s="88" t="s">
        <v>106</v>
      </c>
      <c r="F70" s="88"/>
      <c r="G70" s="83"/>
      <c r="H70" s="83"/>
      <c r="I70" s="96"/>
      <c r="J70" s="83"/>
      <c r="K70" s="83" t="s">
        <v>134</v>
      </c>
      <c r="L70" s="75"/>
      <c r="M70" s="75"/>
      <c r="N70" s="75"/>
      <c r="O70" s="75"/>
      <c r="P70" s="98">
        <f>(1.5+1.133+2.1)/3</f>
        <v>1.57766666666667</v>
      </c>
      <c r="Q70" s="101">
        <v>1.666666667</v>
      </c>
      <c r="R70" s="75">
        <f>(1.033+0.933+1.033)/3</f>
        <v>0.999666666666667</v>
      </c>
      <c r="S70" s="75"/>
    </row>
    <row r="71" spans="1:19">
      <c r="A71" s="77"/>
      <c r="B71" s="89"/>
      <c r="C71" s="88" t="s">
        <v>723</v>
      </c>
      <c r="D71" s="88"/>
      <c r="E71" s="88" t="s">
        <v>106</v>
      </c>
      <c r="F71" s="88"/>
      <c r="G71" s="83"/>
      <c r="H71" s="83"/>
      <c r="I71" s="96"/>
      <c r="J71" s="83"/>
      <c r="K71" s="83" t="s">
        <v>134</v>
      </c>
      <c r="L71" s="75"/>
      <c r="M71" s="75"/>
      <c r="N71" s="75"/>
      <c r="O71" s="75"/>
      <c r="P71" s="98">
        <f>(7.167+5.6+4.733)/3</f>
        <v>5.83333333333333</v>
      </c>
      <c r="Q71" s="112">
        <v>6.011</v>
      </c>
      <c r="R71" s="75">
        <f>(5.9+5.7+5.733)/3</f>
        <v>5.77766666666667</v>
      </c>
      <c r="S71" s="75"/>
    </row>
    <row r="72" spans="1:19">
      <c r="A72" s="84"/>
      <c r="B72" s="87"/>
      <c r="C72" s="88" t="s">
        <v>724</v>
      </c>
      <c r="D72" s="85"/>
      <c r="E72" s="85" t="s">
        <v>106</v>
      </c>
      <c r="F72" s="85"/>
      <c r="G72" s="91"/>
      <c r="H72" s="91"/>
      <c r="I72" s="96"/>
      <c r="J72" s="91"/>
      <c r="K72" s="91" t="s">
        <v>134</v>
      </c>
      <c r="L72" s="75"/>
      <c r="M72" s="75"/>
      <c r="N72" s="75"/>
      <c r="O72" s="75"/>
      <c r="P72" s="98">
        <f>(3.8+4.233+4.134)/3</f>
        <v>4.05566666666667</v>
      </c>
      <c r="Q72" s="112">
        <v>5.311</v>
      </c>
      <c r="R72" s="75">
        <f>(4.333+3.867+4.066)/3</f>
        <v>4.08866666666667</v>
      </c>
      <c r="S72" s="75"/>
    </row>
    <row r="73" ht="51" hidden="1" spans="1:19">
      <c r="A73" s="81" t="s">
        <v>725</v>
      </c>
      <c r="B73" s="81" t="s">
        <v>726</v>
      </c>
      <c r="C73" s="88" t="s">
        <v>727</v>
      </c>
      <c r="D73" s="88"/>
      <c r="E73" s="92" t="s">
        <v>115</v>
      </c>
      <c r="F73" s="92"/>
      <c r="G73" s="94"/>
      <c r="H73" s="95" t="s">
        <v>728</v>
      </c>
      <c r="I73" s="110" t="s">
        <v>729</v>
      </c>
      <c r="J73" s="97"/>
      <c r="K73" s="83" t="s">
        <v>114</v>
      </c>
      <c r="L73" s="75"/>
      <c r="M73" s="75"/>
      <c r="N73" s="75"/>
      <c r="O73" s="75"/>
      <c r="P73" s="75"/>
      <c r="Q73" s="75"/>
      <c r="R73" s="75"/>
      <c r="S73" s="75"/>
    </row>
    <row r="74" ht="47" hidden="1" spans="1:19">
      <c r="A74" s="77"/>
      <c r="B74" s="77"/>
      <c r="C74" s="88" t="s">
        <v>730</v>
      </c>
      <c r="D74" s="88"/>
      <c r="E74" s="92" t="s">
        <v>137</v>
      </c>
      <c r="F74" s="92"/>
      <c r="G74" s="94"/>
      <c r="H74" s="95" t="s">
        <v>728</v>
      </c>
      <c r="I74" s="96"/>
      <c r="J74" s="97" t="s">
        <v>694</v>
      </c>
      <c r="K74" s="83" t="s">
        <v>114</v>
      </c>
      <c r="L74" s="75"/>
      <c r="M74" s="75"/>
      <c r="N74" s="75"/>
      <c r="O74" s="75"/>
      <c r="P74" s="75"/>
      <c r="Q74" s="75"/>
      <c r="R74" s="75"/>
      <c r="S74" s="75"/>
    </row>
    <row r="75" ht="47" hidden="1" spans="1:19">
      <c r="A75" s="77"/>
      <c r="B75" s="77"/>
      <c r="C75" s="88" t="s">
        <v>731</v>
      </c>
      <c r="D75" s="88" t="s">
        <v>109</v>
      </c>
      <c r="E75" s="92" t="s">
        <v>732</v>
      </c>
      <c r="F75" s="92"/>
      <c r="G75" s="94"/>
      <c r="H75" s="95" t="s">
        <v>728</v>
      </c>
      <c r="I75" s="96"/>
      <c r="J75" s="97" t="s">
        <v>694</v>
      </c>
      <c r="K75" s="83" t="s">
        <v>114</v>
      </c>
      <c r="L75" s="75"/>
      <c r="M75" s="75"/>
      <c r="N75" s="75"/>
      <c r="O75" s="75"/>
      <c r="P75" s="75"/>
      <c r="Q75" s="75"/>
      <c r="R75" s="75"/>
      <c r="S75" s="75"/>
    </row>
    <row r="76" ht="47" hidden="1" spans="1:19">
      <c r="A76" s="77"/>
      <c r="B76" s="77"/>
      <c r="C76" s="88" t="s">
        <v>733</v>
      </c>
      <c r="D76" s="88"/>
      <c r="E76" s="92" t="s">
        <v>734</v>
      </c>
      <c r="F76" s="92"/>
      <c r="G76" s="94"/>
      <c r="H76" s="95" t="s">
        <v>728</v>
      </c>
      <c r="I76" s="96"/>
      <c r="J76" s="97" t="s">
        <v>694</v>
      </c>
      <c r="K76" s="83" t="s">
        <v>114</v>
      </c>
      <c r="L76" s="75"/>
      <c r="M76" s="75"/>
      <c r="N76" s="75"/>
      <c r="O76" s="75"/>
      <c r="P76" s="75"/>
      <c r="Q76" s="75"/>
      <c r="R76" s="75"/>
      <c r="S76" s="75"/>
    </row>
    <row r="77" ht="47" hidden="1" spans="1:19">
      <c r="A77" s="77"/>
      <c r="B77" s="77"/>
      <c r="C77" s="88" t="s">
        <v>735</v>
      </c>
      <c r="D77" s="88"/>
      <c r="E77" s="92" t="s">
        <v>736</v>
      </c>
      <c r="F77" s="92"/>
      <c r="G77" s="94"/>
      <c r="H77" s="95" t="s">
        <v>728</v>
      </c>
      <c r="I77" s="96"/>
      <c r="J77" s="97" t="s">
        <v>694</v>
      </c>
      <c r="K77" s="83" t="s">
        <v>114</v>
      </c>
      <c r="L77" s="75"/>
      <c r="M77" s="75"/>
      <c r="N77" s="75"/>
      <c r="O77" s="75"/>
      <c r="P77" s="75"/>
      <c r="Q77" s="75"/>
      <c r="R77" s="75"/>
      <c r="S77" s="75"/>
    </row>
    <row r="78" ht="47" hidden="1" spans="1:19">
      <c r="A78" s="77"/>
      <c r="B78" s="77"/>
      <c r="C78" s="88" t="s">
        <v>737</v>
      </c>
      <c r="D78" s="88"/>
      <c r="E78" s="188" t="s">
        <v>738</v>
      </c>
      <c r="F78" s="92"/>
      <c r="G78" s="94"/>
      <c r="H78" s="95" t="s">
        <v>728</v>
      </c>
      <c r="I78" s="96"/>
      <c r="J78" s="97" t="s">
        <v>694</v>
      </c>
      <c r="K78" s="83" t="s">
        <v>114</v>
      </c>
      <c r="L78" s="75"/>
      <c r="M78" s="75"/>
      <c r="N78" s="75"/>
      <c r="O78" s="75"/>
      <c r="P78" s="75"/>
      <c r="Q78" s="75"/>
      <c r="R78" s="75"/>
      <c r="S78" s="75"/>
    </row>
    <row r="79" ht="47" hidden="1" spans="1:19">
      <c r="A79" s="84"/>
      <c r="B79" s="84"/>
      <c r="C79" s="88" t="s">
        <v>739</v>
      </c>
      <c r="D79" s="88" t="s">
        <v>109</v>
      </c>
      <c r="E79" s="92" t="s">
        <v>188</v>
      </c>
      <c r="F79" s="92"/>
      <c r="G79" s="94"/>
      <c r="H79" s="95" t="s">
        <v>693</v>
      </c>
      <c r="I79" s="96"/>
      <c r="J79" s="97" t="s">
        <v>694</v>
      </c>
      <c r="K79" s="83" t="s">
        <v>114</v>
      </c>
      <c r="L79" s="75"/>
      <c r="M79" s="75"/>
      <c r="N79" s="75"/>
      <c r="O79" s="75"/>
      <c r="P79" s="75"/>
      <c r="Q79" s="75"/>
      <c r="R79" s="75"/>
      <c r="S79" s="75"/>
    </row>
    <row r="80" ht="47" hidden="1" spans="1:19">
      <c r="A80" s="85" t="s">
        <v>740</v>
      </c>
      <c r="B80" s="105" t="s">
        <v>726</v>
      </c>
      <c r="C80" s="88" t="s">
        <v>741</v>
      </c>
      <c r="D80" s="88"/>
      <c r="E80" s="92" t="s">
        <v>705</v>
      </c>
      <c r="F80" s="92"/>
      <c r="G80" s="94"/>
      <c r="H80" s="95" t="s">
        <v>728</v>
      </c>
      <c r="I80" s="96"/>
      <c r="J80" s="97" t="s">
        <v>694</v>
      </c>
      <c r="K80" s="83" t="s">
        <v>114</v>
      </c>
      <c r="L80" s="75"/>
      <c r="M80" s="75"/>
      <c r="N80" s="75"/>
      <c r="O80" s="75"/>
      <c r="P80" s="75"/>
      <c r="Q80" s="75"/>
      <c r="R80" s="75"/>
      <c r="S80" s="75"/>
    </row>
    <row r="81" ht="47" hidden="1" spans="1:19">
      <c r="A81" s="87"/>
      <c r="B81" s="106"/>
      <c r="C81" s="88" t="s">
        <v>742</v>
      </c>
      <c r="D81" s="88"/>
      <c r="E81" s="92" t="s">
        <v>705</v>
      </c>
      <c r="F81" s="92"/>
      <c r="G81" s="94"/>
      <c r="H81" s="95" t="s">
        <v>728</v>
      </c>
      <c r="I81" s="96"/>
      <c r="J81" s="97" t="s">
        <v>694</v>
      </c>
      <c r="K81" s="83" t="s">
        <v>114</v>
      </c>
      <c r="L81" s="75"/>
      <c r="M81" s="75"/>
      <c r="N81" s="75"/>
      <c r="O81" s="75"/>
      <c r="P81" s="75"/>
      <c r="Q81" s="75"/>
      <c r="R81" s="75"/>
      <c r="S81" s="75"/>
    </row>
    <row r="82" ht="47" hidden="1" spans="1:19">
      <c r="A82" s="81" t="s">
        <v>743</v>
      </c>
      <c r="B82" s="81" t="s">
        <v>726</v>
      </c>
      <c r="C82" s="88" t="s">
        <v>744</v>
      </c>
      <c r="D82" s="88"/>
      <c r="E82" s="92" t="s">
        <v>106</v>
      </c>
      <c r="F82" s="92"/>
      <c r="G82" s="94"/>
      <c r="H82" s="95" t="s">
        <v>693</v>
      </c>
      <c r="I82" s="96"/>
      <c r="J82" s="97" t="s">
        <v>694</v>
      </c>
      <c r="K82" s="83" t="s">
        <v>114</v>
      </c>
      <c r="L82" s="75"/>
      <c r="M82" s="75"/>
      <c r="N82" s="75"/>
      <c r="O82" s="75"/>
      <c r="P82" s="75"/>
      <c r="Q82" s="75"/>
      <c r="R82" s="75"/>
      <c r="S82" s="75"/>
    </row>
    <row r="83" ht="47" hidden="1" spans="1:19">
      <c r="A83" s="77"/>
      <c r="B83" s="77"/>
      <c r="C83" s="88" t="s">
        <v>745</v>
      </c>
      <c r="D83" s="88"/>
      <c r="E83" s="92" t="s">
        <v>746</v>
      </c>
      <c r="F83" s="92"/>
      <c r="G83" s="94"/>
      <c r="H83" s="95" t="s">
        <v>693</v>
      </c>
      <c r="I83" s="96"/>
      <c r="J83" s="97" t="s">
        <v>694</v>
      </c>
      <c r="K83" s="83" t="s">
        <v>114</v>
      </c>
      <c r="L83" s="75"/>
      <c r="M83" s="75"/>
      <c r="N83" s="75"/>
      <c r="O83" s="75"/>
      <c r="P83" s="75"/>
      <c r="Q83" s="75"/>
      <c r="R83" s="75"/>
      <c r="S83" s="75"/>
    </row>
    <row r="84" ht="47" hidden="1" spans="1:19">
      <c r="A84" s="77"/>
      <c r="B84" s="77"/>
      <c r="C84" s="88" t="s">
        <v>747</v>
      </c>
      <c r="D84" s="88" t="s">
        <v>109</v>
      </c>
      <c r="E84" s="92" t="s">
        <v>137</v>
      </c>
      <c r="F84" s="92"/>
      <c r="G84" s="94"/>
      <c r="H84" s="95" t="s">
        <v>693</v>
      </c>
      <c r="I84" s="96"/>
      <c r="J84" s="97" t="s">
        <v>694</v>
      </c>
      <c r="K84" s="83" t="s">
        <v>114</v>
      </c>
      <c r="L84" s="75"/>
      <c r="M84" s="75"/>
      <c r="N84" s="75"/>
      <c r="O84" s="75"/>
      <c r="P84" s="75"/>
      <c r="Q84" s="75"/>
      <c r="R84" s="75"/>
      <c r="S84" s="75"/>
    </row>
    <row r="85" ht="47" hidden="1" spans="1:19">
      <c r="A85" s="84"/>
      <c r="B85" s="84"/>
      <c r="C85" s="88" t="s">
        <v>748</v>
      </c>
      <c r="D85" s="88"/>
      <c r="E85" s="92" t="s">
        <v>749</v>
      </c>
      <c r="F85" s="92"/>
      <c r="G85" s="94"/>
      <c r="H85" s="95" t="s">
        <v>693</v>
      </c>
      <c r="I85" s="96"/>
      <c r="J85" s="97" t="s">
        <v>694</v>
      </c>
      <c r="K85" s="83" t="s">
        <v>114</v>
      </c>
      <c r="L85" s="75"/>
      <c r="M85" s="75"/>
      <c r="N85" s="75"/>
      <c r="O85" s="75"/>
      <c r="P85" s="75"/>
      <c r="Q85" s="75"/>
      <c r="R85" s="75"/>
      <c r="S85" s="75"/>
    </row>
    <row r="86" ht="51" hidden="1" spans="1:19">
      <c r="A86" s="75" t="s">
        <v>750</v>
      </c>
      <c r="B86" s="75" t="s">
        <v>751</v>
      </c>
      <c r="C86" s="88" t="s">
        <v>752</v>
      </c>
      <c r="D86" s="88"/>
      <c r="E86" s="92" t="s">
        <v>753</v>
      </c>
      <c r="F86" s="92"/>
      <c r="G86" s="94"/>
      <c r="H86" s="95" t="s">
        <v>754</v>
      </c>
      <c r="I86" s="96"/>
      <c r="J86" s="83" t="s">
        <v>694</v>
      </c>
      <c r="K86" s="83" t="s">
        <v>45</v>
      </c>
      <c r="L86" s="75"/>
      <c r="M86" s="75"/>
      <c r="N86" s="75"/>
      <c r="O86" s="75"/>
      <c r="P86" s="75"/>
      <c r="Q86" s="75"/>
      <c r="R86" s="75"/>
      <c r="S86" s="75"/>
    </row>
    <row r="87" ht="34" hidden="1" spans="1:19">
      <c r="A87" s="106" t="s">
        <v>755</v>
      </c>
      <c r="B87" s="76"/>
      <c r="C87" s="88" t="s">
        <v>756</v>
      </c>
      <c r="D87" s="87"/>
      <c r="E87" s="87" t="s">
        <v>115</v>
      </c>
      <c r="F87" s="87"/>
      <c r="G87" s="86"/>
      <c r="H87" s="86"/>
      <c r="I87" s="96"/>
      <c r="J87" s="86"/>
      <c r="K87" s="86" t="s">
        <v>134</v>
      </c>
      <c r="L87" s="75"/>
      <c r="M87" s="75"/>
      <c r="N87" s="75"/>
      <c r="O87" s="75"/>
      <c r="P87" s="75"/>
      <c r="Q87" s="75"/>
      <c r="R87" s="75"/>
      <c r="S87" s="75"/>
    </row>
    <row r="88" spans="1:19">
      <c r="A88" s="107"/>
      <c r="B88" s="107"/>
      <c r="C88" s="107"/>
      <c r="D88" s="107"/>
      <c r="E88" s="108"/>
      <c r="F88" s="108"/>
      <c r="G88" s="109"/>
      <c r="H88" s="109"/>
      <c r="I88" s="109"/>
      <c r="J88" s="109"/>
      <c r="K88" s="109"/>
      <c r="L88" s="109"/>
      <c r="M88" s="109"/>
      <c r="N88" s="109"/>
      <c r="O88" s="109"/>
      <c r="P88" s="108"/>
      <c r="Q88" s="108"/>
      <c r="R88" s="109"/>
      <c r="S88" s="109"/>
    </row>
    <row r="89" spans="1:19">
      <c r="A89" s="107"/>
      <c r="B89" s="107"/>
      <c r="C89" s="107"/>
      <c r="D89" s="107"/>
      <c r="E89" s="108"/>
      <c r="F89" s="108"/>
      <c r="G89" s="109"/>
      <c r="H89" s="109"/>
      <c r="I89" s="109"/>
      <c r="J89" s="109"/>
      <c r="K89" s="109"/>
      <c r="L89" s="109"/>
      <c r="M89" s="109"/>
      <c r="N89" s="109"/>
      <c r="O89" s="109"/>
      <c r="P89" s="108"/>
      <c r="Q89" s="108"/>
      <c r="R89" s="109"/>
      <c r="S89" s="109"/>
    </row>
    <row r="90" spans="1:19">
      <c r="A90" s="107"/>
      <c r="B90" s="107"/>
      <c r="C90" s="107"/>
      <c r="D90" s="107"/>
      <c r="E90" s="108"/>
      <c r="F90" s="108"/>
      <c r="G90" s="109"/>
      <c r="H90" s="109"/>
      <c r="I90" s="109"/>
      <c r="J90" s="109"/>
      <c r="K90" s="109"/>
      <c r="L90" s="109"/>
      <c r="M90" s="109"/>
      <c r="N90" s="109"/>
      <c r="O90" s="109"/>
      <c r="P90" s="108"/>
      <c r="Q90" s="108"/>
      <c r="R90" s="109"/>
      <c r="S90" s="109"/>
    </row>
    <row r="91" spans="1:19">
      <c r="A91" s="107"/>
      <c r="B91" s="107"/>
      <c r="C91" s="107"/>
      <c r="D91" s="107"/>
      <c r="E91" s="108"/>
      <c r="F91" s="108"/>
      <c r="G91" s="109"/>
      <c r="H91" s="109"/>
      <c r="I91" s="109"/>
      <c r="J91" s="109"/>
      <c r="K91" s="109"/>
      <c r="L91" s="107"/>
      <c r="M91" s="107"/>
      <c r="N91" s="107"/>
      <c r="O91" s="107"/>
      <c r="P91" s="111"/>
      <c r="Q91" s="111"/>
      <c r="R91" s="107"/>
      <c r="S91" s="107"/>
    </row>
    <row r="92" spans="1:19">
      <c r="A92" s="107"/>
      <c r="B92" s="107"/>
      <c r="C92" s="107"/>
      <c r="D92" s="107"/>
      <c r="E92" s="108"/>
      <c r="F92" s="108"/>
      <c r="G92" s="109"/>
      <c r="H92" s="109"/>
      <c r="I92" s="109"/>
      <c r="J92" s="109"/>
      <c r="K92" s="109"/>
      <c r="L92" s="107"/>
      <c r="M92" s="107"/>
      <c r="N92" s="107"/>
      <c r="O92" s="107"/>
      <c r="P92" s="111"/>
      <c r="Q92" s="111"/>
      <c r="R92" s="107"/>
      <c r="S92" s="107"/>
    </row>
    <row r="93" spans="1:19">
      <c r="A93" s="107"/>
      <c r="B93" s="107"/>
      <c r="C93" s="107"/>
      <c r="D93" s="107"/>
      <c r="E93" s="108"/>
      <c r="F93" s="108"/>
      <c r="G93" s="109"/>
      <c r="H93" s="109"/>
      <c r="I93" s="109"/>
      <c r="J93" s="109"/>
      <c r="K93" s="109"/>
      <c r="L93" s="107"/>
      <c r="M93" s="107"/>
      <c r="N93" s="107"/>
      <c r="O93" s="107"/>
      <c r="P93" s="111"/>
      <c r="Q93" s="111"/>
      <c r="R93" s="107"/>
      <c r="S93" s="107"/>
    </row>
    <row r="94" spans="1:19">
      <c r="A94" s="107"/>
      <c r="B94" s="107"/>
      <c r="C94" s="107"/>
      <c r="D94" s="107"/>
      <c r="E94" s="108"/>
      <c r="F94" s="108"/>
      <c r="G94" s="109"/>
      <c r="H94" s="109"/>
      <c r="I94" s="109"/>
      <c r="J94" s="109"/>
      <c r="K94" s="109"/>
      <c r="L94" s="107"/>
      <c r="M94" s="107"/>
      <c r="N94" s="107"/>
      <c r="O94" s="107"/>
      <c r="P94" s="111"/>
      <c r="Q94" s="111"/>
      <c r="R94" s="107"/>
      <c r="S94" s="107"/>
    </row>
    <row r="95" spans="1:19">
      <c r="A95" s="107"/>
      <c r="B95" s="107"/>
      <c r="C95" s="107"/>
      <c r="D95" s="107"/>
      <c r="E95" s="108"/>
      <c r="F95" s="108"/>
      <c r="G95" s="109"/>
      <c r="H95" s="109"/>
      <c r="I95" s="109"/>
      <c r="J95" s="109"/>
      <c r="K95" s="109"/>
      <c r="L95" s="109"/>
      <c r="M95" s="109"/>
      <c r="N95" s="109"/>
      <c r="O95" s="109"/>
      <c r="P95" s="108"/>
      <c r="Q95" s="108"/>
      <c r="R95" s="109"/>
      <c r="S95" s="109"/>
    </row>
    <row r="96" spans="1:19">
      <c r="A96" s="107"/>
      <c r="B96" s="107"/>
      <c r="C96" s="107"/>
      <c r="D96" s="107"/>
      <c r="E96" s="108"/>
      <c r="F96" s="108"/>
      <c r="G96" s="109"/>
      <c r="H96" s="109"/>
      <c r="I96" s="109"/>
      <c r="J96" s="109"/>
      <c r="K96" s="109"/>
      <c r="L96" s="107"/>
      <c r="M96" s="107"/>
      <c r="N96" s="107"/>
      <c r="O96" s="107"/>
      <c r="P96" s="111"/>
      <c r="Q96" s="111"/>
      <c r="R96" s="107"/>
      <c r="S96" s="107"/>
    </row>
    <row r="97" spans="1:19">
      <c r="A97" s="107"/>
      <c r="B97" s="107"/>
      <c r="C97" s="107"/>
      <c r="D97" s="107"/>
      <c r="E97" s="108"/>
      <c r="F97" s="108"/>
      <c r="G97" s="109"/>
      <c r="H97" s="109"/>
      <c r="I97" s="109"/>
      <c r="J97" s="109"/>
      <c r="K97" s="109"/>
      <c r="L97" s="107"/>
      <c r="M97" s="107"/>
      <c r="N97" s="107"/>
      <c r="O97" s="107"/>
      <c r="P97" s="111"/>
      <c r="Q97" s="111"/>
      <c r="R97" s="107"/>
      <c r="S97" s="107"/>
    </row>
    <row r="98" spans="1:19">
      <c r="A98" s="107"/>
      <c r="B98" s="107"/>
      <c r="C98" s="107"/>
      <c r="D98" s="107"/>
      <c r="E98" s="108"/>
      <c r="F98" s="108"/>
      <c r="G98" s="109"/>
      <c r="H98" s="109"/>
      <c r="I98" s="109"/>
      <c r="J98" s="109"/>
      <c r="K98" s="109"/>
      <c r="L98" s="107"/>
      <c r="M98" s="107"/>
      <c r="N98" s="107"/>
      <c r="O98" s="107"/>
      <c r="P98" s="111"/>
      <c r="Q98" s="111"/>
      <c r="R98" s="107"/>
      <c r="S98" s="107"/>
    </row>
    <row r="99" spans="1:19">
      <c r="A99" s="107"/>
      <c r="B99" s="107"/>
      <c r="C99" s="107"/>
      <c r="D99" s="107"/>
      <c r="E99" s="108"/>
      <c r="F99" s="108"/>
      <c r="G99" s="109"/>
      <c r="H99" s="109"/>
      <c r="I99" s="109"/>
      <c r="J99" s="109"/>
      <c r="K99" s="109"/>
      <c r="L99" s="107"/>
      <c r="M99" s="107"/>
      <c r="N99" s="107"/>
      <c r="O99" s="107"/>
      <c r="P99" s="111"/>
      <c r="Q99" s="111"/>
      <c r="R99" s="107"/>
      <c r="S99" s="107"/>
    </row>
    <row r="100" spans="1:19">
      <c r="A100" s="107"/>
      <c r="B100" s="107"/>
      <c r="C100" s="107"/>
      <c r="D100" s="107"/>
      <c r="E100" s="108"/>
      <c r="F100" s="108"/>
      <c r="G100" s="109"/>
      <c r="H100" s="109"/>
      <c r="I100" s="109"/>
      <c r="J100" s="109"/>
      <c r="K100" s="109"/>
      <c r="L100" s="107"/>
      <c r="M100" s="107"/>
      <c r="N100" s="107"/>
      <c r="O100" s="107"/>
      <c r="P100" s="111"/>
      <c r="Q100" s="111"/>
      <c r="R100" s="107"/>
      <c r="S100" s="107"/>
    </row>
    <row r="101" spans="1:19">
      <c r="A101" s="107"/>
      <c r="B101" s="107"/>
      <c r="C101" s="107"/>
      <c r="D101" s="107"/>
      <c r="E101" s="108"/>
      <c r="F101" s="108"/>
      <c r="G101" s="109"/>
      <c r="H101" s="109"/>
      <c r="I101" s="109"/>
      <c r="J101" s="109"/>
      <c r="K101" s="109"/>
      <c r="L101" s="107"/>
      <c r="M101" s="107"/>
      <c r="N101" s="107"/>
      <c r="O101" s="107"/>
      <c r="P101" s="111"/>
      <c r="Q101" s="111"/>
      <c r="R101" s="107"/>
      <c r="S101" s="107"/>
    </row>
    <row r="102" spans="1:19">
      <c r="A102" s="107"/>
      <c r="B102" s="107"/>
      <c r="C102" s="107"/>
      <c r="D102" s="107"/>
      <c r="E102" s="108"/>
      <c r="F102" s="108"/>
      <c r="G102" s="109"/>
      <c r="H102" s="109"/>
      <c r="I102" s="109"/>
      <c r="J102" s="109"/>
      <c r="K102" s="109"/>
      <c r="L102" s="107"/>
      <c r="M102" s="107"/>
      <c r="N102" s="107"/>
      <c r="O102" s="107"/>
      <c r="P102" s="111"/>
      <c r="Q102" s="111"/>
      <c r="R102" s="107"/>
      <c r="S102" s="107"/>
    </row>
    <row r="103" spans="1:19">
      <c r="A103" s="107"/>
      <c r="B103" s="107"/>
      <c r="C103" s="107"/>
      <c r="D103" s="107"/>
      <c r="E103" s="108"/>
      <c r="F103" s="108"/>
      <c r="G103" s="109"/>
      <c r="H103" s="109"/>
      <c r="I103" s="109"/>
      <c r="J103" s="109"/>
      <c r="K103" s="109"/>
      <c r="L103" s="107"/>
      <c r="M103" s="107"/>
      <c r="N103" s="107"/>
      <c r="O103" s="107"/>
      <c r="P103" s="111"/>
      <c r="Q103" s="111"/>
      <c r="R103" s="107"/>
      <c r="S103" s="107"/>
    </row>
    <row r="104" spans="1:19">
      <c r="A104" s="107"/>
      <c r="B104" s="107"/>
      <c r="C104" s="107"/>
      <c r="D104" s="107"/>
      <c r="E104" s="108"/>
      <c r="F104" s="108"/>
      <c r="G104" s="109"/>
      <c r="H104" s="109"/>
      <c r="I104" s="109"/>
      <c r="J104" s="109"/>
      <c r="K104" s="109"/>
      <c r="L104" s="107"/>
      <c r="M104" s="107"/>
      <c r="N104" s="107"/>
      <c r="O104" s="107"/>
      <c r="P104" s="111"/>
      <c r="Q104" s="111"/>
      <c r="R104" s="107"/>
      <c r="S104" s="107"/>
    </row>
    <row r="105" spans="1:19">
      <c r="A105" s="107"/>
      <c r="B105" s="107"/>
      <c r="C105" s="107"/>
      <c r="D105" s="107"/>
      <c r="E105" s="108"/>
      <c r="F105" s="108"/>
      <c r="G105" s="109"/>
      <c r="H105" s="109"/>
      <c r="I105" s="109"/>
      <c r="J105" s="109"/>
      <c r="K105" s="109"/>
      <c r="L105" s="107"/>
      <c r="M105" s="107"/>
      <c r="N105" s="107"/>
      <c r="O105" s="107"/>
      <c r="P105" s="111"/>
      <c r="Q105" s="111"/>
      <c r="R105" s="107"/>
      <c r="S105" s="107"/>
    </row>
    <row r="106" spans="1:19">
      <c r="A106" s="107"/>
      <c r="B106" s="107"/>
      <c r="C106" s="107"/>
      <c r="D106" s="107"/>
      <c r="E106" s="108"/>
      <c r="F106" s="108"/>
      <c r="G106" s="109"/>
      <c r="H106" s="109"/>
      <c r="I106" s="109"/>
      <c r="J106" s="109"/>
      <c r="K106" s="109"/>
      <c r="L106" s="107"/>
      <c r="M106" s="107"/>
      <c r="N106" s="107"/>
      <c r="O106" s="107"/>
      <c r="P106" s="111"/>
      <c r="Q106" s="111"/>
      <c r="R106" s="107"/>
      <c r="S106" s="107"/>
    </row>
    <row r="107" spans="1:19">
      <c r="A107" s="107"/>
      <c r="B107" s="107"/>
      <c r="C107" s="107"/>
      <c r="D107" s="107"/>
      <c r="E107" s="108"/>
      <c r="F107" s="108"/>
      <c r="G107" s="109"/>
      <c r="H107" s="109"/>
      <c r="I107" s="109"/>
      <c r="J107" s="109"/>
      <c r="K107" s="109"/>
      <c r="L107" s="107"/>
      <c r="M107" s="107"/>
      <c r="N107" s="107"/>
      <c r="O107" s="107"/>
      <c r="P107" s="111"/>
      <c r="Q107" s="111"/>
      <c r="R107" s="107"/>
      <c r="S107" s="107"/>
    </row>
    <row r="108" spans="1:19">
      <c r="A108" s="107"/>
      <c r="B108" s="107"/>
      <c r="C108" s="107"/>
      <c r="D108" s="107"/>
      <c r="E108" s="108"/>
      <c r="F108" s="108"/>
      <c r="G108" s="109"/>
      <c r="H108" s="109"/>
      <c r="I108" s="109"/>
      <c r="J108" s="109"/>
      <c r="K108" s="109"/>
      <c r="L108" s="107"/>
      <c r="M108" s="107"/>
      <c r="N108" s="107"/>
      <c r="O108" s="107"/>
      <c r="P108" s="111"/>
      <c r="Q108" s="111"/>
      <c r="R108" s="107"/>
      <c r="S108" s="107"/>
    </row>
    <row r="109" spans="1:19">
      <c r="A109" s="107"/>
      <c r="B109" s="107"/>
      <c r="C109" s="107"/>
      <c r="D109" s="107"/>
      <c r="E109" s="108"/>
      <c r="F109" s="108"/>
      <c r="G109" s="109"/>
      <c r="H109" s="109"/>
      <c r="I109" s="109"/>
      <c r="J109" s="109"/>
      <c r="K109" s="109"/>
      <c r="L109" s="107"/>
      <c r="M109" s="107"/>
      <c r="N109" s="107"/>
      <c r="O109" s="107"/>
      <c r="P109" s="111"/>
      <c r="Q109" s="111"/>
      <c r="R109" s="107"/>
      <c r="S109" s="107"/>
    </row>
    <row r="110" spans="1:19">
      <c r="A110" s="107"/>
      <c r="B110" s="107"/>
      <c r="C110" s="107"/>
      <c r="D110" s="107"/>
      <c r="E110" s="108"/>
      <c r="F110" s="108"/>
      <c r="G110" s="109"/>
      <c r="H110" s="109"/>
      <c r="I110" s="109"/>
      <c r="J110" s="109"/>
      <c r="K110" s="109"/>
      <c r="L110" s="107"/>
      <c r="M110" s="107"/>
      <c r="N110" s="107"/>
      <c r="O110" s="107"/>
      <c r="P110" s="111"/>
      <c r="Q110" s="111"/>
      <c r="R110" s="107"/>
      <c r="S110" s="107"/>
    </row>
    <row r="111" spans="1:19">
      <c r="A111" s="107"/>
      <c r="B111" s="107"/>
      <c r="C111" s="107"/>
      <c r="D111" s="107"/>
      <c r="E111" s="108"/>
      <c r="F111" s="108"/>
      <c r="G111" s="109"/>
      <c r="H111" s="109"/>
      <c r="I111" s="109"/>
      <c r="J111" s="109"/>
      <c r="K111" s="109"/>
      <c r="L111" s="107"/>
      <c r="M111" s="107"/>
      <c r="N111" s="107"/>
      <c r="O111" s="107"/>
      <c r="P111" s="111"/>
      <c r="Q111" s="111"/>
      <c r="R111" s="107"/>
      <c r="S111" s="107"/>
    </row>
    <row r="112" spans="1:19">
      <c r="A112" s="107"/>
      <c r="B112" s="107"/>
      <c r="C112" s="107"/>
      <c r="D112" s="107"/>
      <c r="E112" s="108"/>
      <c r="F112" s="108"/>
      <c r="G112" s="109"/>
      <c r="H112" s="109"/>
      <c r="I112" s="109"/>
      <c r="J112" s="109"/>
      <c r="K112" s="109"/>
      <c r="L112" s="107"/>
      <c r="M112" s="107"/>
      <c r="N112" s="107"/>
      <c r="O112" s="107"/>
      <c r="P112" s="111"/>
      <c r="Q112" s="111"/>
      <c r="R112" s="107"/>
      <c r="S112" s="107"/>
    </row>
    <row r="113" spans="1:19">
      <c r="A113" s="107"/>
      <c r="B113" s="107"/>
      <c r="C113" s="107"/>
      <c r="D113" s="107"/>
      <c r="E113" s="108"/>
      <c r="F113" s="108"/>
      <c r="G113" s="109"/>
      <c r="H113" s="109"/>
      <c r="I113" s="109"/>
      <c r="J113" s="109"/>
      <c r="K113" s="109"/>
      <c r="L113" s="107"/>
      <c r="M113" s="107"/>
      <c r="N113" s="107"/>
      <c r="O113" s="107"/>
      <c r="P113" s="111"/>
      <c r="Q113" s="111"/>
      <c r="R113" s="107"/>
      <c r="S113" s="107"/>
    </row>
    <row r="114" spans="1:19">
      <c r="A114" s="107"/>
      <c r="B114" s="107"/>
      <c r="C114" s="107"/>
      <c r="D114" s="107"/>
      <c r="E114" s="108"/>
      <c r="F114" s="108"/>
      <c r="G114" s="109"/>
      <c r="H114" s="109"/>
      <c r="I114" s="109"/>
      <c r="J114" s="109"/>
      <c r="K114" s="109"/>
      <c r="L114" s="107"/>
      <c r="M114" s="107"/>
      <c r="N114" s="107"/>
      <c r="O114" s="107"/>
      <c r="P114" s="111"/>
      <c r="Q114" s="111"/>
      <c r="R114" s="107"/>
      <c r="S114" s="107"/>
    </row>
    <row r="115" spans="1:19">
      <c r="A115" s="107"/>
      <c r="B115" s="107"/>
      <c r="C115" s="107"/>
      <c r="D115" s="107"/>
      <c r="E115" s="108"/>
      <c r="F115" s="108"/>
      <c r="G115" s="109"/>
      <c r="H115" s="109"/>
      <c r="I115" s="109"/>
      <c r="J115" s="109"/>
      <c r="K115" s="109"/>
      <c r="L115" s="107"/>
      <c r="M115" s="107"/>
      <c r="N115" s="107"/>
      <c r="O115" s="107"/>
      <c r="P115" s="111"/>
      <c r="Q115" s="111"/>
      <c r="R115" s="107"/>
      <c r="S115" s="107"/>
    </row>
    <row r="116" spans="1:19">
      <c r="A116" s="107"/>
      <c r="B116" s="107"/>
      <c r="C116" s="107"/>
      <c r="D116" s="107"/>
      <c r="E116" s="108"/>
      <c r="F116" s="108"/>
      <c r="G116" s="109"/>
      <c r="H116" s="109"/>
      <c r="I116" s="109"/>
      <c r="J116" s="109"/>
      <c r="K116" s="109"/>
      <c r="L116" s="107"/>
      <c r="M116" s="107"/>
      <c r="N116" s="107"/>
      <c r="O116" s="107"/>
      <c r="P116" s="111"/>
      <c r="Q116" s="111"/>
      <c r="R116" s="107"/>
      <c r="S116" s="107"/>
    </row>
    <row r="117" spans="1:19">
      <c r="A117" s="107"/>
      <c r="B117" s="107"/>
      <c r="C117" s="107"/>
      <c r="D117" s="107"/>
      <c r="E117" s="108"/>
      <c r="F117" s="108"/>
      <c r="G117" s="109"/>
      <c r="H117" s="109"/>
      <c r="I117" s="109"/>
      <c r="J117" s="109"/>
      <c r="K117" s="109"/>
      <c r="L117" s="107"/>
      <c r="M117" s="107"/>
      <c r="N117" s="107"/>
      <c r="O117" s="107"/>
      <c r="P117" s="111"/>
      <c r="Q117" s="111"/>
      <c r="R117" s="107"/>
      <c r="S117" s="107"/>
    </row>
    <row r="118" spans="1:19">
      <c r="A118" s="107"/>
      <c r="B118" s="107"/>
      <c r="C118" s="107"/>
      <c r="D118" s="107"/>
      <c r="E118" s="108"/>
      <c r="F118" s="108"/>
      <c r="G118" s="109"/>
      <c r="H118" s="109"/>
      <c r="I118" s="109"/>
      <c r="J118" s="109"/>
      <c r="K118" s="109"/>
      <c r="L118" s="107"/>
      <c r="M118" s="107"/>
      <c r="N118" s="107"/>
      <c r="O118" s="107"/>
      <c r="P118" s="111"/>
      <c r="Q118" s="111"/>
      <c r="R118" s="107"/>
      <c r="S118" s="107"/>
    </row>
    <row r="119" spans="1:19">
      <c r="A119" s="107"/>
      <c r="B119" s="107"/>
      <c r="C119" s="107"/>
      <c r="D119" s="107"/>
      <c r="E119" s="108"/>
      <c r="F119" s="108"/>
      <c r="G119" s="109"/>
      <c r="H119" s="109"/>
      <c r="I119" s="109"/>
      <c r="J119" s="109"/>
      <c r="K119" s="109"/>
      <c r="L119" s="107"/>
      <c r="M119" s="107"/>
      <c r="N119" s="107"/>
      <c r="O119" s="107"/>
      <c r="P119" s="111"/>
      <c r="Q119" s="111"/>
      <c r="R119" s="107"/>
      <c r="S119" s="107"/>
    </row>
    <row r="120" spans="1:19">
      <c r="A120" s="107"/>
      <c r="B120" s="107"/>
      <c r="C120" s="107"/>
      <c r="D120" s="107"/>
      <c r="E120" s="108"/>
      <c r="F120" s="108"/>
      <c r="G120" s="109"/>
      <c r="H120" s="109"/>
      <c r="I120" s="109"/>
      <c r="J120" s="109"/>
      <c r="K120" s="109"/>
      <c r="L120" s="107"/>
      <c r="M120" s="107"/>
      <c r="N120" s="107"/>
      <c r="O120" s="107"/>
      <c r="P120" s="111"/>
      <c r="Q120" s="111"/>
      <c r="R120" s="107"/>
      <c r="S120" s="107"/>
    </row>
    <row r="121" spans="1:19">
      <c r="A121" s="107"/>
      <c r="B121" s="107"/>
      <c r="C121" s="107"/>
      <c r="D121" s="107"/>
      <c r="E121" s="108"/>
      <c r="F121" s="108"/>
      <c r="G121" s="109"/>
      <c r="H121" s="109"/>
      <c r="I121" s="109"/>
      <c r="J121" s="109"/>
      <c r="K121" s="109"/>
      <c r="L121" s="107"/>
      <c r="M121" s="107"/>
      <c r="N121" s="107"/>
      <c r="O121" s="107"/>
      <c r="P121" s="111"/>
      <c r="Q121" s="111"/>
      <c r="R121" s="107"/>
      <c r="S121" s="107"/>
    </row>
    <row r="122" spans="1:19">
      <c r="A122" s="107"/>
      <c r="B122" s="107"/>
      <c r="C122" s="107"/>
      <c r="D122" s="107"/>
      <c r="E122" s="108"/>
      <c r="F122" s="108"/>
      <c r="G122" s="109"/>
      <c r="H122" s="109"/>
      <c r="I122" s="109"/>
      <c r="J122" s="109"/>
      <c r="K122" s="109"/>
      <c r="L122" s="107"/>
      <c r="M122" s="107"/>
      <c r="N122" s="107"/>
      <c r="O122" s="107"/>
      <c r="P122" s="111"/>
      <c r="Q122" s="111"/>
      <c r="R122" s="107"/>
      <c r="S122" s="107"/>
    </row>
    <row r="123" spans="1:19">
      <c r="A123" s="107"/>
      <c r="B123" s="107"/>
      <c r="C123" s="107"/>
      <c r="D123" s="107"/>
      <c r="E123" s="108"/>
      <c r="F123" s="108"/>
      <c r="G123" s="109"/>
      <c r="H123" s="109"/>
      <c r="I123" s="109"/>
      <c r="J123" s="109"/>
      <c r="K123" s="109"/>
      <c r="L123" s="107"/>
      <c r="M123" s="107"/>
      <c r="N123" s="107"/>
      <c r="O123" s="107"/>
      <c r="P123" s="111"/>
      <c r="Q123" s="111"/>
      <c r="R123" s="107"/>
      <c r="S123" s="107"/>
    </row>
    <row r="124" spans="1:19">
      <c r="A124" s="107"/>
      <c r="B124" s="107"/>
      <c r="C124" s="107"/>
      <c r="D124" s="107"/>
      <c r="E124" s="108"/>
      <c r="F124" s="108"/>
      <c r="G124" s="109"/>
      <c r="H124" s="109"/>
      <c r="I124" s="109"/>
      <c r="J124" s="109"/>
      <c r="K124" s="109"/>
      <c r="L124" s="107"/>
      <c r="M124" s="107"/>
      <c r="N124" s="107"/>
      <c r="O124" s="107"/>
      <c r="P124" s="111"/>
      <c r="Q124" s="111"/>
      <c r="R124" s="107"/>
      <c r="S124" s="107"/>
    </row>
    <row r="125" spans="1:19">
      <c r="A125" s="107"/>
      <c r="B125" s="107"/>
      <c r="C125" s="107"/>
      <c r="D125" s="107"/>
      <c r="E125" s="108"/>
      <c r="F125" s="108"/>
      <c r="G125" s="109"/>
      <c r="H125" s="109"/>
      <c r="I125" s="109"/>
      <c r="J125" s="109"/>
      <c r="K125" s="109"/>
      <c r="L125" s="107"/>
      <c r="M125" s="107"/>
      <c r="N125" s="107"/>
      <c r="O125" s="107"/>
      <c r="P125" s="111"/>
      <c r="Q125" s="111"/>
      <c r="R125" s="107"/>
      <c r="S125" s="107"/>
    </row>
    <row r="126" spans="1:19">
      <c r="A126" s="107"/>
      <c r="B126" s="107"/>
      <c r="C126" s="107"/>
      <c r="D126" s="107"/>
      <c r="E126" s="108"/>
      <c r="F126" s="108"/>
      <c r="G126" s="109"/>
      <c r="H126" s="109"/>
      <c r="I126" s="109"/>
      <c r="J126" s="109"/>
      <c r="K126" s="109"/>
      <c r="L126" s="107"/>
      <c r="M126" s="107"/>
      <c r="N126" s="107"/>
      <c r="O126" s="107"/>
      <c r="P126" s="111"/>
      <c r="Q126" s="111"/>
      <c r="R126" s="107"/>
      <c r="S126" s="107"/>
    </row>
    <row r="127" spans="1:19">
      <c r="A127" s="107"/>
      <c r="B127" s="107"/>
      <c r="C127" s="107"/>
      <c r="D127" s="107"/>
      <c r="E127" s="108"/>
      <c r="F127" s="108"/>
      <c r="G127" s="109"/>
      <c r="H127" s="109"/>
      <c r="I127" s="109"/>
      <c r="J127" s="109"/>
      <c r="K127" s="109"/>
      <c r="L127" s="107"/>
      <c r="M127" s="107"/>
      <c r="N127" s="107"/>
      <c r="O127" s="107"/>
      <c r="P127" s="111"/>
      <c r="Q127" s="111"/>
      <c r="R127" s="107"/>
      <c r="S127" s="107"/>
    </row>
    <row r="128" spans="1:19">
      <c r="A128" s="107"/>
      <c r="B128" s="107"/>
      <c r="C128" s="107"/>
      <c r="D128" s="107"/>
      <c r="E128" s="108"/>
      <c r="F128" s="108"/>
      <c r="G128" s="109"/>
      <c r="H128" s="109"/>
      <c r="I128" s="109"/>
      <c r="J128" s="109"/>
      <c r="K128" s="109"/>
      <c r="L128" s="107"/>
      <c r="M128" s="107"/>
      <c r="N128" s="107"/>
      <c r="O128" s="107"/>
      <c r="P128" s="111"/>
      <c r="Q128" s="111"/>
      <c r="R128" s="107"/>
      <c r="S128" s="107"/>
    </row>
    <row r="129" spans="1:19">
      <c r="A129" s="107"/>
      <c r="B129" s="107"/>
      <c r="C129" s="107"/>
      <c r="D129" s="107"/>
      <c r="E129" s="108"/>
      <c r="F129" s="108"/>
      <c r="G129" s="109"/>
      <c r="H129" s="109"/>
      <c r="I129" s="109"/>
      <c r="J129" s="109"/>
      <c r="K129" s="109"/>
      <c r="L129" s="107"/>
      <c r="M129" s="107"/>
      <c r="N129" s="107"/>
      <c r="O129" s="107"/>
      <c r="P129" s="111"/>
      <c r="Q129" s="111"/>
      <c r="R129" s="107"/>
      <c r="S129" s="107"/>
    </row>
    <row r="130" spans="1:19">
      <c r="A130" s="107"/>
      <c r="B130" s="107"/>
      <c r="C130" s="107"/>
      <c r="D130" s="107"/>
      <c r="E130" s="108"/>
      <c r="F130" s="108"/>
      <c r="G130" s="109"/>
      <c r="H130" s="109"/>
      <c r="I130" s="109"/>
      <c r="J130" s="109"/>
      <c r="K130" s="109"/>
      <c r="L130" s="107"/>
      <c r="M130" s="107"/>
      <c r="N130" s="107"/>
      <c r="O130" s="107"/>
      <c r="P130" s="111"/>
      <c r="Q130" s="111"/>
      <c r="R130" s="107"/>
      <c r="S130" s="107"/>
    </row>
    <row r="131" spans="1:19">
      <c r="A131" s="107"/>
      <c r="B131" s="107"/>
      <c r="C131" s="107"/>
      <c r="D131" s="107"/>
      <c r="E131" s="108"/>
      <c r="F131" s="108"/>
      <c r="G131" s="109"/>
      <c r="H131" s="109"/>
      <c r="I131" s="109"/>
      <c r="J131" s="109"/>
      <c r="K131" s="109"/>
      <c r="L131" s="107"/>
      <c r="M131" s="107"/>
      <c r="N131" s="107"/>
      <c r="O131" s="107"/>
      <c r="P131" s="111"/>
      <c r="Q131" s="111"/>
      <c r="R131" s="107"/>
      <c r="S131" s="107"/>
    </row>
    <row r="132" spans="1:19">
      <c r="A132" s="107"/>
      <c r="B132" s="107"/>
      <c r="C132" s="107"/>
      <c r="D132" s="107"/>
      <c r="E132" s="108"/>
      <c r="F132" s="108"/>
      <c r="G132" s="109"/>
      <c r="H132" s="109"/>
      <c r="I132" s="109"/>
      <c r="J132" s="109"/>
      <c r="K132" s="109"/>
      <c r="L132" s="107"/>
      <c r="M132" s="107"/>
      <c r="N132" s="107"/>
      <c r="O132" s="107"/>
      <c r="P132" s="111"/>
      <c r="Q132" s="111"/>
      <c r="R132" s="107"/>
      <c r="S132" s="107"/>
    </row>
    <row r="133" spans="1:19">
      <c r="A133" s="107"/>
      <c r="B133" s="107"/>
      <c r="C133" s="107"/>
      <c r="D133" s="107"/>
      <c r="E133" s="108"/>
      <c r="F133" s="108"/>
      <c r="G133" s="109"/>
      <c r="H133" s="109"/>
      <c r="I133" s="109"/>
      <c r="J133" s="109"/>
      <c r="K133" s="109"/>
      <c r="L133" s="107"/>
      <c r="M133" s="107"/>
      <c r="N133" s="107"/>
      <c r="O133" s="107"/>
      <c r="P133" s="111"/>
      <c r="Q133" s="111"/>
      <c r="R133" s="107"/>
      <c r="S133" s="107"/>
    </row>
    <row r="134" spans="1:19">
      <c r="A134" s="107"/>
      <c r="B134" s="107"/>
      <c r="C134" s="107"/>
      <c r="D134" s="107"/>
      <c r="E134" s="108"/>
      <c r="F134" s="108"/>
      <c r="G134" s="109"/>
      <c r="H134" s="109"/>
      <c r="I134" s="109"/>
      <c r="J134" s="109"/>
      <c r="K134" s="109"/>
      <c r="L134" s="107"/>
      <c r="M134" s="107"/>
      <c r="N134" s="107"/>
      <c r="O134" s="107"/>
      <c r="P134" s="111"/>
      <c r="Q134" s="111"/>
      <c r="R134" s="107"/>
      <c r="S134" s="107"/>
    </row>
    <row r="135" spans="1:19">
      <c r="A135" s="107"/>
      <c r="B135" s="107"/>
      <c r="C135" s="107"/>
      <c r="D135" s="107"/>
      <c r="E135" s="108"/>
      <c r="F135" s="108"/>
      <c r="G135" s="109"/>
      <c r="H135" s="109"/>
      <c r="I135" s="109"/>
      <c r="J135" s="109"/>
      <c r="K135" s="109"/>
      <c r="L135" s="107"/>
      <c r="M135" s="107"/>
      <c r="N135" s="107"/>
      <c r="O135" s="107"/>
      <c r="P135" s="111"/>
      <c r="Q135" s="111"/>
      <c r="R135" s="107"/>
      <c r="S135" s="107"/>
    </row>
    <row r="136" spans="1:19">
      <c r="A136" s="107"/>
      <c r="B136" s="107"/>
      <c r="C136" s="107"/>
      <c r="D136" s="107"/>
      <c r="E136" s="108"/>
      <c r="F136" s="108"/>
      <c r="G136" s="109"/>
      <c r="H136" s="109"/>
      <c r="I136" s="109"/>
      <c r="J136" s="109"/>
      <c r="K136" s="109"/>
      <c r="L136" s="107"/>
      <c r="M136" s="107"/>
      <c r="N136" s="107"/>
      <c r="O136" s="107"/>
      <c r="P136" s="111"/>
      <c r="Q136" s="111"/>
      <c r="R136" s="107"/>
      <c r="S136" s="107"/>
    </row>
    <row r="137" spans="1:19">
      <c r="A137" s="107"/>
      <c r="B137" s="107"/>
      <c r="C137" s="107"/>
      <c r="D137" s="107"/>
      <c r="E137" s="108"/>
      <c r="F137" s="108"/>
      <c r="G137" s="109"/>
      <c r="H137" s="109"/>
      <c r="I137" s="109"/>
      <c r="J137" s="109"/>
      <c r="K137" s="109"/>
      <c r="L137" s="107"/>
      <c r="M137" s="107"/>
      <c r="N137" s="107"/>
      <c r="O137" s="107"/>
      <c r="P137" s="111"/>
      <c r="Q137" s="111"/>
      <c r="R137" s="107"/>
      <c r="S137" s="107"/>
    </row>
    <row r="138" spans="1:19">
      <c r="A138" s="107"/>
      <c r="B138" s="107"/>
      <c r="C138" s="107"/>
      <c r="D138" s="107"/>
      <c r="E138" s="108"/>
      <c r="F138" s="108"/>
      <c r="G138" s="109"/>
      <c r="H138" s="109"/>
      <c r="I138" s="109"/>
      <c r="J138" s="109"/>
      <c r="K138" s="109"/>
      <c r="L138" s="107"/>
      <c r="M138" s="107"/>
      <c r="N138" s="107"/>
      <c r="O138" s="107"/>
      <c r="P138" s="111"/>
      <c r="Q138" s="111"/>
      <c r="R138" s="107"/>
      <c r="S138" s="107"/>
    </row>
    <row r="139" spans="1:19">
      <c r="A139" s="107"/>
      <c r="B139" s="107"/>
      <c r="C139" s="107"/>
      <c r="D139" s="107"/>
      <c r="E139" s="108"/>
      <c r="F139" s="108"/>
      <c r="G139" s="109"/>
      <c r="H139" s="109"/>
      <c r="I139" s="109"/>
      <c r="J139" s="109"/>
      <c r="K139" s="109"/>
      <c r="L139" s="107"/>
      <c r="M139" s="107"/>
      <c r="N139" s="107"/>
      <c r="O139" s="107"/>
      <c r="P139" s="111"/>
      <c r="Q139" s="111"/>
      <c r="R139" s="107"/>
      <c r="S139" s="107"/>
    </row>
    <row r="140" spans="1:19">
      <c r="A140" s="107"/>
      <c r="B140" s="107"/>
      <c r="C140" s="107"/>
      <c r="D140" s="107"/>
      <c r="E140" s="108"/>
      <c r="F140" s="108"/>
      <c r="G140" s="109"/>
      <c r="H140" s="109"/>
      <c r="I140" s="109"/>
      <c r="J140" s="109"/>
      <c r="K140" s="109"/>
      <c r="L140" s="107"/>
      <c r="M140" s="107"/>
      <c r="N140" s="107"/>
      <c r="O140" s="107"/>
      <c r="P140" s="111"/>
      <c r="Q140" s="111"/>
      <c r="R140" s="107"/>
      <c r="S140" s="107"/>
    </row>
    <row r="141" spans="1:19">
      <c r="A141" s="107"/>
      <c r="B141" s="107"/>
      <c r="C141" s="107"/>
      <c r="D141" s="107"/>
      <c r="E141" s="108"/>
      <c r="F141" s="108"/>
      <c r="G141" s="109"/>
      <c r="H141" s="109"/>
      <c r="I141" s="109"/>
      <c r="J141" s="109"/>
      <c r="K141" s="109"/>
      <c r="L141" s="107"/>
      <c r="M141" s="107"/>
      <c r="N141" s="107"/>
      <c r="O141" s="107"/>
      <c r="P141" s="111"/>
      <c r="Q141" s="111"/>
      <c r="R141" s="107"/>
      <c r="S141" s="107"/>
    </row>
    <row r="142" spans="1:19">
      <c r="A142" s="107"/>
      <c r="B142" s="107"/>
      <c r="C142" s="107"/>
      <c r="D142" s="107"/>
      <c r="E142" s="108"/>
      <c r="F142" s="108"/>
      <c r="G142" s="109"/>
      <c r="H142" s="109"/>
      <c r="I142" s="109"/>
      <c r="J142" s="109"/>
      <c r="K142" s="109"/>
      <c r="L142" s="107"/>
      <c r="M142" s="107"/>
      <c r="N142" s="107"/>
      <c r="O142" s="107"/>
      <c r="P142" s="111"/>
      <c r="Q142" s="111"/>
      <c r="R142" s="107"/>
      <c r="S142" s="107"/>
    </row>
    <row r="143" spans="1:19">
      <c r="A143" s="107"/>
      <c r="B143" s="107"/>
      <c r="C143" s="107"/>
      <c r="D143" s="107"/>
      <c r="E143" s="108"/>
      <c r="F143" s="108"/>
      <c r="G143" s="109"/>
      <c r="H143" s="109"/>
      <c r="I143" s="109"/>
      <c r="J143" s="109"/>
      <c r="K143" s="109"/>
      <c r="L143" s="107"/>
      <c r="M143" s="107"/>
      <c r="N143" s="107"/>
      <c r="O143" s="107"/>
      <c r="P143" s="111"/>
      <c r="Q143" s="111"/>
      <c r="R143" s="107"/>
      <c r="S143" s="107"/>
    </row>
    <row r="144" spans="1:19">
      <c r="A144" s="107"/>
      <c r="B144" s="107"/>
      <c r="C144" s="107"/>
      <c r="D144" s="107"/>
      <c r="E144" s="108"/>
      <c r="F144" s="108"/>
      <c r="G144" s="109"/>
      <c r="H144" s="109"/>
      <c r="I144" s="109"/>
      <c r="J144" s="109"/>
      <c r="K144" s="109"/>
      <c r="L144" s="107"/>
      <c r="M144" s="107"/>
      <c r="N144" s="107"/>
      <c r="O144" s="107"/>
      <c r="P144" s="111"/>
      <c r="Q144" s="111"/>
      <c r="R144" s="107"/>
      <c r="S144" s="107"/>
    </row>
    <row r="145" spans="1:19">
      <c r="A145" s="107"/>
      <c r="B145" s="107"/>
      <c r="C145" s="107"/>
      <c r="D145" s="107"/>
      <c r="E145" s="108"/>
      <c r="F145" s="108"/>
      <c r="G145" s="109"/>
      <c r="H145" s="109"/>
      <c r="I145" s="109"/>
      <c r="J145" s="109"/>
      <c r="K145" s="109"/>
      <c r="L145" s="107"/>
      <c r="M145" s="107"/>
      <c r="N145" s="107"/>
      <c r="O145" s="107"/>
      <c r="P145" s="111"/>
      <c r="Q145" s="111"/>
      <c r="R145" s="107"/>
      <c r="S145" s="107"/>
    </row>
    <row r="146" spans="1:19">
      <c r="A146" s="107"/>
      <c r="B146" s="107"/>
      <c r="C146" s="107"/>
      <c r="D146" s="107"/>
      <c r="E146" s="108"/>
      <c r="F146" s="108"/>
      <c r="G146" s="109"/>
      <c r="H146" s="109"/>
      <c r="I146" s="109"/>
      <c r="J146" s="109"/>
      <c r="K146" s="109"/>
      <c r="L146" s="107"/>
      <c r="M146" s="107"/>
      <c r="N146" s="107"/>
      <c r="O146" s="107"/>
      <c r="P146" s="111"/>
      <c r="Q146" s="111"/>
      <c r="R146" s="107"/>
      <c r="S146" s="107"/>
    </row>
    <row r="147" spans="1:19">
      <c r="A147" s="107"/>
      <c r="B147" s="107"/>
      <c r="C147" s="107"/>
      <c r="D147" s="107"/>
      <c r="E147" s="108"/>
      <c r="F147" s="108"/>
      <c r="G147" s="109"/>
      <c r="H147" s="109"/>
      <c r="I147" s="109"/>
      <c r="J147" s="109"/>
      <c r="K147" s="109"/>
      <c r="L147" s="107"/>
      <c r="M147" s="107"/>
      <c r="N147" s="107"/>
      <c r="O147" s="107"/>
      <c r="P147" s="111"/>
      <c r="Q147" s="111"/>
      <c r="R147" s="107"/>
      <c r="S147" s="107"/>
    </row>
    <row r="148" spans="1:19">
      <c r="A148" s="107"/>
      <c r="B148" s="107"/>
      <c r="C148" s="107"/>
      <c r="D148" s="107"/>
      <c r="E148" s="108"/>
      <c r="F148" s="108"/>
      <c r="G148" s="109"/>
      <c r="H148" s="109"/>
      <c r="I148" s="109"/>
      <c r="J148" s="109"/>
      <c r="K148" s="109"/>
      <c r="L148" s="107"/>
      <c r="M148" s="107"/>
      <c r="N148" s="107"/>
      <c r="O148" s="107"/>
      <c r="P148" s="111"/>
      <c r="Q148" s="111"/>
      <c r="R148" s="107"/>
      <c r="S148" s="107"/>
    </row>
    <row r="149" spans="1:19">
      <c r="A149" s="107"/>
      <c r="B149" s="107"/>
      <c r="C149" s="107"/>
      <c r="D149" s="107"/>
      <c r="E149" s="108"/>
      <c r="F149" s="108"/>
      <c r="G149" s="109"/>
      <c r="H149" s="109"/>
      <c r="I149" s="109"/>
      <c r="J149" s="109"/>
      <c r="K149" s="109"/>
      <c r="L149" s="107"/>
      <c r="M149" s="107"/>
      <c r="N149" s="107"/>
      <c r="O149" s="107"/>
      <c r="P149" s="111"/>
      <c r="Q149" s="111"/>
      <c r="R149" s="107"/>
      <c r="S149" s="107"/>
    </row>
    <row r="150" spans="1:19">
      <c r="A150" s="107"/>
      <c r="B150" s="107"/>
      <c r="C150" s="107"/>
      <c r="D150" s="107"/>
      <c r="E150" s="108"/>
      <c r="F150" s="108"/>
      <c r="G150" s="109"/>
      <c r="H150" s="109"/>
      <c r="I150" s="109"/>
      <c r="J150" s="109"/>
      <c r="K150" s="109"/>
      <c r="L150" s="107"/>
      <c r="M150" s="107"/>
      <c r="N150" s="107"/>
      <c r="O150" s="107"/>
      <c r="P150" s="111"/>
      <c r="Q150" s="111"/>
      <c r="R150" s="107"/>
      <c r="S150" s="107"/>
    </row>
    <row r="151" spans="1:19">
      <c r="A151" s="107"/>
      <c r="B151" s="107"/>
      <c r="C151" s="107"/>
      <c r="D151" s="107"/>
      <c r="E151" s="108"/>
      <c r="F151" s="108"/>
      <c r="G151" s="109"/>
      <c r="H151" s="109"/>
      <c r="I151" s="109"/>
      <c r="J151" s="109"/>
      <c r="K151" s="109"/>
      <c r="L151" s="107"/>
      <c r="M151" s="107"/>
      <c r="N151" s="107"/>
      <c r="O151" s="107"/>
      <c r="P151" s="111"/>
      <c r="Q151" s="111"/>
      <c r="R151" s="107"/>
      <c r="S151" s="107"/>
    </row>
    <row r="152" spans="1:19">
      <c r="A152" s="107"/>
      <c r="B152" s="107"/>
      <c r="C152" s="107"/>
      <c r="D152" s="107"/>
      <c r="E152" s="108"/>
      <c r="F152" s="108"/>
      <c r="G152" s="109"/>
      <c r="H152" s="109"/>
      <c r="I152" s="109"/>
      <c r="J152" s="109"/>
      <c r="K152" s="109"/>
      <c r="L152" s="107"/>
      <c r="M152" s="107"/>
      <c r="N152" s="107"/>
      <c r="O152" s="107"/>
      <c r="P152" s="111"/>
      <c r="Q152" s="111"/>
      <c r="R152" s="107"/>
      <c r="S152" s="107"/>
    </row>
    <row r="153" spans="1:19">
      <c r="A153" s="107"/>
      <c r="B153" s="107"/>
      <c r="C153" s="107"/>
      <c r="D153" s="107"/>
      <c r="E153" s="108"/>
      <c r="F153" s="108"/>
      <c r="G153" s="109"/>
      <c r="H153" s="109"/>
      <c r="I153" s="109"/>
      <c r="J153" s="109"/>
      <c r="K153" s="109"/>
      <c r="L153" s="107"/>
      <c r="M153" s="107"/>
      <c r="N153" s="107"/>
      <c r="O153" s="107"/>
      <c r="P153" s="111"/>
      <c r="Q153" s="111"/>
      <c r="R153" s="107"/>
      <c r="S153" s="107"/>
    </row>
    <row r="154" spans="1:19">
      <c r="A154" s="107"/>
      <c r="B154" s="107"/>
      <c r="C154" s="107"/>
      <c r="D154" s="107"/>
      <c r="E154" s="108"/>
      <c r="F154" s="108"/>
      <c r="G154" s="109"/>
      <c r="H154" s="109"/>
      <c r="I154" s="109"/>
      <c r="J154" s="109"/>
      <c r="K154" s="109"/>
      <c r="L154" s="107"/>
      <c r="M154" s="107"/>
      <c r="N154" s="107"/>
      <c r="O154" s="107"/>
      <c r="P154" s="111"/>
      <c r="Q154" s="111"/>
      <c r="R154" s="107"/>
      <c r="S154" s="107"/>
    </row>
    <row r="155" spans="1:19">
      <c r="A155" s="107"/>
      <c r="B155" s="107"/>
      <c r="C155" s="107"/>
      <c r="D155" s="107"/>
      <c r="E155" s="108"/>
      <c r="F155" s="108"/>
      <c r="G155" s="109"/>
      <c r="H155" s="109"/>
      <c r="I155" s="109"/>
      <c r="J155" s="109"/>
      <c r="K155" s="109"/>
      <c r="L155" s="107"/>
      <c r="M155" s="107"/>
      <c r="N155" s="107"/>
      <c r="O155" s="107"/>
      <c r="P155" s="111"/>
      <c r="Q155" s="111"/>
      <c r="R155" s="107"/>
      <c r="S155" s="107"/>
    </row>
    <row r="156" spans="1:19">
      <c r="A156" s="107"/>
      <c r="B156" s="107"/>
      <c r="C156" s="107"/>
      <c r="D156" s="107"/>
      <c r="E156" s="108"/>
      <c r="F156" s="108"/>
      <c r="G156" s="109"/>
      <c r="H156" s="109"/>
      <c r="I156" s="109"/>
      <c r="J156" s="109"/>
      <c r="K156" s="109"/>
      <c r="L156" s="107"/>
      <c r="M156" s="107"/>
      <c r="N156" s="107"/>
      <c r="O156" s="107"/>
      <c r="P156" s="111"/>
      <c r="Q156" s="111"/>
      <c r="R156" s="107"/>
      <c r="S156" s="107"/>
    </row>
    <row r="157" spans="1:19">
      <c r="A157" s="107"/>
      <c r="B157" s="107"/>
      <c r="C157" s="107"/>
      <c r="D157" s="107"/>
      <c r="E157" s="108"/>
      <c r="F157" s="108"/>
      <c r="G157" s="109"/>
      <c r="H157" s="109"/>
      <c r="I157" s="109"/>
      <c r="J157" s="109"/>
      <c r="K157" s="109"/>
      <c r="L157" s="107"/>
      <c r="M157" s="107"/>
      <c r="N157" s="107"/>
      <c r="O157" s="107"/>
      <c r="P157" s="111"/>
      <c r="Q157" s="111"/>
      <c r="R157" s="107"/>
      <c r="S157" s="107"/>
    </row>
    <row r="158" spans="1:19">
      <c r="A158" s="107"/>
      <c r="B158" s="107"/>
      <c r="C158" s="107"/>
      <c r="D158" s="107"/>
      <c r="E158" s="108"/>
      <c r="F158" s="108"/>
      <c r="G158" s="109"/>
      <c r="H158" s="109"/>
      <c r="I158" s="109"/>
      <c r="J158" s="109"/>
      <c r="K158" s="109"/>
      <c r="L158" s="107"/>
      <c r="M158" s="107"/>
      <c r="N158" s="107"/>
      <c r="O158" s="107"/>
      <c r="P158" s="111"/>
      <c r="Q158" s="111"/>
      <c r="R158" s="107"/>
      <c r="S158" s="107"/>
    </row>
    <row r="159" spans="1:19">
      <c r="A159" s="107"/>
      <c r="B159" s="107"/>
      <c r="C159" s="107"/>
      <c r="D159" s="107"/>
      <c r="E159" s="108"/>
      <c r="F159" s="108"/>
      <c r="G159" s="109"/>
      <c r="H159" s="109"/>
      <c r="I159" s="109"/>
      <c r="J159" s="109"/>
      <c r="K159" s="109"/>
      <c r="L159" s="107"/>
      <c r="M159" s="107"/>
      <c r="N159" s="107"/>
      <c r="O159" s="107"/>
      <c r="P159" s="111"/>
      <c r="Q159" s="111"/>
      <c r="R159" s="107"/>
      <c r="S159" s="107"/>
    </row>
    <row r="160" spans="1:19">
      <c r="A160" s="107"/>
      <c r="B160" s="107"/>
      <c r="C160" s="107"/>
      <c r="D160" s="107"/>
      <c r="E160" s="108"/>
      <c r="F160" s="108"/>
      <c r="G160" s="109"/>
      <c r="H160" s="109"/>
      <c r="I160" s="109"/>
      <c r="J160" s="109"/>
      <c r="K160" s="109"/>
      <c r="L160" s="107"/>
      <c r="M160" s="107"/>
      <c r="N160" s="107"/>
      <c r="O160" s="107"/>
      <c r="P160" s="111"/>
      <c r="Q160" s="111"/>
      <c r="R160" s="107"/>
      <c r="S160" s="107"/>
    </row>
    <row r="161" spans="1:19">
      <c r="A161" s="107"/>
      <c r="B161" s="107"/>
      <c r="C161" s="107"/>
      <c r="D161" s="107"/>
      <c r="E161" s="108"/>
      <c r="F161" s="108"/>
      <c r="G161" s="109"/>
      <c r="H161" s="109"/>
      <c r="I161" s="109"/>
      <c r="J161" s="109"/>
      <c r="K161" s="109"/>
      <c r="L161" s="107"/>
      <c r="M161" s="107"/>
      <c r="N161" s="107"/>
      <c r="O161" s="107"/>
      <c r="P161" s="111"/>
      <c r="Q161" s="111"/>
      <c r="R161" s="107"/>
      <c r="S161" s="107"/>
    </row>
    <row r="162" spans="1:19">
      <c r="A162" s="107"/>
      <c r="B162" s="107"/>
      <c r="C162" s="107"/>
      <c r="D162" s="107"/>
      <c r="E162" s="108"/>
      <c r="F162" s="108"/>
      <c r="G162" s="109"/>
      <c r="H162" s="109"/>
      <c r="I162" s="109"/>
      <c r="J162" s="109"/>
      <c r="K162" s="109"/>
      <c r="L162" s="107"/>
      <c r="M162" s="107"/>
      <c r="N162" s="107"/>
      <c r="O162" s="107"/>
      <c r="P162" s="111"/>
      <c r="Q162" s="111"/>
      <c r="R162" s="107"/>
      <c r="S162" s="107"/>
    </row>
    <row r="163" spans="1:19">
      <c r="A163" s="107"/>
      <c r="B163" s="107"/>
      <c r="C163" s="107"/>
      <c r="D163" s="107"/>
      <c r="E163" s="108"/>
      <c r="F163" s="108"/>
      <c r="G163" s="109"/>
      <c r="H163" s="109"/>
      <c r="I163" s="109"/>
      <c r="J163" s="109"/>
      <c r="K163" s="109"/>
      <c r="L163" s="107"/>
      <c r="M163" s="107"/>
      <c r="N163" s="107"/>
      <c r="O163" s="107"/>
      <c r="P163" s="111"/>
      <c r="Q163" s="111"/>
      <c r="R163" s="107"/>
      <c r="S163" s="107"/>
    </row>
    <row r="164" spans="1:19">
      <c r="A164" s="107"/>
      <c r="B164" s="107"/>
      <c r="C164" s="107"/>
      <c r="D164" s="107"/>
      <c r="E164" s="108"/>
      <c r="F164" s="108"/>
      <c r="G164" s="109"/>
      <c r="H164" s="109"/>
      <c r="I164" s="109"/>
      <c r="J164" s="109"/>
      <c r="K164" s="109"/>
      <c r="L164" s="107"/>
      <c r="M164" s="107"/>
      <c r="N164" s="107"/>
      <c r="O164" s="107"/>
      <c r="P164" s="111"/>
      <c r="Q164" s="111"/>
      <c r="R164" s="107"/>
      <c r="S164" s="107"/>
    </row>
    <row r="165" spans="1:19">
      <c r="A165" s="107"/>
      <c r="B165" s="107"/>
      <c r="C165" s="107"/>
      <c r="D165" s="107"/>
      <c r="E165" s="108"/>
      <c r="F165" s="108"/>
      <c r="G165" s="109"/>
      <c r="H165" s="109"/>
      <c r="I165" s="109"/>
      <c r="J165" s="109"/>
      <c r="K165" s="109"/>
      <c r="L165" s="107"/>
      <c r="M165" s="107"/>
      <c r="N165" s="107"/>
      <c r="O165" s="107"/>
      <c r="P165" s="111"/>
      <c r="Q165" s="111"/>
      <c r="R165" s="107"/>
      <c r="S165" s="107"/>
    </row>
    <row r="166" spans="1:19">
      <c r="A166" s="107"/>
      <c r="B166" s="107"/>
      <c r="C166" s="107"/>
      <c r="D166" s="107"/>
      <c r="E166" s="108"/>
      <c r="F166" s="108"/>
      <c r="G166" s="109"/>
      <c r="H166" s="109"/>
      <c r="I166" s="109"/>
      <c r="J166" s="109"/>
      <c r="K166" s="109"/>
      <c r="L166" s="107"/>
      <c r="M166" s="107"/>
      <c r="N166" s="107"/>
      <c r="O166" s="107"/>
      <c r="P166" s="111"/>
      <c r="Q166" s="111"/>
      <c r="R166" s="107"/>
      <c r="S166" s="107"/>
    </row>
    <row r="167" spans="1:19">
      <c r="A167" s="107"/>
      <c r="B167" s="107"/>
      <c r="C167" s="107"/>
      <c r="D167" s="107"/>
      <c r="E167" s="108"/>
      <c r="F167" s="108"/>
      <c r="G167" s="109"/>
      <c r="H167" s="109"/>
      <c r="I167" s="109"/>
      <c r="J167" s="109"/>
      <c r="K167" s="109"/>
      <c r="L167" s="107"/>
      <c r="M167" s="107"/>
      <c r="N167" s="107"/>
      <c r="O167" s="107"/>
      <c r="P167" s="111"/>
      <c r="Q167" s="111"/>
      <c r="R167" s="107"/>
      <c r="S167" s="107"/>
    </row>
    <row r="168" spans="1:19">
      <c r="A168" s="107"/>
      <c r="B168" s="107"/>
      <c r="C168" s="107"/>
      <c r="D168" s="107"/>
      <c r="E168" s="108"/>
      <c r="F168" s="108"/>
      <c r="G168" s="109"/>
      <c r="H168" s="109"/>
      <c r="I168" s="109"/>
      <c r="J168" s="109"/>
      <c r="K168" s="109"/>
      <c r="L168" s="107"/>
      <c r="M168" s="107"/>
      <c r="N168" s="107"/>
      <c r="O168" s="107"/>
      <c r="P168" s="111"/>
      <c r="Q168" s="111"/>
      <c r="R168" s="107"/>
      <c r="S168" s="107"/>
    </row>
    <row r="169" spans="1:19">
      <c r="A169" s="107"/>
      <c r="B169" s="107"/>
      <c r="C169" s="107"/>
      <c r="D169" s="107"/>
      <c r="E169" s="108"/>
      <c r="F169" s="108"/>
      <c r="G169" s="109"/>
      <c r="H169" s="109"/>
      <c r="I169" s="109"/>
      <c r="J169" s="109"/>
      <c r="K169" s="109"/>
      <c r="L169" s="107"/>
      <c r="M169" s="107"/>
      <c r="N169" s="107"/>
      <c r="O169" s="107"/>
      <c r="P169" s="111"/>
      <c r="Q169" s="111"/>
      <c r="R169" s="107"/>
      <c r="S169" s="107"/>
    </row>
    <row r="170" spans="1:19">
      <c r="A170" s="107"/>
      <c r="B170" s="107"/>
      <c r="C170" s="107"/>
      <c r="D170" s="107"/>
      <c r="E170" s="108"/>
      <c r="F170" s="108"/>
      <c r="G170" s="109"/>
      <c r="H170" s="109"/>
      <c r="I170" s="109"/>
      <c r="J170" s="109"/>
      <c r="K170" s="109"/>
      <c r="L170" s="107"/>
      <c r="M170" s="107"/>
      <c r="N170" s="107"/>
      <c r="O170" s="107"/>
      <c r="P170" s="111"/>
      <c r="Q170" s="111"/>
      <c r="R170" s="107"/>
      <c r="S170" s="107"/>
    </row>
    <row r="171" spans="1:19">
      <c r="A171" s="107"/>
      <c r="B171" s="107"/>
      <c r="C171" s="107"/>
      <c r="D171" s="107"/>
      <c r="E171" s="108"/>
      <c r="F171" s="108"/>
      <c r="G171" s="109"/>
      <c r="H171" s="109"/>
      <c r="I171" s="109"/>
      <c r="J171" s="109"/>
      <c r="K171" s="109"/>
      <c r="L171" s="107"/>
      <c r="M171" s="107"/>
      <c r="N171" s="107"/>
      <c r="O171" s="107"/>
      <c r="P171" s="111"/>
      <c r="Q171" s="111"/>
      <c r="R171" s="107"/>
      <c r="S171" s="107"/>
    </row>
    <row r="172" spans="1:19">
      <c r="A172" s="107"/>
      <c r="B172" s="107"/>
      <c r="C172" s="107"/>
      <c r="D172" s="107"/>
      <c r="E172" s="108"/>
      <c r="F172" s="108"/>
      <c r="G172" s="109"/>
      <c r="H172" s="109"/>
      <c r="I172" s="109"/>
      <c r="J172" s="109"/>
      <c r="K172" s="109"/>
      <c r="L172" s="107"/>
      <c r="M172" s="107"/>
      <c r="N172" s="107"/>
      <c r="O172" s="107"/>
      <c r="P172" s="111"/>
      <c r="Q172" s="111"/>
      <c r="R172" s="107"/>
      <c r="S172" s="107"/>
    </row>
    <row r="173" spans="1:19">
      <c r="A173" s="107"/>
      <c r="B173" s="107"/>
      <c r="C173" s="107"/>
      <c r="D173" s="107"/>
      <c r="E173" s="108"/>
      <c r="F173" s="108"/>
      <c r="G173" s="109"/>
      <c r="H173" s="109"/>
      <c r="I173" s="109"/>
      <c r="J173" s="109"/>
      <c r="K173" s="109"/>
      <c r="L173" s="107"/>
      <c r="M173" s="107"/>
      <c r="N173" s="107"/>
      <c r="O173" s="107"/>
      <c r="P173" s="111"/>
      <c r="Q173" s="111"/>
      <c r="R173" s="107"/>
      <c r="S173" s="107"/>
    </row>
    <row r="174" spans="1:19">
      <c r="A174" s="107"/>
      <c r="B174" s="107"/>
      <c r="C174" s="107"/>
      <c r="D174" s="107"/>
      <c r="E174" s="108"/>
      <c r="F174" s="108"/>
      <c r="G174" s="109"/>
      <c r="H174" s="109"/>
      <c r="I174" s="109"/>
      <c r="J174" s="109"/>
      <c r="K174" s="109"/>
      <c r="L174" s="107"/>
      <c r="M174" s="107"/>
      <c r="N174" s="107"/>
      <c r="O174" s="107"/>
      <c r="P174" s="111"/>
      <c r="Q174" s="111"/>
      <c r="R174" s="107"/>
      <c r="S174" s="107"/>
    </row>
    <row r="175" spans="1:19">
      <c r="A175" s="107"/>
      <c r="B175" s="107"/>
      <c r="C175" s="107"/>
      <c r="D175" s="107"/>
      <c r="E175" s="108"/>
      <c r="F175" s="108"/>
      <c r="G175" s="109"/>
      <c r="H175" s="109"/>
      <c r="I175" s="109"/>
      <c r="J175" s="109"/>
      <c r="K175" s="109"/>
      <c r="L175" s="107"/>
      <c r="M175" s="107"/>
      <c r="N175" s="107"/>
      <c r="O175" s="107"/>
      <c r="P175" s="111"/>
      <c r="Q175" s="111"/>
      <c r="R175" s="107"/>
      <c r="S175" s="107"/>
    </row>
    <row r="176" spans="1:19">
      <c r="A176" s="107"/>
      <c r="B176" s="107"/>
      <c r="C176" s="107"/>
      <c r="D176" s="107"/>
      <c r="E176" s="108"/>
      <c r="F176" s="108"/>
      <c r="G176" s="109"/>
      <c r="H176" s="109"/>
      <c r="I176" s="109"/>
      <c r="J176" s="109"/>
      <c r="K176" s="109"/>
      <c r="L176" s="107"/>
      <c r="M176" s="107"/>
      <c r="N176" s="107"/>
      <c r="O176" s="107"/>
      <c r="P176" s="111"/>
      <c r="Q176" s="111"/>
      <c r="R176" s="107"/>
      <c r="S176" s="107"/>
    </row>
    <row r="177" spans="1:19">
      <c r="A177" s="107"/>
      <c r="B177" s="107"/>
      <c r="C177" s="107"/>
      <c r="D177" s="107"/>
      <c r="E177" s="108"/>
      <c r="F177" s="108"/>
      <c r="G177" s="109"/>
      <c r="H177" s="109"/>
      <c r="I177" s="109"/>
      <c r="J177" s="109"/>
      <c r="K177" s="109"/>
      <c r="L177" s="107"/>
      <c r="M177" s="107"/>
      <c r="N177" s="107"/>
      <c r="O177" s="107"/>
      <c r="P177" s="111"/>
      <c r="Q177" s="111"/>
      <c r="R177" s="107"/>
      <c r="S177" s="107"/>
    </row>
    <row r="178" spans="1:19">
      <c r="A178" s="107"/>
      <c r="B178" s="107"/>
      <c r="C178" s="107"/>
      <c r="D178" s="107"/>
      <c r="E178" s="108"/>
      <c r="F178" s="108"/>
      <c r="G178" s="109"/>
      <c r="H178" s="109"/>
      <c r="I178" s="109"/>
      <c r="J178" s="109"/>
      <c r="K178" s="109"/>
      <c r="L178" s="107"/>
      <c r="M178" s="107"/>
      <c r="N178" s="107"/>
      <c r="O178" s="107"/>
      <c r="P178" s="111"/>
      <c r="Q178" s="111"/>
      <c r="R178" s="107"/>
      <c r="S178" s="107"/>
    </row>
    <row r="179" spans="1:19">
      <c r="A179" s="107"/>
      <c r="B179" s="107"/>
      <c r="C179" s="107"/>
      <c r="D179" s="107"/>
      <c r="E179" s="108"/>
      <c r="F179" s="108"/>
      <c r="G179" s="109"/>
      <c r="H179" s="109"/>
      <c r="I179" s="109"/>
      <c r="J179" s="109"/>
      <c r="K179" s="109"/>
      <c r="L179" s="107"/>
      <c r="M179" s="107"/>
      <c r="N179" s="107"/>
      <c r="O179" s="107"/>
      <c r="P179" s="111"/>
      <c r="Q179" s="111"/>
      <c r="R179" s="107"/>
      <c r="S179" s="107"/>
    </row>
    <row r="180" spans="1:19">
      <c r="A180" s="107"/>
      <c r="B180" s="107"/>
      <c r="C180" s="107"/>
      <c r="D180" s="107"/>
      <c r="E180" s="108"/>
      <c r="F180" s="108"/>
      <c r="G180" s="109"/>
      <c r="H180" s="109"/>
      <c r="I180" s="109"/>
      <c r="J180" s="109"/>
      <c r="K180" s="109"/>
      <c r="L180" s="107"/>
      <c r="M180" s="107"/>
      <c r="N180" s="107"/>
      <c r="O180" s="107"/>
      <c r="P180" s="111"/>
      <c r="Q180" s="111"/>
      <c r="R180" s="107"/>
      <c r="S180" s="107"/>
    </row>
    <row r="181" spans="1:19">
      <c r="A181" s="107"/>
      <c r="B181" s="107"/>
      <c r="C181" s="107"/>
      <c r="D181" s="107"/>
      <c r="E181" s="108"/>
      <c r="F181" s="108"/>
      <c r="G181" s="109"/>
      <c r="H181" s="109"/>
      <c r="I181" s="109"/>
      <c r="J181" s="109"/>
      <c r="K181" s="109"/>
      <c r="L181" s="107"/>
      <c r="M181" s="107"/>
      <c r="N181" s="107"/>
      <c r="O181" s="107"/>
      <c r="P181" s="111"/>
      <c r="Q181" s="111"/>
      <c r="R181" s="107"/>
      <c r="S181" s="107"/>
    </row>
    <row r="182" spans="1:19">
      <c r="A182" s="107"/>
      <c r="B182" s="107"/>
      <c r="C182" s="107"/>
      <c r="D182" s="107"/>
      <c r="E182" s="108"/>
      <c r="F182" s="108"/>
      <c r="G182" s="109"/>
      <c r="H182" s="109"/>
      <c r="I182" s="109"/>
      <c r="J182" s="109"/>
      <c r="K182" s="109"/>
      <c r="L182" s="107"/>
      <c r="M182" s="107"/>
      <c r="N182" s="107"/>
      <c r="O182" s="107"/>
      <c r="P182" s="111"/>
      <c r="Q182" s="111"/>
      <c r="R182" s="107"/>
      <c r="S182" s="107"/>
    </row>
    <row r="183" spans="1:19">
      <c r="A183" s="107"/>
      <c r="B183" s="107"/>
      <c r="C183" s="107"/>
      <c r="D183" s="107"/>
      <c r="E183" s="108"/>
      <c r="F183" s="108"/>
      <c r="G183" s="109"/>
      <c r="H183" s="109"/>
      <c r="I183" s="109"/>
      <c r="J183" s="109"/>
      <c r="K183" s="109"/>
      <c r="L183" s="107"/>
      <c r="M183" s="107"/>
      <c r="N183" s="107"/>
      <c r="O183" s="107"/>
      <c r="P183" s="111"/>
      <c r="Q183" s="111"/>
      <c r="R183" s="107"/>
      <c r="S183" s="107"/>
    </row>
    <row r="184" spans="1:19">
      <c r="A184" s="107"/>
      <c r="B184" s="107"/>
      <c r="C184" s="107"/>
      <c r="D184" s="107"/>
      <c r="E184" s="108"/>
      <c r="F184" s="108"/>
      <c r="G184" s="109"/>
      <c r="H184" s="109"/>
      <c r="I184" s="109"/>
      <c r="J184" s="109"/>
      <c r="K184" s="109"/>
      <c r="L184" s="107"/>
      <c r="M184" s="107"/>
      <c r="N184" s="107"/>
      <c r="O184" s="107"/>
      <c r="P184" s="111"/>
      <c r="Q184" s="111"/>
      <c r="R184" s="107"/>
      <c r="S184" s="107"/>
    </row>
    <row r="185" spans="1:19">
      <c r="A185" s="107"/>
      <c r="B185" s="107"/>
      <c r="C185" s="107"/>
      <c r="D185" s="107"/>
      <c r="E185" s="108"/>
      <c r="F185" s="108"/>
      <c r="G185" s="109"/>
      <c r="H185" s="109"/>
      <c r="I185" s="109"/>
      <c r="J185" s="109"/>
      <c r="K185" s="109"/>
      <c r="L185" s="107"/>
      <c r="M185" s="107"/>
      <c r="N185" s="107"/>
      <c r="O185" s="107"/>
      <c r="P185" s="111"/>
      <c r="Q185" s="111"/>
      <c r="R185" s="107"/>
      <c r="S185" s="107"/>
    </row>
    <row r="186" spans="1:19">
      <c r="A186" s="107"/>
      <c r="B186" s="107"/>
      <c r="C186" s="107"/>
      <c r="D186" s="107"/>
      <c r="E186" s="108"/>
      <c r="F186" s="108"/>
      <c r="G186" s="109"/>
      <c r="H186" s="109"/>
      <c r="I186" s="109"/>
      <c r="J186" s="109"/>
      <c r="K186" s="109"/>
      <c r="L186" s="107"/>
      <c r="M186" s="107"/>
      <c r="N186" s="107"/>
      <c r="O186" s="107"/>
      <c r="P186" s="111"/>
      <c r="Q186" s="111"/>
      <c r="R186" s="107"/>
      <c r="S186" s="107"/>
    </row>
    <row r="187" spans="1:19">
      <c r="A187" s="107"/>
      <c r="B187" s="107"/>
      <c r="C187" s="107"/>
      <c r="D187" s="107"/>
      <c r="E187" s="108"/>
      <c r="F187" s="108"/>
      <c r="G187" s="109"/>
      <c r="H187" s="109"/>
      <c r="I187" s="109"/>
      <c r="J187" s="109"/>
      <c r="K187" s="109"/>
      <c r="L187" s="107"/>
      <c r="M187" s="107"/>
      <c r="N187" s="107"/>
      <c r="O187" s="107"/>
      <c r="P187" s="111"/>
      <c r="Q187" s="111"/>
      <c r="R187" s="107"/>
      <c r="S187" s="107"/>
    </row>
    <row r="188" spans="1:19">
      <c r="A188" s="107"/>
      <c r="B188" s="107"/>
      <c r="C188" s="107"/>
      <c r="D188" s="107"/>
      <c r="E188" s="108"/>
      <c r="F188" s="108"/>
      <c r="G188" s="109"/>
      <c r="H188" s="109"/>
      <c r="I188" s="109"/>
      <c r="J188" s="109"/>
      <c r="K188" s="109"/>
      <c r="L188" s="107"/>
      <c r="M188" s="107"/>
      <c r="N188" s="107"/>
      <c r="O188" s="107"/>
      <c r="P188" s="111"/>
      <c r="Q188" s="111"/>
      <c r="R188" s="107"/>
      <c r="S188" s="107"/>
    </row>
    <row r="189" spans="1:19">
      <c r="A189" s="107"/>
      <c r="B189" s="107"/>
      <c r="C189" s="107"/>
      <c r="D189" s="107"/>
      <c r="E189" s="108"/>
      <c r="F189" s="108"/>
      <c r="G189" s="109"/>
      <c r="H189" s="109"/>
      <c r="I189" s="109"/>
      <c r="J189" s="109"/>
      <c r="K189" s="109"/>
      <c r="L189" s="107"/>
      <c r="M189" s="107"/>
      <c r="N189" s="107"/>
      <c r="O189" s="107"/>
      <c r="P189" s="111"/>
      <c r="Q189" s="111"/>
      <c r="R189" s="107"/>
      <c r="S189" s="107"/>
    </row>
    <row r="190" spans="1:19">
      <c r="A190" s="107"/>
      <c r="B190" s="107"/>
      <c r="C190" s="107"/>
      <c r="D190" s="107"/>
      <c r="E190" s="108"/>
      <c r="F190" s="108"/>
      <c r="G190" s="109"/>
      <c r="H190" s="109"/>
      <c r="I190" s="109"/>
      <c r="J190" s="109"/>
      <c r="K190" s="109"/>
      <c r="L190" s="107"/>
      <c r="M190" s="107"/>
      <c r="N190" s="107"/>
      <c r="O190" s="107"/>
      <c r="P190" s="111"/>
      <c r="Q190" s="111"/>
      <c r="R190" s="107"/>
      <c r="S190" s="107"/>
    </row>
    <row r="191" spans="1:19">
      <c r="A191" s="107"/>
      <c r="B191" s="107"/>
      <c r="C191" s="107"/>
      <c r="D191" s="107"/>
      <c r="E191" s="108"/>
      <c r="F191" s="108"/>
      <c r="G191" s="109"/>
      <c r="H191" s="109"/>
      <c r="I191" s="109"/>
      <c r="J191" s="109"/>
      <c r="K191" s="109"/>
      <c r="L191" s="107"/>
      <c r="M191" s="107"/>
      <c r="N191" s="107"/>
      <c r="O191" s="107"/>
      <c r="P191" s="111"/>
      <c r="Q191" s="111"/>
      <c r="R191" s="107"/>
      <c r="S191" s="107"/>
    </row>
    <row r="192" spans="1:19">
      <c r="A192" s="107"/>
      <c r="B192" s="107"/>
      <c r="C192" s="107"/>
      <c r="D192" s="107"/>
      <c r="E192" s="108"/>
      <c r="F192" s="108"/>
      <c r="G192" s="109"/>
      <c r="H192" s="109"/>
      <c r="I192" s="109"/>
      <c r="J192" s="109"/>
      <c r="K192" s="109"/>
      <c r="L192" s="107"/>
      <c r="M192" s="107"/>
      <c r="N192" s="107"/>
      <c r="O192" s="107"/>
      <c r="P192" s="111"/>
      <c r="Q192" s="111"/>
      <c r="R192" s="107"/>
      <c r="S192" s="107"/>
    </row>
    <row r="193" spans="1:19">
      <c r="A193" s="107"/>
      <c r="B193" s="107"/>
      <c r="C193" s="107"/>
      <c r="D193" s="107"/>
      <c r="E193" s="108"/>
      <c r="F193" s="108"/>
      <c r="G193" s="109"/>
      <c r="H193" s="109"/>
      <c r="I193" s="109"/>
      <c r="J193" s="109"/>
      <c r="K193" s="109"/>
      <c r="L193" s="107"/>
      <c r="M193" s="107"/>
      <c r="N193" s="107"/>
      <c r="O193" s="107"/>
      <c r="P193" s="111"/>
      <c r="Q193" s="111"/>
      <c r="R193" s="107"/>
      <c r="S193" s="107"/>
    </row>
    <row r="194" spans="1:19">
      <c r="A194" s="107"/>
      <c r="B194" s="107"/>
      <c r="C194" s="107"/>
      <c r="D194" s="107"/>
      <c r="E194" s="108"/>
      <c r="F194" s="108"/>
      <c r="G194" s="109"/>
      <c r="H194" s="109"/>
      <c r="I194" s="109"/>
      <c r="J194" s="109"/>
      <c r="K194" s="109"/>
      <c r="L194" s="107"/>
      <c r="M194" s="107"/>
      <c r="N194" s="107"/>
      <c r="O194" s="107"/>
      <c r="P194" s="111"/>
      <c r="Q194" s="111"/>
      <c r="R194" s="107"/>
      <c r="S194" s="107"/>
    </row>
    <row r="195" spans="1:19">
      <c r="A195" s="107"/>
      <c r="B195" s="107"/>
      <c r="C195" s="107"/>
      <c r="D195" s="107"/>
      <c r="E195" s="108"/>
      <c r="F195" s="108"/>
      <c r="G195" s="109"/>
      <c r="H195" s="109"/>
      <c r="I195" s="109"/>
      <c r="J195" s="109"/>
      <c r="K195" s="109"/>
      <c r="L195" s="107"/>
      <c r="M195" s="107"/>
      <c r="N195" s="107"/>
      <c r="O195" s="107"/>
      <c r="P195" s="111"/>
      <c r="Q195" s="111"/>
      <c r="R195" s="107"/>
      <c r="S195" s="107"/>
    </row>
    <row r="196" spans="1:19">
      <c r="A196" s="107"/>
      <c r="B196" s="107"/>
      <c r="C196" s="107"/>
      <c r="D196" s="107"/>
      <c r="E196" s="108"/>
      <c r="F196" s="108"/>
      <c r="G196" s="109"/>
      <c r="H196" s="109"/>
      <c r="I196" s="109"/>
      <c r="J196" s="109"/>
      <c r="K196" s="109"/>
      <c r="L196" s="107"/>
      <c r="M196" s="107"/>
      <c r="N196" s="107"/>
      <c r="O196" s="107"/>
      <c r="P196" s="111"/>
      <c r="Q196" s="111"/>
      <c r="R196" s="107"/>
      <c r="S196" s="107"/>
    </row>
    <row r="197" spans="1:19">
      <c r="A197" s="107"/>
      <c r="B197" s="107"/>
      <c r="C197" s="107"/>
      <c r="D197" s="107"/>
      <c r="E197" s="108"/>
      <c r="F197" s="108"/>
      <c r="G197" s="109"/>
      <c r="H197" s="109"/>
      <c r="I197" s="109"/>
      <c r="J197" s="109"/>
      <c r="K197" s="109"/>
      <c r="L197" s="107"/>
      <c r="M197" s="107"/>
      <c r="N197" s="107"/>
      <c r="O197" s="107"/>
      <c r="P197" s="111"/>
      <c r="Q197" s="111"/>
      <c r="R197" s="107"/>
      <c r="S197" s="107"/>
    </row>
    <row r="198" spans="1:19">
      <c r="A198" s="107"/>
      <c r="B198" s="107"/>
      <c r="C198" s="107"/>
      <c r="D198" s="107"/>
      <c r="E198" s="108"/>
      <c r="F198" s="108"/>
      <c r="G198" s="109"/>
      <c r="H198" s="109"/>
      <c r="I198" s="109"/>
      <c r="J198" s="109"/>
      <c r="K198" s="109"/>
      <c r="L198" s="107"/>
      <c r="M198" s="107"/>
      <c r="N198" s="107"/>
      <c r="O198" s="107"/>
      <c r="P198" s="111"/>
      <c r="Q198" s="111"/>
      <c r="R198" s="107"/>
      <c r="S198" s="107"/>
    </row>
    <row r="199" spans="1:19">
      <c r="A199" s="107"/>
      <c r="B199" s="107"/>
      <c r="C199" s="107"/>
      <c r="D199" s="107"/>
      <c r="E199" s="108"/>
      <c r="F199" s="108"/>
      <c r="G199" s="109"/>
      <c r="H199" s="109"/>
      <c r="I199" s="109"/>
      <c r="J199" s="109"/>
      <c r="K199" s="109"/>
      <c r="L199" s="107"/>
      <c r="M199" s="107"/>
      <c r="N199" s="107"/>
      <c r="O199" s="107"/>
      <c r="P199" s="111"/>
      <c r="Q199" s="111"/>
      <c r="R199" s="107"/>
      <c r="S199" s="107"/>
    </row>
    <row r="200" spans="1:19">
      <c r="A200" s="107"/>
      <c r="B200" s="107"/>
      <c r="C200" s="107"/>
      <c r="D200" s="107"/>
      <c r="E200" s="108"/>
      <c r="F200" s="108"/>
      <c r="G200" s="109"/>
      <c r="H200" s="109"/>
      <c r="I200" s="109"/>
      <c r="J200" s="109"/>
      <c r="K200" s="109"/>
      <c r="L200" s="107"/>
      <c r="M200" s="107"/>
      <c r="N200" s="107"/>
      <c r="O200" s="107"/>
      <c r="P200" s="111"/>
      <c r="Q200" s="111"/>
      <c r="R200" s="107"/>
      <c r="S200" s="107"/>
    </row>
  </sheetData>
  <autoFilter ref="A1:S87">
    <filterColumn colId="10">
      <customFilters>
        <customFilter operator="equal" val="Baidu"/>
      </custom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3" priority="17" operator="equal">
      <formula>"Fail"</formula>
    </cfRule>
    <cfRule type="cellIs" dxfId="4" priority="18" operator="equal">
      <formula>"Pass"</formula>
    </cfRule>
  </conditionalFormatting>
  <conditionalFormatting sqref="G56">
    <cfRule type="cellIs" dxfId="3" priority="19" operator="equal">
      <formula>"Fail"</formula>
    </cfRule>
    <cfRule type="cellIs" dxfId="4" priority="20" operator="equal">
      <formula>"Pass"</formula>
    </cfRule>
  </conditionalFormatting>
  <conditionalFormatting sqref="G57">
    <cfRule type="cellIs" dxfId="3" priority="15" operator="equal">
      <formula>"Fail"</formula>
    </cfRule>
    <cfRule type="cellIs" dxfId="4" priority="16" operator="equal">
      <formula>"Pass"</formula>
    </cfRule>
  </conditionalFormatting>
  <conditionalFormatting sqref="G58">
    <cfRule type="cellIs" dxfId="5" priority="21" operator="equal">
      <formula>"NA"</formula>
    </cfRule>
    <cfRule type="cellIs" dxfId="6" priority="22" operator="equal">
      <formula>"NT"</formula>
    </cfRule>
    <cfRule type="cellIs" dxfId="3" priority="23" operator="equal">
      <formula>"Fail"</formula>
    </cfRule>
    <cfRule type="cellIs" dxfId="4" priority="24" operator="equal">
      <formula>"Pass"</formula>
    </cfRule>
  </conditionalFormatting>
  <conditionalFormatting sqref="G79">
    <cfRule type="cellIs" dxfId="3" priority="13" operator="equal">
      <formula>"Fail"</formula>
    </cfRule>
    <cfRule type="cellIs" dxfId="4" priority="14" operator="equal">
      <formula>"Pass"</formula>
    </cfRule>
  </conditionalFormatting>
  <conditionalFormatting sqref="G82">
    <cfRule type="cellIs" dxfId="5" priority="5" operator="equal">
      <formula>"NA"</formula>
    </cfRule>
    <cfRule type="cellIs" dxfId="6" priority="6" operator="equal">
      <formula>"NT"</formula>
    </cfRule>
    <cfRule type="cellIs" dxfId="3" priority="7" operator="equal">
      <formula>"Fail"</formula>
    </cfRule>
    <cfRule type="cellIs" dxfId="4" priority="8" operator="equal">
      <formula>"Pass"</formula>
    </cfRule>
  </conditionalFormatting>
  <conditionalFormatting sqref="G83">
    <cfRule type="cellIs" dxfId="5" priority="1" operator="equal">
      <formula>"NA"</formula>
    </cfRule>
    <cfRule type="cellIs" dxfId="6" priority="2" operator="equal">
      <formula>"NT"</formula>
    </cfRule>
    <cfRule type="cellIs" dxfId="3" priority="3" operator="equal">
      <formula>"Fail"</formula>
    </cfRule>
    <cfRule type="cellIs" dxfId="4" priority="4" operator="equal">
      <formula>"Pass"</formula>
    </cfRule>
  </conditionalFormatting>
  <conditionalFormatting sqref="G86">
    <cfRule type="cellIs" dxfId="3" priority="27" operator="equal">
      <formula>"Fail"</formula>
    </cfRule>
    <cfRule type="cellIs" dxfId="4" priority="28" operator="equal">
      <formula>"Pass"</formula>
    </cfRule>
  </conditionalFormatting>
  <conditionalFormatting sqref="G84:G85">
    <cfRule type="cellIs" dxfId="5" priority="9" operator="equal">
      <formula>"NA"</formula>
    </cfRule>
    <cfRule type="cellIs" dxfId="6" priority="10" operator="equal">
      <formula>"NT"</formula>
    </cfRule>
    <cfRule type="cellIs" dxfId="3" priority="11" operator="equal">
      <formula>"Fail"</formula>
    </cfRule>
    <cfRule type="cellIs" dxfId="4" priority="12" operator="equal">
      <formula>"Pass"</formula>
    </cfRule>
  </conditionalFormatting>
  <conditionalFormatting sqref="G73:G78 G80:G81">
    <cfRule type="cellIs" dxfId="3" priority="25" operator="equal">
      <formula>"Fail"</formula>
    </cfRule>
    <cfRule type="cellIs" dxfId="4" priority="26" operator="equal">
      <formula>"Pass"</formula>
    </cfRule>
  </conditionalFormatting>
  <dataValidations count="2">
    <dataValidation type="list" allowBlank="1" showInputMessage="1" showErrorMessage="1" error="请输入一个列表中的值" sqref="G58 G82:G85">
      <formula1>"Pass,Fail,NT,NA"</formula1>
    </dataValidation>
    <dataValidation type="list" allowBlank="1" showInputMessage="1" showErrorMessage="1" error="请输入一个列表中的值" sqref="G86 G55:G57 G73:G81">
      <formula1>"Pass,Fail"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20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1" defaultRowHeight="17.6"/>
  <cols>
    <col min="1" max="1" width="16.5" customWidth="1"/>
    <col min="2" max="2" width="37.8303571428571" customWidth="1"/>
    <col min="3" max="3" width="11.1696428571429" customWidth="1"/>
    <col min="4" max="4" width="19.8303571428571" customWidth="1"/>
    <col min="5" max="5" width="8.83035714285714" customWidth="1"/>
    <col min="6" max="6" width="14.1696428571429" customWidth="1"/>
    <col min="7" max="7" width="14.8303571428571" customWidth="1"/>
    <col min="8" max="8" width="12.3303571428571" customWidth="1"/>
    <col min="9" max="9" width="13" customWidth="1"/>
    <col min="10" max="10" width="8.66964285714286" customWidth="1"/>
    <col min="11" max="11" width="9" customWidth="1"/>
    <col min="12" max="12" width="14.3303571428571" customWidth="1"/>
    <col min="13" max="13" width="27.3303571428571" customWidth="1"/>
    <col min="14" max="14" width="24.6696428571429" customWidth="1"/>
    <col min="15" max="15" width="27.3303571428571" customWidth="1"/>
    <col min="16" max="16" width="13.8303571428571" customWidth="1"/>
    <col min="17" max="82" width="8.83035714285714" customWidth="1"/>
  </cols>
  <sheetData>
    <row r="1" spans="1:82">
      <c r="A1" s="45" t="s">
        <v>757</v>
      </c>
      <c r="B1" s="45" t="s">
        <v>35</v>
      </c>
      <c r="C1" s="45" t="s">
        <v>758</v>
      </c>
      <c r="D1" s="45" t="s">
        <v>759</v>
      </c>
      <c r="E1" s="45" t="s">
        <v>36</v>
      </c>
      <c r="F1" s="54" t="s">
        <v>760</v>
      </c>
      <c r="G1" s="54" t="s">
        <v>761</v>
      </c>
      <c r="H1" s="55" t="s">
        <v>762</v>
      </c>
      <c r="I1" s="55" t="s">
        <v>763</v>
      </c>
      <c r="J1" s="54" t="s">
        <v>764</v>
      </c>
      <c r="K1" s="54" t="s">
        <v>765</v>
      </c>
      <c r="L1" s="55" t="s">
        <v>766</v>
      </c>
      <c r="M1" s="55" t="s">
        <v>767</v>
      </c>
      <c r="N1" s="55" t="s">
        <v>768</v>
      </c>
      <c r="O1" s="55" t="s">
        <v>769</v>
      </c>
      <c r="P1" s="61" t="s">
        <v>770</v>
      </c>
      <c r="Q1" s="54" t="s">
        <v>760</v>
      </c>
      <c r="R1" s="54" t="s">
        <v>761</v>
      </c>
      <c r="S1" s="55" t="s">
        <v>762</v>
      </c>
      <c r="T1" s="55" t="s">
        <v>763</v>
      </c>
      <c r="U1" s="54" t="s">
        <v>764</v>
      </c>
      <c r="V1" s="54" t="s">
        <v>765</v>
      </c>
      <c r="W1" s="55" t="s">
        <v>766</v>
      </c>
      <c r="X1" s="55" t="s">
        <v>767</v>
      </c>
      <c r="Y1" s="55" t="s">
        <v>768</v>
      </c>
      <c r="Z1" s="55" t="s">
        <v>769</v>
      </c>
      <c r="AA1" s="55" t="s">
        <v>770</v>
      </c>
      <c r="AB1" s="54" t="s">
        <v>760</v>
      </c>
      <c r="AC1" s="54" t="s">
        <v>761</v>
      </c>
      <c r="AD1" s="55" t="s">
        <v>762</v>
      </c>
      <c r="AE1" s="55" t="s">
        <v>763</v>
      </c>
      <c r="AF1" s="54" t="s">
        <v>764</v>
      </c>
      <c r="AG1" s="54" t="s">
        <v>765</v>
      </c>
      <c r="AH1" s="55" t="s">
        <v>766</v>
      </c>
      <c r="AI1" s="55" t="s">
        <v>767</v>
      </c>
      <c r="AJ1" s="55" t="s">
        <v>768</v>
      </c>
      <c r="AK1" s="55" t="s">
        <v>769</v>
      </c>
      <c r="AL1" s="55" t="s">
        <v>770</v>
      </c>
      <c r="AM1" s="54" t="s">
        <v>760</v>
      </c>
      <c r="AN1" s="54" t="s">
        <v>761</v>
      </c>
      <c r="AO1" s="55" t="s">
        <v>762</v>
      </c>
      <c r="AP1" s="55" t="s">
        <v>763</v>
      </c>
      <c r="AQ1" s="54" t="s">
        <v>764</v>
      </c>
      <c r="AR1" s="54" t="s">
        <v>765</v>
      </c>
      <c r="AS1" s="55" t="s">
        <v>766</v>
      </c>
      <c r="AT1" s="55" t="s">
        <v>767</v>
      </c>
      <c r="AU1" s="55" t="s">
        <v>768</v>
      </c>
      <c r="AV1" s="55" t="s">
        <v>769</v>
      </c>
      <c r="AW1" s="55" t="s">
        <v>770</v>
      </c>
      <c r="AX1" s="54" t="s">
        <v>760</v>
      </c>
      <c r="AY1" s="54" t="s">
        <v>761</v>
      </c>
      <c r="AZ1" s="55" t="s">
        <v>762</v>
      </c>
      <c r="BA1" s="55" t="s">
        <v>763</v>
      </c>
      <c r="BB1" s="54" t="s">
        <v>764</v>
      </c>
      <c r="BC1" s="54" t="s">
        <v>765</v>
      </c>
      <c r="BD1" s="55" t="s">
        <v>766</v>
      </c>
      <c r="BE1" s="55" t="s">
        <v>767</v>
      </c>
      <c r="BF1" s="55" t="s">
        <v>768</v>
      </c>
      <c r="BG1" s="55" t="s">
        <v>769</v>
      </c>
      <c r="BH1" s="55" t="s">
        <v>770</v>
      </c>
      <c r="BI1" s="54" t="s">
        <v>760</v>
      </c>
      <c r="BJ1" s="54" t="s">
        <v>761</v>
      </c>
      <c r="BK1" s="55" t="s">
        <v>762</v>
      </c>
      <c r="BL1" s="55" t="s">
        <v>763</v>
      </c>
      <c r="BM1" s="54" t="s">
        <v>764</v>
      </c>
      <c r="BN1" s="54" t="s">
        <v>765</v>
      </c>
      <c r="BO1" s="55" t="s">
        <v>766</v>
      </c>
      <c r="BP1" s="55" t="s">
        <v>767</v>
      </c>
      <c r="BQ1" s="55" t="s">
        <v>768</v>
      </c>
      <c r="BR1" s="55" t="s">
        <v>769</v>
      </c>
      <c r="BS1" s="55" t="s">
        <v>770</v>
      </c>
      <c r="BT1" s="54" t="s">
        <v>760</v>
      </c>
      <c r="BU1" s="54" t="s">
        <v>761</v>
      </c>
      <c r="BV1" s="55" t="s">
        <v>762</v>
      </c>
      <c r="BW1" s="55" t="s">
        <v>763</v>
      </c>
      <c r="BX1" s="54" t="s">
        <v>764</v>
      </c>
      <c r="BY1" s="54" t="s">
        <v>765</v>
      </c>
      <c r="BZ1" s="55" t="s">
        <v>766</v>
      </c>
      <c r="CA1" s="55" t="s">
        <v>767</v>
      </c>
      <c r="CB1" s="55" t="s">
        <v>768</v>
      </c>
      <c r="CC1" s="55" t="s">
        <v>769</v>
      </c>
      <c r="CD1" s="55" t="s">
        <v>770</v>
      </c>
    </row>
    <row r="2" hidden="1" spans="1:82">
      <c r="A2" s="46" t="s">
        <v>771</v>
      </c>
      <c r="B2" s="46" t="s">
        <v>772</v>
      </c>
      <c r="C2" s="38" t="s">
        <v>773</v>
      </c>
      <c r="D2" s="46" t="s">
        <v>774</v>
      </c>
      <c r="E2" s="38" t="s">
        <v>114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</row>
    <row r="3" hidden="1" spans="1:82">
      <c r="A3" s="47" t="s">
        <v>775</v>
      </c>
      <c r="B3" s="47" t="s">
        <v>776</v>
      </c>
      <c r="C3" s="38" t="s">
        <v>773</v>
      </c>
      <c r="D3" s="47" t="s">
        <v>777</v>
      </c>
      <c r="E3" s="38" t="s">
        <v>114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</row>
    <row r="4" hidden="1" spans="1:82">
      <c r="A4" s="47"/>
      <c r="B4" s="47" t="s">
        <v>778</v>
      </c>
      <c r="C4" s="38" t="s">
        <v>779</v>
      </c>
      <c r="D4" s="47" t="s">
        <v>777</v>
      </c>
      <c r="E4" s="38" t="s">
        <v>114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</row>
    <row r="5" hidden="1" spans="1:82">
      <c r="A5" s="48" t="s">
        <v>780</v>
      </c>
      <c r="B5" s="48" t="s">
        <v>781</v>
      </c>
      <c r="C5" s="38" t="s">
        <v>773</v>
      </c>
      <c r="D5" s="48" t="s">
        <v>782</v>
      </c>
      <c r="E5" s="38" t="s">
        <v>114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</row>
    <row r="6" hidden="1" spans="1:82">
      <c r="A6" s="48"/>
      <c r="B6" s="48" t="s">
        <v>783</v>
      </c>
      <c r="C6" s="38" t="s">
        <v>779</v>
      </c>
      <c r="D6" s="48" t="s">
        <v>782</v>
      </c>
      <c r="E6" s="38" t="s">
        <v>114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</row>
    <row r="7" hidden="1" spans="1:82">
      <c r="A7" s="48" t="s">
        <v>784</v>
      </c>
      <c r="B7" s="48" t="s">
        <v>781</v>
      </c>
      <c r="C7" s="38" t="s">
        <v>773</v>
      </c>
      <c r="D7" s="48" t="s">
        <v>785</v>
      </c>
      <c r="E7" s="38" t="s">
        <v>114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</row>
    <row r="8" hidden="1" spans="1:82">
      <c r="A8" s="48"/>
      <c r="B8" s="48" t="s">
        <v>783</v>
      </c>
      <c r="C8" s="38" t="s">
        <v>779</v>
      </c>
      <c r="D8" s="48" t="s">
        <v>785</v>
      </c>
      <c r="E8" s="38" t="s">
        <v>114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</row>
    <row r="9" hidden="1" spans="1:82">
      <c r="A9" s="49" t="s">
        <v>786</v>
      </c>
      <c r="B9" s="49" t="s">
        <v>787</v>
      </c>
      <c r="C9" s="50" t="s">
        <v>773</v>
      </c>
      <c r="D9" s="49" t="s">
        <v>788</v>
      </c>
      <c r="E9" s="50" t="s">
        <v>114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</row>
    <row r="10" hidden="1" spans="1:82">
      <c r="A10" s="49"/>
      <c r="B10" s="49" t="s">
        <v>787</v>
      </c>
      <c r="C10" s="50" t="s">
        <v>779</v>
      </c>
      <c r="D10" s="49" t="s">
        <v>788</v>
      </c>
      <c r="E10" s="50" t="s">
        <v>114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</row>
    <row r="11" hidden="1" spans="1:82">
      <c r="A11" s="48" t="s">
        <v>789</v>
      </c>
      <c r="B11" s="48" t="s">
        <v>783</v>
      </c>
      <c r="C11" s="38" t="s">
        <v>779</v>
      </c>
      <c r="D11" s="48" t="s">
        <v>790</v>
      </c>
      <c r="E11" s="38" t="s">
        <v>114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</row>
    <row r="12" hidden="1" spans="1:82">
      <c r="A12" s="48" t="s">
        <v>791</v>
      </c>
      <c r="B12" s="48" t="s">
        <v>781</v>
      </c>
      <c r="C12" s="38" t="s">
        <v>773</v>
      </c>
      <c r="D12" s="48" t="s">
        <v>792</v>
      </c>
      <c r="E12" s="38" t="s">
        <v>114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</row>
    <row r="13" hidden="1" spans="1:82">
      <c r="A13" s="48"/>
      <c r="B13" s="48" t="s">
        <v>783</v>
      </c>
      <c r="C13" s="38" t="s">
        <v>779</v>
      </c>
      <c r="D13" s="48" t="s">
        <v>792</v>
      </c>
      <c r="E13" s="38" t="s">
        <v>114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</row>
    <row r="14" hidden="1" spans="1:82">
      <c r="A14" s="48" t="s">
        <v>793</v>
      </c>
      <c r="B14" s="48" t="s">
        <v>781</v>
      </c>
      <c r="C14" s="38" t="s">
        <v>773</v>
      </c>
      <c r="D14" s="48" t="s">
        <v>794</v>
      </c>
      <c r="E14" s="38" t="s">
        <v>114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</row>
    <row r="15" hidden="1" spans="1:82">
      <c r="A15" s="48" t="s">
        <v>795</v>
      </c>
      <c r="B15" s="47" t="s">
        <v>776</v>
      </c>
      <c r="C15" s="38" t="s">
        <v>773</v>
      </c>
      <c r="D15" s="48" t="s">
        <v>796</v>
      </c>
      <c r="E15" s="38" t="s">
        <v>114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</row>
    <row r="16" hidden="1" spans="1:82">
      <c r="A16" s="48"/>
      <c r="B16" s="47" t="s">
        <v>778</v>
      </c>
      <c r="C16" s="38" t="s">
        <v>779</v>
      </c>
      <c r="D16" s="48" t="s">
        <v>796</v>
      </c>
      <c r="E16" s="38" t="s">
        <v>114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</row>
    <row r="17" hidden="1" spans="1:82">
      <c r="A17" s="48"/>
      <c r="B17" s="48" t="s">
        <v>797</v>
      </c>
      <c r="C17" s="38" t="s">
        <v>779</v>
      </c>
      <c r="D17" s="48" t="s">
        <v>796</v>
      </c>
      <c r="E17" s="38" t="s">
        <v>114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</row>
    <row r="18" hidden="1" spans="1:82">
      <c r="A18" s="48" t="s">
        <v>798</v>
      </c>
      <c r="B18" s="47" t="s">
        <v>776</v>
      </c>
      <c r="C18" s="38" t="s">
        <v>773</v>
      </c>
      <c r="D18" s="38" t="s">
        <v>799</v>
      </c>
      <c r="E18" s="38" t="s">
        <v>114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</row>
    <row r="19" hidden="1" spans="1:82">
      <c r="A19" s="48"/>
      <c r="B19" s="47" t="s">
        <v>778</v>
      </c>
      <c r="C19" s="38" t="s">
        <v>779</v>
      </c>
      <c r="D19" s="38" t="s">
        <v>799</v>
      </c>
      <c r="E19" s="38" t="s">
        <v>114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</row>
    <row r="20" hidden="1" spans="1:82">
      <c r="A20" s="48"/>
      <c r="B20" s="48" t="s">
        <v>797</v>
      </c>
      <c r="C20" s="38" t="s">
        <v>779</v>
      </c>
      <c r="D20" s="38" t="s">
        <v>799</v>
      </c>
      <c r="E20" s="38" t="s">
        <v>114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</row>
    <row r="21" hidden="1" spans="1:82">
      <c r="A21" s="48" t="s">
        <v>800</v>
      </c>
      <c r="B21" s="48" t="s">
        <v>781</v>
      </c>
      <c r="C21" s="38" t="s">
        <v>773</v>
      </c>
      <c r="D21" s="48" t="s">
        <v>801</v>
      </c>
      <c r="E21" s="38" t="s">
        <v>114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</row>
    <row r="22" hidden="1" spans="1:82">
      <c r="A22" s="48"/>
      <c r="B22" s="48" t="s">
        <v>802</v>
      </c>
      <c r="C22" s="38" t="s">
        <v>773</v>
      </c>
      <c r="D22" s="48" t="s">
        <v>801</v>
      </c>
      <c r="E22" s="38" t="s">
        <v>114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</row>
    <row r="23" hidden="1" spans="1:82">
      <c r="A23" s="48"/>
      <c r="B23" s="48" t="s">
        <v>803</v>
      </c>
      <c r="C23" s="38" t="s">
        <v>773</v>
      </c>
      <c r="D23" s="48" t="s">
        <v>801</v>
      </c>
      <c r="E23" s="38" t="s">
        <v>114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</row>
    <row r="24" hidden="1" spans="1:82">
      <c r="A24" s="48"/>
      <c r="B24" s="48" t="s">
        <v>783</v>
      </c>
      <c r="C24" s="38" t="s">
        <v>779</v>
      </c>
      <c r="D24" s="48" t="s">
        <v>801</v>
      </c>
      <c r="E24" s="38" t="s">
        <v>114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 ht="12" hidden="1" customHeight="1" spans="1:82">
      <c r="A25" s="48" t="s">
        <v>804</v>
      </c>
      <c r="B25" s="48" t="s">
        <v>781</v>
      </c>
      <c r="C25" s="38" t="s">
        <v>773</v>
      </c>
      <c r="D25" s="48" t="s">
        <v>805</v>
      </c>
      <c r="E25" s="38" t="s">
        <v>114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</row>
    <row r="26" hidden="1" spans="1:82">
      <c r="A26" s="48"/>
      <c r="B26" s="48" t="s">
        <v>806</v>
      </c>
      <c r="C26" s="38" t="s">
        <v>779</v>
      </c>
      <c r="D26" s="48" t="s">
        <v>805</v>
      </c>
      <c r="E26" s="38" t="s">
        <v>114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</row>
    <row r="27" hidden="1" spans="1:82">
      <c r="A27" s="48"/>
      <c r="B27" s="48" t="s">
        <v>797</v>
      </c>
      <c r="C27" s="38" t="s">
        <v>779</v>
      </c>
      <c r="D27" s="48" t="s">
        <v>805</v>
      </c>
      <c r="E27" s="38" t="s">
        <v>114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</row>
    <row r="28" hidden="1" spans="1:82">
      <c r="A28" s="48" t="s">
        <v>807</v>
      </c>
      <c r="B28" s="48" t="s">
        <v>783</v>
      </c>
      <c r="C28" s="38" t="s">
        <v>779</v>
      </c>
      <c r="D28" s="48" t="s">
        <v>808</v>
      </c>
      <c r="E28" s="38" t="s">
        <v>114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</row>
    <row r="29" hidden="1" spans="1:82">
      <c r="A29" s="48" t="s">
        <v>809</v>
      </c>
      <c r="B29" s="48" t="s">
        <v>783</v>
      </c>
      <c r="C29" s="38" t="s">
        <v>779</v>
      </c>
      <c r="D29" s="48" t="s">
        <v>810</v>
      </c>
      <c r="E29" s="38" t="s">
        <v>114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</row>
    <row r="30" hidden="1" spans="1:82">
      <c r="A30" s="47" t="s">
        <v>811</v>
      </c>
      <c r="B30" s="47" t="s">
        <v>781</v>
      </c>
      <c r="C30" s="51" t="s">
        <v>773</v>
      </c>
      <c r="D30" s="47" t="s">
        <v>812</v>
      </c>
      <c r="E30" s="51" t="s">
        <v>114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</row>
    <row r="31" hidden="1" spans="1:82">
      <c r="A31" s="47"/>
      <c r="B31" s="47" t="s">
        <v>783</v>
      </c>
      <c r="C31" s="51" t="s">
        <v>779</v>
      </c>
      <c r="D31" s="47" t="s">
        <v>812</v>
      </c>
      <c r="E31" s="51" t="s">
        <v>114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</row>
    <row r="32" hidden="1" spans="1:82">
      <c r="A32" s="48" t="s">
        <v>813</v>
      </c>
      <c r="B32" s="48" t="s">
        <v>781</v>
      </c>
      <c r="C32" s="38" t="s">
        <v>773</v>
      </c>
      <c r="D32" s="48" t="s">
        <v>814</v>
      </c>
      <c r="E32" s="38" t="s">
        <v>114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</row>
    <row r="33" hidden="1" spans="1:82">
      <c r="A33" s="48"/>
      <c r="B33" s="48" t="s">
        <v>783</v>
      </c>
      <c r="C33" s="38" t="s">
        <v>779</v>
      </c>
      <c r="D33" s="48" t="s">
        <v>814</v>
      </c>
      <c r="E33" s="38" t="s">
        <v>114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</row>
    <row r="34" hidden="1" spans="1:82">
      <c r="A34" s="48" t="s">
        <v>815</v>
      </c>
      <c r="B34" s="48" t="s">
        <v>783</v>
      </c>
      <c r="C34" s="38" t="s">
        <v>779</v>
      </c>
      <c r="D34" s="48" t="s">
        <v>816</v>
      </c>
      <c r="E34" s="38" t="s">
        <v>114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</row>
    <row r="35" hidden="1" spans="1:82">
      <c r="A35" s="48" t="s">
        <v>817</v>
      </c>
      <c r="B35" s="48" t="s">
        <v>781</v>
      </c>
      <c r="C35" s="38" t="s">
        <v>773</v>
      </c>
      <c r="D35" s="48" t="s">
        <v>818</v>
      </c>
      <c r="E35" s="38" t="s">
        <v>114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</row>
    <row r="36" hidden="1" spans="1:82">
      <c r="A36" s="52" t="s">
        <v>817</v>
      </c>
      <c r="B36" s="52" t="s">
        <v>817</v>
      </c>
      <c r="C36" s="53" t="s">
        <v>779</v>
      </c>
      <c r="D36" s="52" t="s">
        <v>818</v>
      </c>
      <c r="E36" s="53" t="s">
        <v>114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</row>
    <row r="37" hidden="1" spans="1:82">
      <c r="A37" s="48" t="s">
        <v>819</v>
      </c>
      <c r="B37" s="48" t="s">
        <v>783</v>
      </c>
      <c r="C37" s="38" t="s">
        <v>779</v>
      </c>
      <c r="D37" s="48" t="s">
        <v>820</v>
      </c>
      <c r="E37" s="38" t="s">
        <v>114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</row>
    <row r="38" spans="1:82">
      <c r="A38" s="48" t="s">
        <v>665</v>
      </c>
      <c r="B38" s="48" t="s">
        <v>821</v>
      </c>
      <c r="C38" s="38" t="s">
        <v>773</v>
      </c>
      <c r="D38" s="48" t="s">
        <v>822</v>
      </c>
      <c r="E38" s="38" t="s">
        <v>134</v>
      </c>
      <c r="F38" s="56">
        <v>29.92</v>
      </c>
      <c r="G38" s="56">
        <v>114</v>
      </c>
      <c r="H38" s="56">
        <v>279.22</v>
      </c>
      <c r="I38" s="56">
        <v>290.51</v>
      </c>
      <c r="J38" s="56">
        <v>18</v>
      </c>
      <c r="K38" s="56">
        <v>33</v>
      </c>
      <c r="L38" s="59" t="s">
        <v>823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</row>
    <row r="39" spans="1:82">
      <c r="A39" s="38"/>
      <c r="B39" s="48" t="s">
        <v>824</v>
      </c>
      <c r="C39" s="38" t="s">
        <v>773</v>
      </c>
      <c r="D39" s="48" t="s">
        <v>822</v>
      </c>
      <c r="E39" s="38" t="s">
        <v>134</v>
      </c>
      <c r="F39" s="56">
        <v>21.19</v>
      </c>
      <c r="G39" s="56">
        <v>121</v>
      </c>
      <c r="H39" s="56">
        <v>279.25</v>
      </c>
      <c r="I39" s="56">
        <v>311.57</v>
      </c>
      <c r="J39" s="56">
        <v>15</v>
      </c>
      <c r="K39" s="56">
        <v>29</v>
      </c>
      <c r="L39" s="59" t="s">
        <v>823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</row>
    <row r="40" spans="1:82">
      <c r="A40" s="38"/>
      <c r="B40" s="48" t="s">
        <v>825</v>
      </c>
      <c r="C40" s="38" t="s">
        <v>773</v>
      </c>
      <c r="D40" s="48" t="s">
        <v>822</v>
      </c>
      <c r="E40" s="38" t="s">
        <v>134</v>
      </c>
      <c r="F40" s="56">
        <v>20.44</v>
      </c>
      <c r="G40" s="56">
        <v>118</v>
      </c>
      <c r="H40" s="56">
        <v>279.46</v>
      </c>
      <c r="I40" s="56">
        <v>289.69</v>
      </c>
      <c r="J40" s="56">
        <v>11</v>
      </c>
      <c r="K40" s="56">
        <v>21</v>
      </c>
      <c r="L40" s="59" t="s">
        <v>823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</row>
    <row r="41" spans="1:82">
      <c r="A41" s="38"/>
      <c r="B41" s="48" t="s">
        <v>826</v>
      </c>
      <c r="C41" s="38" t="s">
        <v>773</v>
      </c>
      <c r="D41" s="48" t="s">
        <v>822</v>
      </c>
      <c r="E41" s="38" t="s">
        <v>134</v>
      </c>
      <c r="F41" s="56">
        <v>12.71</v>
      </c>
      <c r="G41" s="56">
        <v>36.3</v>
      </c>
      <c r="H41" s="56">
        <v>276.63</v>
      </c>
      <c r="I41" s="56">
        <v>281.97</v>
      </c>
      <c r="J41" s="56">
        <v>13</v>
      </c>
      <c r="K41" s="56">
        <v>19</v>
      </c>
      <c r="L41" s="59" t="s">
        <v>823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</row>
    <row r="42" spans="1:82">
      <c r="A42" s="38"/>
      <c r="B42" s="48" t="s">
        <v>827</v>
      </c>
      <c r="C42" s="38" t="s">
        <v>779</v>
      </c>
      <c r="D42" s="48" t="s">
        <v>822</v>
      </c>
      <c r="E42" s="38" t="s">
        <v>134</v>
      </c>
      <c r="F42" s="56">
        <v>10.47</v>
      </c>
      <c r="G42" s="56">
        <v>28.1</v>
      </c>
      <c r="H42" s="56">
        <v>267.41</v>
      </c>
      <c r="I42" s="56">
        <v>271.9</v>
      </c>
      <c r="J42" s="56">
        <v>8</v>
      </c>
      <c r="K42" s="56">
        <v>14</v>
      </c>
      <c r="L42" s="59" t="s">
        <v>823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</row>
    <row r="43" ht="13" customHeight="1" spans="1:82">
      <c r="A43" s="38" t="s">
        <v>828</v>
      </c>
      <c r="B43" s="38" t="s">
        <v>829</v>
      </c>
      <c r="C43" s="38" t="s">
        <v>773</v>
      </c>
      <c r="D43" s="38" t="s">
        <v>830</v>
      </c>
      <c r="E43" s="38" t="s">
        <v>134</v>
      </c>
      <c r="F43" s="57">
        <v>0.42</v>
      </c>
      <c r="G43" s="58">
        <v>2.3</v>
      </c>
      <c r="H43" s="56">
        <v>127.23</v>
      </c>
      <c r="I43" s="56">
        <v>129.63</v>
      </c>
      <c r="J43" s="60">
        <v>8</v>
      </c>
      <c r="K43" s="60">
        <v>14</v>
      </c>
      <c r="L43" s="59" t="s">
        <v>823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</row>
    <row r="44" spans="1:82">
      <c r="A44" s="38"/>
      <c r="B44" s="38" t="s">
        <v>831</v>
      </c>
      <c r="C44" s="38" t="s">
        <v>773</v>
      </c>
      <c r="D44" s="38" t="s">
        <v>830</v>
      </c>
      <c r="E44" s="38" t="s">
        <v>134</v>
      </c>
      <c r="F44" s="57">
        <v>0</v>
      </c>
      <c r="G44" s="58">
        <v>0</v>
      </c>
      <c r="H44" s="56">
        <v>0</v>
      </c>
      <c r="I44" s="56">
        <v>0</v>
      </c>
      <c r="J44" s="60">
        <v>6</v>
      </c>
      <c r="K44" s="60">
        <v>25</v>
      </c>
      <c r="L44" s="59" t="s">
        <v>823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</row>
    <row r="45" spans="1:82">
      <c r="A45" s="38"/>
      <c r="B45" s="38" t="s">
        <v>832</v>
      </c>
      <c r="C45" s="38" t="s">
        <v>773</v>
      </c>
      <c r="D45" s="38" t="s">
        <v>830</v>
      </c>
      <c r="E45" s="38" t="s">
        <v>134</v>
      </c>
      <c r="F45" s="57">
        <v>12.99</v>
      </c>
      <c r="G45" s="57">
        <v>36.3</v>
      </c>
      <c r="H45" s="56">
        <v>144.44</v>
      </c>
      <c r="I45" s="56">
        <v>160.13</v>
      </c>
      <c r="J45" s="60">
        <v>13</v>
      </c>
      <c r="K45" s="60">
        <v>29</v>
      </c>
      <c r="L45" s="59" t="s">
        <v>823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</row>
    <row r="46" spans="1:82">
      <c r="A46" s="38"/>
      <c r="B46" s="38" t="s">
        <v>827</v>
      </c>
      <c r="C46" s="38" t="s">
        <v>779</v>
      </c>
      <c r="D46" s="38" t="s">
        <v>830</v>
      </c>
      <c r="E46" s="38" t="s">
        <v>134</v>
      </c>
      <c r="F46" s="57">
        <v>0.02</v>
      </c>
      <c r="G46" s="57">
        <v>1</v>
      </c>
      <c r="H46" s="56">
        <v>0</v>
      </c>
      <c r="I46" s="56">
        <v>0</v>
      </c>
      <c r="J46" s="60">
        <v>24</v>
      </c>
      <c r="K46" s="60">
        <v>29</v>
      </c>
      <c r="L46" s="59" t="s">
        <v>823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</row>
    <row r="47" spans="1:82">
      <c r="A47" s="38" t="s">
        <v>833</v>
      </c>
      <c r="B47" s="38" t="s">
        <v>832</v>
      </c>
      <c r="C47" s="38" t="s">
        <v>773</v>
      </c>
      <c r="D47" s="38"/>
      <c r="E47" s="38" t="s">
        <v>134</v>
      </c>
      <c r="F47" s="59" t="s">
        <v>708</v>
      </c>
      <c r="G47" s="59" t="s">
        <v>708</v>
      </c>
      <c r="H47" s="59" t="s">
        <v>708</v>
      </c>
      <c r="I47" s="59" t="s">
        <v>708</v>
      </c>
      <c r="J47" s="59" t="s">
        <v>708</v>
      </c>
      <c r="K47" s="59" t="s">
        <v>708</v>
      </c>
      <c r="L47" s="59" t="s">
        <v>708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</row>
    <row r="48" spans="1:82">
      <c r="A48" s="38"/>
      <c r="B48" s="38" t="s">
        <v>827</v>
      </c>
      <c r="C48" s="38" t="s">
        <v>779</v>
      </c>
      <c r="D48" s="38"/>
      <c r="E48" s="38" t="s">
        <v>134</v>
      </c>
      <c r="F48" s="59" t="s">
        <v>708</v>
      </c>
      <c r="G48" s="59" t="s">
        <v>708</v>
      </c>
      <c r="H48" s="59" t="s">
        <v>708</v>
      </c>
      <c r="I48" s="59" t="s">
        <v>708</v>
      </c>
      <c r="J48" s="59" t="s">
        <v>708</v>
      </c>
      <c r="K48" s="59" t="s">
        <v>708</v>
      </c>
      <c r="L48" s="59" t="s">
        <v>708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</row>
    <row r="49" spans="1:82">
      <c r="A49" s="38" t="s">
        <v>834</v>
      </c>
      <c r="B49" s="38" t="s">
        <v>832</v>
      </c>
      <c r="C49" s="38" t="s">
        <v>773</v>
      </c>
      <c r="D49" s="38" t="s">
        <v>835</v>
      </c>
      <c r="E49" s="38" t="s">
        <v>134</v>
      </c>
      <c r="F49" s="56">
        <v>156</v>
      </c>
      <c r="G49" s="56">
        <v>17.33</v>
      </c>
      <c r="H49" s="56">
        <v>128.58</v>
      </c>
      <c r="I49" s="56">
        <v>156.71</v>
      </c>
      <c r="J49" s="56">
        <v>11</v>
      </c>
      <c r="K49" s="56">
        <v>18</v>
      </c>
      <c r="L49" s="59" t="s">
        <v>836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</row>
    <row r="50" spans="1:82">
      <c r="A50" s="38"/>
      <c r="B50" s="38" t="s">
        <v>827</v>
      </c>
      <c r="C50" s="38" t="s">
        <v>779</v>
      </c>
      <c r="D50" s="38" t="s">
        <v>835</v>
      </c>
      <c r="E50" s="38" t="s">
        <v>134</v>
      </c>
      <c r="F50" s="56">
        <v>3.1</v>
      </c>
      <c r="G50" s="56">
        <v>0.01</v>
      </c>
      <c r="H50" s="56">
        <v>77.51</v>
      </c>
      <c r="I50" s="56">
        <v>78.44</v>
      </c>
      <c r="J50" s="56">
        <v>5</v>
      </c>
      <c r="K50" s="56">
        <v>9</v>
      </c>
      <c r="L50" s="59" t="s">
        <v>836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</row>
    <row r="51" spans="1:82">
      <c r="A51" s="38" t="s">
        <v>837</v>
      </c>
      <c r="B51" s="38" t="s">
        <v>838</v>
      </c>
      <c r="C51" s="38" t="s">
        <v>773</v>
      </c>
      <c r="D51" s="38" t="s">
        <v>839</v>
      </c>
      <c r="E51" s="38" t="s">
        <v>134</v>
      </c>
      <c r="F51" s="56">
        <v>46.05</v>
      </c>
      <c r="G51" s="56">
        <v>207</v>
      </c>
      <c r="H51" s="56">
        <v>145.48</v>
      </c>
      <c r="I51" s="56">
        <v>180</v>
      </c>
      <c r="J51" s="56">
        <v>18</v>
      </c>
      <c r="K51" s="56">
        <v>27</v>
      </c>
      <c r="L51" s="59" t="s">
        <v>836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</row>
    <row r="52" spans="1:82">
      <c r="A52" s="38"/>
      <c r="B52" s="38" t="s">
        <v>840</v>
      </c>
      <c r="C52" s="38"/>
      <c r="D52" s="38" t="s">
        <v>839</v>
      </c>
      <c r="E52" s="38" t="s">
        <v>134</v>
      </c>
      <c r="F52" s="56">
        <v>10.83</v>
      </c>
      <c r="G52" s="56">
        <v>39</v>
      </c>
      <c r="H52" s="56">
        <v>163.92</v>
      </c>
      <c r="I52" s="56">
        <v>169</v>
      </c>
      <c r="J52" s="56">
        <v>31</v>
      </c>
      <c r="K52" s="56">
        <v>36</v>
      </c>
      <c r="L52" s="59" t="s">
        <v>836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</row>
    <row r="53" spans="1:82">
      <c r="A53" s="38"/>
      <c r="B53" s="38" t="s">
        <v>841</v>
      </c>
      <c r="C53" s="38" t="s">
        <v>773</v>
      </c>
      <c r="D53" s="38" t="s">
        <v>839</v>
      </c>
      <c r="E53" s="38" t="s">
        <v>134</v>
      </c>
      <c r="F53" s="56">
        <v>28.89</v>
      </c>
      <c r="G53" s="56">
        <v>79.3</v>
      </c>
      <c r="H53" s="56">
        <v>218.04</v>
      </c>
      <c r="I53" s="56">
        <v>231</v>
      </c>
      <c r="J53" s="56">
        <v>44</v>
      </c>
      <c r="K53" s="56">
        <v>46</v>
      </c>
      <c r="L53" s="59" t="s">
        <v>836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</row>
    <row r="54" spans="1:82">
      <c r="A54" s="38"/>
      <c r="B54" s="38" t="s">
        <v>842</v>
      </c>
      <c r="C54" s="38" t="s">
        <v>773</v>
      </c>
      <c r="D54" s="38" t="s">
        <v>839</v>
      </c>
      <c r="E54" s="38" t="s">
        <v>134</v>
      </c>
      <c r="F54" s="56">
        <v>30.07</v>
      </c>
      <c r="G54" s="56">
        <v>91.6</v>
      </c>
      <c r="H54" s="56">
        <v>259.06</v>
      </c>
      <c r="I54" s="56">
        <v>287</v>
      </c>
      <c r="J54" s="56">
        <v>34</v>
      </c>
      <c r="K54" s="56">
        <v>43</v>
      </c>
      <c r="L54" s="59" t="s">
        <v>836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</row>
    <row r="55" spans="1:82">
      <c r="A55" s="38"/>
      <c r="B55" s="38" t="s">
        <v>843</v>
      </c>
      <c r="C55" s="38" t="s">
        <v>773</v>
      </c>
      <c r="D55" s="38" t="s">
        <v>839</v>
      </c>
      <c r="E55" s="38" t="s">
        <v>134</v>
      </c>
      <c r="F55" s="56">
        <v>18.17</v>
      </c>
      <c r="G55" s="56">
        <v>65.3</v>
      </c>
      <c r="H55" s="56">
        <v>249.77</v>
      </c>
      <c r="I55" s="56">
        <v>271</v>
      </c>
      <c r="J55" s="56">
        <v>24</v>
      </c>
      <c r="K55" s="56">
        <v>44</v>
      </c>
      <c r="L55" s="59" t="s">
        <v>836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</row>
    <row r="56" spans="1:82">
      <c r="A56" s="38"/>
      <c r="B56" s="38" t="s">
        <v>827</v>
      </c>
      <c r="C56" s="38" t="s">
        <v>779</v>
      </c>
      <c r="D56" s="38" t="s">
        <v>839</v>
      </c>
      <c r="E56" s="38" t="s">
        <v>134</v>
      </c>
      <c r="F56" s="56">
        <v>0</v>
      </c>
      <c r="G56" s="56">
        <v>0</v>
      </c>
      <c r="H56" s="56">
        <v>0</v>
      </c>
      <c r="I56" s="56">
        <v>0</v>
      </c>
      <c r="J56" s="56">
        <v>27</v>
      </c>
      <c r="K56" s="56">
        <v>32</v>
      </c>
      <c r="L56" s="59" t="s">
        <v>836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</row>
    <row r="57" spans="1:82">
      <c r="A57" s="38" t="s">
        <v>844</v>
      </c>
      <c r="B57" s="38" t="s">
        <v>831</v>
      </c>
      <c r="C57" s="38" t="s">
        <v>773</v>
      </c>
      <c r="D57" s="38" t="s">
        <v>845</v>
      </c>
      <c r="E57" s="38" t="s">
        <v>134</v>
      </c>
      <c r="F57" s="56">
        <v>37.1</v>
      </c>
      <c r="G57" s="56">
        <v>83.3</v>
      </c>
      <c r="H57" s="56">
        <v>415.7</v>
      </c>
      <c r="I57" s="56">
        <v>432</v>
      </c>
      <c r="J57" s="56">
        <v>27</v>
      </c>
      <c r="K57" s="56">
        <v>30</v>
      </c>
      <c r="L57" s="59" t="s">
        <v>823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</row>
    <row r="58" spans="1:82">
      <c r="A58" s="38"/>
      <c r="B58" s="38" t="s">
        <v>846</v>
      </c>
      <c r="C58" s="38" t="s">
        <v>773</v>
      </c>
      <c r="D58" s="38" t="s">
        <v>845</v>
      </c>
      <c r="E58" s="38" t="s">
        <v>134</v>
      </c>
      <c r="F58" s="56">
        <v>21.35</v>
      </c>
      <c r="G58" s="56">
        <v>25</v>
      </c>
      <c r="H58" s="56">
        <v>420.1</v>
      </c>
      <c r="I58" s="56">
        <v>428</v>
      </c>
      <c r="J58" s="56">
        <v>59.4</v>
      </c>
      <c r="K58" s="56">
        <v>73</v>
      </c>
      <c r="L58" s="59" t="s">
        <v>823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</row>
    <row r="59" spans="1:82">
      <c r="A59" s="38"/>
      <c r="B59" s="38" t="s">
        <v>827</v>
      </c>
      <c r="C59" s="38" t="s">
        <v>779</v>
      </c>
      <c r="D59" s="38" t="s">
        <v>845</v>
      </c>
      <c r="E59" s="38" t="s">
        <v>134</v>
      </c>
      <c r="F59" s="56">
        <v>2.68</v>
      </c>
      <c r="G59" s="56">
        <v>3.6</v>
      </c>
      <c r="H59" s="56">
        <v>406.9</v>
      </c>
      <c r="I59" s="56">
        <v>406.9</v>
      </c>
      <c r="J59" s="56">
        <v>8</v>
      </c>
      <c r="K59" s="56">
        <v>11.6</v>
      </c>
      <c r="L59" s="59" t="s">
        <v>823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</row>
    <row r="60" spans="1:82">
      <c r="A60" s="38" t="s">
        <v>847</v>
      </c>
      <c r="B60" s="38" t="s">
        <v>842</v>
      </c>
      <c r="C60" s="38" t="s">
        <v>773</v>
      </c>
      <c r="D60" s="38" t="s">
        <v>848</v>
      </c>
      <c r="E60" s="38" t="s">
        <v>134</v>
      </c>
      <c r="F60" s="56">
        <v>18.76</v>
      </c>
      <c r="G60" s="56">
        <v>48.6</v>
      </c>
      <c r="H60" s="56">
        <v>111.91</v>
      </c>
      <c r="I60" s="56">
        <v>120</v>
      </c>
      <c r="J60" s="56">
        <v>28.6</v>
      </c>
      <c r="K60" s="56">
        <v>36</v>
      </c>
      <c r="L60" s="59" t="s">
        <v>823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</row>
    <row r="61" spans="1:82">
      <c r="A61" s="38"/>
      <c r="B61" s="38" t="s">
        <v>849</v>
      </c>
      <c r="C61" s="38" t="s">
        <v>773</v>
      </c>
      <c r="D61" s="38" t="s">
        <v>848</v>
      </c>
      <c r="E61" s="38" t="s">
        <v>134</v>
      </c>
      <c r="F61" s="56">
        <v>0</v>
      </c>
      <c r="G61" s="56">
        <v>0</v>
      </c>
      <c r="H61" s="56">
        <v>0</v>
      </c>
      <c r="I61" s="56">
        <v>0</v>
      </c>
      <c r="J61" s="56">
        <v>10.8</v>
      </c>
      <c r="K61" s="56">
        <v>13</v>
      </c>
      <c r="L61" s="59" t="s">
        <v>823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</row>
    <row r="62" spans="1:82">
      <c r="A62" s="38"/>
      <c r="B62" s="38" t="s">
        <v>827</v>
      </c>
      <c r="C62" s="38" t="s">
        <v>779</v>
      </c>
      <c r="D62" s="38" t="s">
        <v>848</v>
      </c>
      <c r="E62" s="38" t="s">
        <v>134</v>
      </c>
      <c r="F62" s="56">
        <v>0</v>
      </c>
      <c r="G62" s="56">
        <v>0</v>
      </c>
      <c r="H62" s="56">
        <v>0</v>
      </c>
      <c r="I62" s="56">
        <v>0</v>
      </c>
      <c r="J62" s="56">
        <v>14.2</v>
      </c>
      <c r="K62" s="56">
        <v>20</v>
      </c>
      <c r="L62" s="59" t="s">
        <v>823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</row>
    <row r="63" spans="1:82">
      <c r="A63" s="38" t="s">
        <v>718</v>
      </c>
      <c r="B63" s="38" t="s">
        <v>832</v>
      </c>
      <c r="C63" s="38" t="s">
        <v>773</v>
      </c>
      <c r="D63" s="38"/>
      <c r="E63" s="38" t="s">
        <v>134</v>
      </c>
      <c r="F63" s="59" t="s">
        <v>708</v>
      </c>
      <c r="G63" s="59" t="s">
        <v>708</v>
      </c>
      <c r="H63" s="59" t="s">
        <v>708</v>
      </c>
      <c r="I63" s="59" t="s">
        <v>708</v>
      </c>
      <c r="J63" s="59" t="s">
        <v>708</v>
      </c>
      <c r="K63" s="59" t="s">
        <v>708</v>
      </c>
      <c r="L63" s="59" t="s">
        <v>708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</row>
    <row r="64" spans="1:82">
      <c r="A64" s="38"/>
      <c r="B64" s="38" t="s">
        <v>827</v>
      </c>
      <c r="C64" s="38" t="s">
        <v>779</v>
      </c>
      <c r="D64" s="38"/>
      <c r="E64" s="38" t="s">
        <v>134</v>
      </c>
      <c r="F64" s="59" t="s">
        <v>708</v>
      </c>
      <c r="G64" s="59" t="s">
        <v>708</v>
      </c>
      <c r="H64" s="59" t="s">
        <v>708</v>
      </c>
      <c r="I64" s="59" t="s">
        <v>708</v>
      </c>
      <c r="J64" s="59" t="s">
        <v>708</v>
      </c>
      <c r="K64" s="59" t="s">
        <v>708</v>
      </c>
      <c r="L64" s="59" t="s">
        <v>708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</row>
    <row r="65" spans="1:82">
      <c r="A65" s="38" t="s">
        <v>850</v>
      </c>
      <c r="B65" s="38" t="s">
        <v>838</v>
      </c>
      <c r="C65" s="38" t="s">
        <v>773</v>
      </c>
      <c r="D65" s="38" t="s">
        <v>851</v>
      </c>
      <c r="E65" s="38" t="s">
        <v>134</v>
      </c>
      <c r="F65" s="62">
        <v>30.36</v>
      </c>
      <c r="G65" s="63">
        <v>175</v>
      </c>
      <c r="H65" s="63">
        <v>108.07</v>
      </c>
      <c r="I65" s="63">
        <v>113.13</v>
      </c>
      <c r="J65" s="63">
        <v>9</v>
      </c>
      <c r="K65" s="63">
        <v>9</v>
      </c>
      <c r="L65" s="63" t="s">
        <v>823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</row>
    <row r="66" spans="1:82">
      <c r="A66" s="38"/>
      <c r="B66" s="38" t="s">
        <v>852</v>
      </c>
      <c r="C66" s="38" t="s">
        <v>773</v>
      </c>
      <c r="D66" s="38" t="s">
        <v>851</v>
      </c>
      <c r="E66" s="38" t="s">
        <v>134</v>
      </c>
      <c r="F66" s="64">
        <v>24.55</v>
      </c>
      <c r="G66" s="65">
        <v>84.3</v>
      </c>
      <c r="H66" s="65">
        <v>113.22</v>
      </c>
      <c r="I66" s="65">
        <v>118.95</v>
      </c>
      <c r="J66" s="65">
        <v>9</v>
      </c>
      <c r="K66" s="65">
        <v>9</v>
      </c>
      <c r="L66" s="65" t="s">
        <v>823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</row>
    <row r="67" spans="1:82">
      <c r="A67" s="38"/>
      <c r="B67" s="38" t="s">
        <v>853</v>
      </c>
      <c r="C67" s="38" t="s">
        <v>779</v>
      </c>
      <c r="D67" s="38" t="s">
        <v>851</v>
      </c>
      <c r="E67" s="38" t="s">
        <v>134</v>
      </c>
      <c r="F67" s="64">
        <v>4.11</v>
      </c>
      <c r="G67" s="65">
        <v>28.1</v>
      </c>
      <c r="H67" s="65">
        <v>108.87</v>
      </c>
      <c r="I67" s="65">
        <v>112.38</v>
      </c>
      <c r="J67" s="65">
        <v>8</v>
      </c>
      <c r="K67" s="65">
        <v>9</v>
      </c>
      <c r="L67" s="65" t="s">
        <v>823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</row>
    <row r="68" spans="1:82">
      <c r="A68" s="38"/>
      <c r="B68" s="38" t="s">
        <v>854</v>
      </c>
      <c r="C68" s="38" t="s">
        <v>773</v>
      </c>
      <c r="D68" s="38" t="s">
        <v>851</v>
      </c>
      <c r="E68" s="38" t="s">
        <v>134</v>
      </c>
      <c r="F68" s="64">
        <v>23.63</v>
      </c>
      <c r="G68" s="65">
        <v>87.5</v>
      </c>
      <c r="H68" s="65">
        <v>109.2</v>
      </c>
      <c r="I68" s="65">
        <v>128.81</v>
      </c>
      <c r="J68" s="65">
        <v>9</v>
      </c>
      <c r="K68" s="65">
        <v>11</v>
      </c>
      <c r="L68" s="65" t="s">
        <v>823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</row>
    <row r="69" spans="1:82">
      <c r="A69" s="38"/>
      <c r="B69" s="38" t="s">
        <v>855</v>
      </c>
      <c r="C69" s="38" t="s">
        <v>773</v>
      </c>
      <c r="D69" s="38" t="s">
        <v>851</v>
      </c>
      <c r="E69" s="38" t="s">
        <v>134</v>
      </c>
      <c r="F69" s="64">
        <v>0.73</v>
      </c>
      <c r="G69" s="65">
        <v>3.2</v>
      </c>
      <c r="H69" s="65">
        <v>71.99</v>
      </c>
      <c r="I69" s="65">
        <v>72.64</v>
      </c>
      <c r="J69" s="65">
        <v>8</v>
      </c>
      <c r="K69" s="65">
        <v>8</v>
      </c>
      <c r="L69" s="65" t="s">
        <v>823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</row>
    <row r="70" spans="1:82">
      <c r="A70" s="38"/>
      <c r="B70" s="38" t="s">
        <v>856</v>
      </c>
      <c r="C70" s="38" t="s">
        <v>773</v>
      </c>
      <c r="D70" s="38" t="s">
        <v>851</v>
      </c>
      <c r="E70" s="38" t="s">
        <v>134</v>
      </c>
      <c r="F70" s="64">
        <v>1</v>
      </c>
      <c r="G70" s="65">
        <v>6.2</v>
      </c>
      <c r="H70" s="65">
        <v>107.81</v>
      </c>
      <c r="I70" s="65">
        <v>108.7</v>
      </c>
      <c r="J70" s="65">
        <v>8</v>
      </c>
      <c r="K70" s="65">
        <v>8</v>
      </c>
      <c r="L70" s="65" t="s">
        <v>823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</row>
    <row r="71" spans="1:82">
      <c r="A71" s="38"/>
      <c r="B71" s="38" t="s">
        <v>827</v>
      </c>
      <c r="C71" s="38" t="s">
        <v>779</v>
      </c>
      <c r="D71" s="38" t="s">
        <v>851</v>
      </c>
      <c r="E71" s="38" t="s">
        <v>134</v>
      </c>
      <c r="F71" s="64">
        <v>0</v>
      </c>
      <c r="G71" s="65">
        <v>0</v>
      </c>
      <c r="H71" s="65">
        <v>107.41</v>
      </c>
      <c r="I71" s="65">
        <v>107.49</v>
      </c>
      <c r="J71" s="65">
        <v>8</v>
      </c>
      <c r="K71" s="65">
        <v>8</v>
      </c>
      <c r="L71" s="65" t="s">
        <v>823</v>
      </c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</row>
    <row r="72" ht="13" customHeight="1" spans="1:82">
      <c r="A72" s="38" t="s">
        <v>857</v>
      </c>
      <c r="B72" s="38" t="s">
        <v>858</v>
      </c>
      <c r="C72" s="38" t="s">
        <v>773</v>
      </c>
      <c r="D72" s="38" t="s">
        <v>859</v>
      </c>
      <c r="E72" s="38" t="s">
        <v>134</v>
      </c>
      <c r="F72" s="59" t="s">
        <v>708</v>
      </c>
      <c r="G72" s="59" t="s">
        <v>708</v>
      </c>
      <c r="H72" s="59" t="s">
        <v>708</v>
      </c>
      <c r="I72" s="59" t="s">
        <v>708</v>
      </c>
      <c r="J72" s="59" t="s">
        <v>708</v>
      </c>
      <c r="K72" s="59" t="s">
        <v>708</v>
      </c>
      <c r="L72" s="59" t="s">
        <v>708</v>
      </c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</row>
    <row r="73" spans="1:82">
      <c r="A73" s="38"/>
      <c r="B73" s="38" t="s">
        <v>860</v>
      </c>
      <c r="C73" s="38" t="s">
        <v>773</v>
      </c>
      <c r="D73" s="38" t="s">
        <v>859</v>
      </c>
      <c r="E73" s="38" t="s">
        <v>134</v>
      </c>
      <c r="F73" s="59" t="s">
        <v>708</v>
      </c>
      <c r="G73" s="59" t="s">
        <v>708</v>
      </c>
      <c r="H73" s="59" t="s">
        <v>708</v>
      </c>
      <c r="I73" s="59" t="s">
        <v>708</v>
      </c>
      <c r="J73" s="59" t="s">
        <v>708</v>
      </c>
      <c r="K73" s="59" t="s">
        <v>708</v>
      </c>
      <c r="L73" s="59" t="s">
        <v>708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</row>
    <row r="74" spans="1:82">
      <c r="A74" s="38"/>
      <c r="B74" s="38" t="s">
        <v>861</v>
      </c>
      <c r="C74" s="38" t="s">
        <v>773</v>
      </c>
      <c r="D74" s="38" t="s">
        <v>859</v>
      </c>
      <c r="E74" s="38" t="s">
        <v>134</v>
      </c>
      <c r="F74" s="59" t="s">
        <v>708</v>
      </c>
      <c r="G74" s="59" t="s">
        <v>708</v>
      </c>
      <c r="H74" s="59" t="s">
        <v>708</v>
      </c>
      <c r="I74" s="59" t="s">
        <v>708</v>
      </c>
      <c r="J74" s="59" t="s">
        <v>708</v>
      </c>
      <c r="K74" s="59" t="s">
        <v>708</v>
      </c>
      <c r="L74" s="59" t="s">
        <v>708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</row>
    <row r="75" spans="1:82">
      <c r="A75" s="38"/>
      <c r="B75" s="38" t="s">
        <v>862</v>
      </c>
      <c r="C75" s="38" t="s">
        <v>773</v>
      </c>
      <c r="D75" s="38" t="s">
        <v>859</v>
      </c>
      <c r="E75" s="38" t="s">
        <v>134</v>
      </c>
      <c r="F75" s="59" t="s">
        <v>708</v>
      </c>
      <c r="G75" s="59" t="s">
        <v>708</v>
      </c>
      <c r="H75" s="59" t="s">
        <v>708</v>
      </c>
      <c r="I75" s="59" t="s">
        <v>708</v>
      </c>
      <c r="J75" s="59" t="s">
        <v>708</v>
      </c>
      <c r="K75" s="59" t="s">
        <v>708</v>
      </c>
      <c r="L75" s="59" t="s">
        <v>708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</row>
    <row r="76" spans="1:82">
      <c r="A76" s="38" t="s">
        <v>863</v>
      </c>
      <c r="B76" s="38" t="s">
        <v>864</v>
      </c>
      <c r="C76" s="38" t="s">
        <v>779</v>
      </c>
      <c r="D76" s="38" t="s">
        <v>865</v>
      </c>
      <c r="E76" s="38" t="s">
        <v>134</v>
      </c>
      <c r="F76" s="66">
        <v>0</v>
      </c>
      <c r="G76" s="66">
        <v>0</v>
      </c>
      <c r="H76" s="66">
        <v>0</v>
      </c>
      <c r="I76" s="66">
        <v>0</v>
      </c>
      <c r="J76" s="66">
        <v>27</v>
      </c>
      <c r="K76" s="66">
        <v>27</v>
      </c>
      <c r="L76" s="69" t="s">
        <v>836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</row>
    <row r="77" spans="1:82">
      <c r="A77" s="38"/>
      <c r="B77" s="38" t="s">
        <v>866</v>
      </c>
      <c r="C77" s="38" t="s">
        <v>773</v>
      </c>
      <c r="D77" s="38" t="s">
        <v>865</v>
      </c>
      <c r="E77" s="38" t="s">
        <v>134</v>
      </c>
      <c r="F77" s="66">
        <v>0</v>
      </c>
      <c r="G77" s="66">
        <v>0</v>
      </c>
      <c r="H77" s="66">
        <v>0</v>
      </c>
      <c r="I77" s="66">
        <v>0</v>
      </c>
      <c r="J77" s="67">
        <v>12</v>
      </c>
      <c r="K77" s="68">
        <v>14</v>
      </c>
      <c r="L77" s="69" t="s">
        <v>836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</row>
    <row r="78" spans="1:82">
      <c r="A78" s="38"/>
      <c r="B78" s="38" t="s">
        <v>867</v>
      </c>
      <c r="C78" s="38" t="s">
        <v>773</v>
      </c>
      <c r="D78" s="38" t="s">
        <v>865</v>
      </c>
      <c r="E78" s="38" t="s">
        <v>134</v>
      </c>
      <c r="F78" s="67">
        <v>11.37</v>
      </c>
      <c r="G78" s="68">
        <v>43</v>
      </c>
      <c r="H78" s="68">
        <v>204.82</v>
      </c>
      <c r="I78" s="68">
        <v>247</v>
      </c>
      <c r="J78" s="68">
        <v>34</v>
      </c>
      <c r="K78" s="68">
        <v>48</v>
      </c>
      <c r="L78" s="69" t="s">
        <v>836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</row>
    <row r="79" spans="1:82">
      <c r="A79" s="38" t="s">
        <v>868</v>
      </c>
      <c r="B79" s="38" t="s">
        <v>869</v>
      </c>
      <c r="C79" s="38" t="s">
        <v>773</v>
      </c>
      <c r="D79" s="38" t="s">
        <v>870</v>
      </c>
      <c r="E79" s="38" t="s">
        <v>134</v>
      </c>
      <c r="F79" s="59" t="s">
        <v>9</v>
      </c>
      <c r="G79" s="59" t="s">
        <v>9</v>
      </c>
      <c r="H79" s="59" t="s">
        <v>9</v>
      </c>
      <c r="I79" s="59" t="s">
        <v>9</v>
      </c>
      <c r="J79" s="59" t="s">
        <v>9</v>
      </c>
      <c r="K79" s="59" t="s">
        <v>9</v>
      </c>
      <c r="L79" s="59" t="s">
        <v>9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</row>
    <row r="80" spans="1:82">
      <c r="A80" s="38"/>
      <c r="B80" s="38" t="s">
        <v>871</v>
      </c>
      <c r="C80" s="38" t="s">
        <v>779</v>
      </c>
      <c r="D80" s="38" t="s">
        <v>870</v>
      </c>
      <c r="E80" s="38" t="s">
        <v>134</v>
      </c>
      <c r="F80" s="59" t="s">
        <v>9</v>
      </c>
      <c r="G80" s="59" t="s">
        <v>9</v>
      </c>
      <c r="H80" s="59" t="s">
        <v>9</v>
      </c>
      <c r="I80" s="59" t="s">
        <v>9</v>
      </c>
      <c r="J80" s="59" t="s">
        <v>9</v>
      </c>
      <c r="K80" s="59" t="s">
        <v>9</v>
      </c>
      <c r="L80" s="59" t="s">
        <v>9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</row>
    <row r="81" spans="1:82">
      <c r="A81" s="38"/>
      <c r="B81" s="38" t="s">
        <v>872</v>
      </c>
      <c r="C81" s="38" t="s">
        <v>773</v>
      </c>
      <c r="D81" s="38" t="s">
        <v>870</v>
      </c>
      <c r="E81" s="38" t="s">
        <v>134</v>
      </c>
      <c r="F81" s="59" t="s">
        <v>9</v>
      </c>
      <c r="G81" s="59" t="s">
        <v>9</v>
      </c>
      <c r="H81" s="59" t="s">
        <v>9</v>
      </c>
      <c r="I81" s="59" t="s">
        <v>9</v>
      </c>
      <c r="J81" s="59" t="s">
        <v>9</v>
      </c>
      <c r="K81" s="59" t="s">
        <v>9</v>
      </c>
      <c r="L81" s="59" t="s">
        <v>9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</row>
    <row r="82" spans="1:82">
      <c r="A82" s="38"/>
      <c r="B82" s="38" t="s">
        <v>873</v>
      </c>
      <c r="C82" s="38" t="s">
        <v>773</v>
      </c>
      <c r="D82" s="38" t="s">
        <v>870</v>
      </c>
      <c r="E82" s="38" t="s">
        <v>134</v>
      </c>
      <c r="F82" s="59" t="s">
        <v>9</v>
      </c>
      <c r="G82" s="59" t="s">
        <v>9</v>
      </c>
      <c r="H82" s="59" t="s">
        <v>9</v>
      </c>
      <c r="I82" s="59" t="s">
        <v>9</v>
      </c>
      <c r="J82" s="59" t="s">
        <v>9</v>
      </c>
      <c r="K82" s="59" t="s">
        <v>9</v>
      </c>
      <c r="L82" s="59" t="s">
        <v>9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</row>
    <row r="83" spans="1:82">
      <c r="A83" s="38"/>
      <c r="B83" s="38" t="s">
        <v>874</v>
      </c>
      <c r="C83" s="38" t="s">
        <v>773</v>
      </c>
      <c r="D83" s="38" t="s">
        <v>870</v>
      </c>
      <c r="E83" s="38" t="s">
        <v>134</v>
      </c>
      <c r="F83" s="59" t="s">
        <v>9</v>
      </c>
      <c r="G83" s="59" t="s">
        <v>9</v>
      </c>
      <c r="H83" s="59" t="s">
        <v>9</v>
      </c>
      <c r="I83" s="59" t="s">
        <v>9</v>
      </c>
      <c r="J83" s="59" t="s">
        <v>9</v>
      </c>
      <c r="K83" s="59" t="s">
        <v>9</v>
      </c>
      <c r="L83" s="59" t="s">
        <v>9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</row>
    <row r="84" spans="1:82">
      <c r="A84" s="38"/>
      <c r="B84" s="38" t="s">
        <v>875</v>
      </c>
      <c r="C84" s="38" t="s">
        <v>773</v>
      </c>
      <c r="D84" s="38" t="s">
        <v>870</v>
      </c>
      <c r="E84" s="38" t="s">
        <v>134</v>
      </c>
      <c r="F84" s="59" t="s">
        <v>9</v>
      </c>
      <c r="G84" s="59" t="s">
        <v>9</v>
      </c>
      <c r="H84" s="59" t="s">
        <v>9</v>
      </c>
      <c r="I84" s="59" t="s">
        <v>9</v>
      </c>
      <c r="J84" s="59" t="s">
        <v>9</v>
      </c>
      <c r="K84" s="59" t="s">
        <v>9</v>
      </c>
      <c r="L84" s="59" t="s">
        <v>9</v>
      </c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</row>
    <row r="85" spans="1:82">
      <c r="A85" s="38"/>
      <c r="B85" s="38" t="s">
        <v>876</v>
      </c>
      <c r="C85" s="38" t="s">
        <v>773</v>
      </c>
      <c r="D85" s="38" t="s">
        <v>870</v>
      </c>
      <c r="E85" s="38" t="s">
        <v>134</v>
      </c>
      <c r="F85" s="59" t="s">
        <v>9</v>
      </c>
      <c r="G85" s="59" t="s">
        <v>9</v>
      </c>
      <c r="H85" s="59" t="s">
        <v>9</v>
      </c>
      <c r="I85" s="59" t="s">
        <v>9</v>
      </c>
      <c r="J85" s="59" t="s">
        <v>9</v>
      </c>
      <c r="K85" s="59" t="s">
        <v>9</v>
      </c>
      <c r="L85" s="59" t="s">
        <v>9</v>
      </c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</row>
    <row r="86" spans="1:82">
      <c r="A86" s="38"/>
      <c r="B86" s="38" t="s">
        <v>877</v>
      </c>
      <c r="C86" s="38" t="s">
        <v>773</v>
      </c>
      <c r="D86" s="38" t="s">
        <v>870</v>
      </c>
      <c r="E86" s="38" t="s">
        <v>134</v>
      </c>
      <c r="F86" s="59" t="s">
        <v>9</v>
      </c>
      <c r="G86" s="59" t="s">
        <v>9</v>
      </c>
      <c r="H86" s="59" t="s">
        <v>9</v>
      </c>
      <c r="I86" s="59" t="s">
        <v>9</v>
      </c>
      <c r="J86" s="59" t="s">
        <v>9</v>
      </c>
      <c r="K86" s="59" t="s">
        <v>9</v>
      </c>
      <c r="L86" s="59" t="s">
        <v>9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</row>
    <row r="87" spans="1:82">
      <c r="A87" s="38"/>
      <c r="B87" s="38" t="s">
        <v>878</v>
      </c>
      <c r="C87" s="38" t="s">
        <v>773</v>
      </c>
      <c r="D87" s="38" t="s">
        <v>870</v>
      </c>
      <c r="E87" s="38" t="s">
        <v>134</v>
      </c>
      <c r="F87" s="59" t="s">
        <v>9</v>
      </c>
      <c r="G87" s="59" t="s">
        <v>9</v>
      </c>
      <c r="H87" s="59" t="s">
        <v>9</v>
      </c>
      <c r="I87" s="59" t="s">
        <v>9</v>
      </c>
      <c r="J87" s="59" t="s">
        <v>9</v>
      </c>
      <c r="K87" s="59" t="s">
        <v>9</v>
      </c>
      <c r="L87" s="59" t="s">
        <v>9</v>
      </c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</row>
    <row r="88" spans="1:82">
      <c r="A88" s="38"/>
      <c r="B88" s="38" t="s">
        <v>879</v>
      </c>
      <c r="C88" s="38" t="s">
        <v>773</v>
      </c>
      <c r="D88" s="38" t="s">
        <v>870</v>
      </c>
      <c r="E88" s="38" t="s">
        <v>134</v>
      </c>
      <c r="F88" s="59" t="s">
        <v>9</v>
      </c>
      <c r="G88" s="59" t="s">
        <v>9</v>
      </c>
      <c r="H88" s="59" t="s">
        <v>9</v>
      </c>
      <c r="I88" s="59" t="s">
        <v>9</v>
      </c>
      <c r="J88" s="59" t="s">
        <v>9</v>
      </c>
      <c r="K88" s="59" t="s">
        <v>9</v>
      </c>
      <c r="L88" s="59" t="s">
        <v>9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</row>
    <row r="89" spans="1:82">
      <c r="A89" s="38" t="s">
        <v>880</v>
      </c>
      <c r="B89" s="38" t="s">
        <v>869</v>
      </c>
      <c r="C89" s="38" t="s">
        <v>773</v>
      </c>
      <c r="D89" s="38" t="s">
        <v>870</v>
      </c>
      <c r="E89" s="38" t="s">
        <v>134</v>
      </c>
      <c r="F89" s="59" t="s">
        <v>9</v>
      </c>
      <c r="G89" s="59" t="s">
        <v>9</v>
      </c>
      <c r="H89" s="59" t="s">
        <v>9</v>
      </c>
      <c r="I89" s="59" t="s">
        <v>9</v>
      </c>
      <c r="J89" s="59" t="s">
        <v>9</v>
      </c>
      <c r="K89" s="59" t="s">
        <v>9</v>
      </c>
      <c r="L89" s="59" t="s">
        <v>9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</row>
    <row r="90" spans="1:82">
      <c r="A90" s="38"/>
      <c r="B90" s="38" t="s">
        <v>871</v>
      </c>
      <c r="C90" s="38" t="s">
        <v>779</v>
      </c>
      <c r="D90" s="38" t="s">
        <v>870</v>
      </c>
      <c r="E90" s="38" t="s">
        <v>134</v>
      </c>
      <c r="F90" s="59" t="s">
        <v>9</v>
      </c>
      <c r="G90" s="59" t="s">
        <v>9</v>
      </c>
      <c r="H90" s="59" t="s">
        <v>9</v>
      </c>
      <c r="I90" s="59" t="s">
        <v>9</v>
      </c>
      <c r="J90" s="59" t="s">
        <v>9</v>
      </c>
      <c r="K90" s="59" t="s">
        <v>9</v>
      </c>
      <c r="L90" s="59" t="s">
        <v>9</v>
      </c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</row>
    <row r="91" spans="1:82">
      <c r="A91" s="38"/>
      <c r="B91" s="38" t="s">
        <v>872</v>
      </c>
      <c r="C91" s="38" t="s">
        <v>773</v>
      </c>
      <c r="D91" s="38" t="s">
        <v>870</v>
      </c>
      <c r="E91" s="38" t="s">
        <v>134</v>
      </c>
      <c r="F91" s="59" t="s">
        <v>9</v>
      </c>
      <c r="G91" s="59" t="s">
        <v>9</v>
      </c>
      <c r="H91" s="59" t="s">
        <v>9</v>
      </c>
      <c r="I91" s="59" t="s">
        <v>9</v>
      </c>
      <c r="J91" s="59" t="s">
        <v>9</v>
      </c>
      <c r="K91" s="59" t="s">
        <v>9</v>
      </c>
      <c r="L91" s="59" t="s">
        <v>9</v>
      </c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</row>
    <row r="92" spans="1:82">
      <c r="A92" s="38"/>
      <c r="B92" s="38" t="s">
        <v>873</v>
      </c>
      <c r="C92" s="38" t="s">
        <v>773</v>
      </c>
      <c r="D92" s="38" t="s">
        <v>870</v>
      </c>
      <c r="E92" s="38" t="s">
        <v>134</v>
      </c>
      <c r="F92" s="59" t="s">
        <v>9</v>
      </c>
      <c r="G92" s="59" t="s">
        <v>9</v>
      </c>
      <c r="H92" s="59" t="s">
        <v>9</v>
      </c>
      <c r="I92" s="59" t="s">
        <v>9</v>
      </c>
      <c r="J92" s="59" t="s">
        <v>9</v>
      </c>
      <c r="K92" s="59" t="s">
        <v>9</v>
      </c>
      <c r="L92" s="59" t="s">
        <v>9</v>
      </c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</row>
    <row r="93" spans="1:82">
      <c r="A93" s="38"/>
      <c r="B93" s="38" t="s">
        <v>874</v>
      </c>
      <c r="C93" s="38" t="s">
        <v>773</v>
      </c>
      <c r="D93" s="38" t="s">
        <v>870</v>
      </c>
      <c r="E93" s="38" t="s">
        <v>134</v>
      </c>
      <c r="F93" s="59" t="s">
        <v>9</v>
      </c>
      <c r="G93" s="59" t="s">
        <v>9</v>
      </c>
      <c r="H93" s="59" t="s">
        <v>9</v>
      </c>
      <c r="I93" s="59" t="s">
        <v>9</v>
      </c>
      <c r="J93" s="59" t="s">
        <v>9</v>
      </c>
      <c r="K93" s="59" t="s">
        <v>9</v>
      </c>
      <c r="L93" s="59" t="s">
        <v>9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</row>
    <row r="94" spans="1:82">
      <c r="A94" s="38"/>
      <c r="B94" s="38" t="s">
        <v>875</v>
      </c>
      <c r="C94" s="38" t="s">
        <v>773</v>
      </c>
      <c r="D94" s="38" t="s">
        <v>870</v>
      </c>
      <c r="E94" s="38" t="s">
        <v>134</v>
      </c>
      <c r="F94" s="59" t="s">
        <v>9</v>
      </c>
      <c r="G94" s="59" t="s">
        <v>9</v>
      </c>
      <c r="H94" s="59" t="s">
        <v>9</v>
      </c>
      <c r="I94" s="59" t="s">
        <v>9</v>
      </c>
      <c r="J94" s="59" t="s">
        <v>9</v>
      </c>
      <c r="K94" s="59" t="s">
        <v>9</v>
      </c>
      <c r="L94" s="59" t="s">
        <v>9</v>
      </c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</row>
    <row r="95" spans="1:82">
      <c r="A95" s="38"/>
      <c r="B95" s="38" t="s">
        <v>876</v>
      </c>
      <c r="C95" s="38" t="s">
        <v>773</v>
      </c>
      <c r="D95" s="38" t="s">
        <v>870</v>
      </c>
      <c r="E95" s="38" t="s">
        <v>134</v>
      </c>
      <c r="F95" s="59" t="s">
        <v>9</v>
      </c>
      <c r="G95" s="59" t="s">
        <v>9</v>
      </c>
      <c r="H95" s="59" t="s">
        <v>9</v>
      </c>
      <c r="I95" s="59" t="s">
        <v>9</v>
      </c>
      <c r="J95" s="59" t="s">
        <v>9</v>
      </c>
      <c r="K95" s="59" t="s">
        <v>9</v>
      </c>
      <c r="L95" s="59" t="s">
        <v>9</v>
      </c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</row>
    <row r="96" spans="1:82">
      <c r="A96" s="38"/>
      <c r="B96" s="38" t="s">
        <v>881</v>
      </c>
      <c r="C96" s="38" t="s">
        <v>779</v>
      </c>
      <c r="D96" s="38" t="s">
        <v>870</v>
      </c>
      <c r="E96" s="38" t="s">
        <v>134</v>
      </c>
      <c r="F96" s="59" t="s">
        <v>9</v>
      </c>
      <c r="G96" s="59" t="s">
        <v>9</v>
      </c>
      <c r="H96" s="59" t="s">
        <v>9</v>
      </c>
      <c r="I96" s="59" t="s">
        <v>9</v>
      </c>
      <c r="J96" s="59" t="s">
        <v>9</v>
      </c>
      <c r="K96" s="59" t="s">
        <v>9</v>
      </c>
      <c r="L96" s="59" t="s">
        <v>9</v>
      </c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</row>
    <row r="97" spans="1:82">
      <c r="A97" s="38"/>
      <c r="B97" s="38" t="s">
        <v>877</v>
      </c>
      <c r="C97" s="38" t="s">
        <v>773</v>
      </c>
      <c r="D97" s="38" t="s">
        <v>870</v>
      </c>
      <c r="E97" s="38" t="s">
        <v>134</v>
      </c>
      <c r="F97" s="59" t="s">
        <v>9</v>
      </c>
      <c r="G97" s="59" t="s">
        <v>9</v>
      </c>
      <c r="H97" s="59" t="s">
        <v>9</v>
      </c>
      <c r="I97" s="59" t="s">
        <v>9</v>
      </c>
      <c r="J97" s="59" t="s">
        <v>9</v>
      </c>
      <c r="K97" s="59" t="s">
        <v>9</v>
      </c>
      <c r="L97" s="59" t="s">
        <v>9</v>
      </c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</row>
    <row r="98" spans="1:82">
      <c r="A98" s="38"/>
      <c r="B98" s="38" t="s">
        <v>878</v>
      </c>
      <c r="C98" s="38" t="s">
        <v>773</v>
      </c>
      <c r="D98" s="38" t="s">
        <v>870</v>
      </c>
      <c r="E98" s="38" t="s">
        <v>134</v>
      </c>
      <c r="F98" s="59" t="s">
        <v>9</v>
      </c>
      <c r="G98" s="59" t="s">
        <v>9</v>
      </c>
      <c r="H98" s="59" t="s">
        <v>9</v>
      </c>
      <c r="I98" s="59" t="s">
        <v>9</v>
      </c>
      <c r="J98" s="59" t="s">
        <v>9</v>
      </c>
      <c r="K98" s="59" t="s">
        <v>9</v>
      </c>
      <c r="L98" s="59" t="s">
        <v>9</v>
      </c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</row>
    <row r="99" spans="1:82">
      <c r="A99" s="38"/>
      <c r="B99" s="38" t="s">
        <v>879</v>
      </c>
      <c r="C99" s="38" t="s">
        <v>773</v>
      </c>
      <c r="D99" s="38" t="s">
        <v>870</v>
      </c>
      <c r="E99" s="38" t="s">
        <v>134</v>
      </c>
      <c r="F99" s="59" t="s">
        <v>9</v>
      </c>
      <c r="G99" s="59" t="s">
        <v>9</v>
      </c>
      <c r="H99" s="59" t="s">
        <v>9</v>
      </c>
      <c r="I99" s="59" t="s">
        <v>9</v>
      </c>
      <c r="J99" s="59" t="s">
        <v>9</v>
      </c>
      <c r="K99" s="59" t="s">
        <v>9</v>
      </c>
      <c r="L99" s="59" t="s">
        <v>9</v>
      </c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</row>
    <row r="100" spans="1:82">
      <c r="A100" s="38" t="s">
        <v>882</v>
      </c>
      <c r="B100" s="38" t="s">
        <v>883</v>
      </c>
      <c r="C100" s="38" t="s">
        <v>773</v>
      </c>
      <c r="D100" s="38" t="s">
        <v>870</v>
      </c>
      <c r="E100" s="38" t="s">
        <v>134</v>
      </c>
      <c r="F100" s="59" t="s">
        <v>9</v>
      </c>
      <c r="G100" s="59" t="s">
        <v>9</v>
      </c>
      <c r="H100" s="59" t="s">
        <v>9</v>
      </c>
      <c r="I100" s="59" t="s">
        <v>9</v>
      </c>
      <c r="J100" s="59" t="s">
        <v>9</v>
      </c>
      <c r="K100" s="59" t="s">
        <v>9</v>
      </c>
      <c r="L100" s="59" t="s">
        <v>9</v>
      </c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</row>
    <row r="101" spans="1:82">
      <c r="A101" s="38"/>
      <c r="B101" s="38" t="s">
        <v>884</v>
      </c>
      <c r="C101" s="38" t="s">
        <v>773</v>
      </c>
      <c r="D101" s="38" t="s">
        <v>870</v>
      </c>
      <c r="E101" s="38" t="s">
        <v>134</v>
      </c>
      <c r="F101" s="59" t="s">
        <v>9</v>
      </c>
      <c r="G101" s="59" t="s">
        <v>9</v>
      </c>
      <c r="H101" s="59" t="s">
        <v>9</v>
      </c>
      <c r="I101" s="59" t="s">
        <v>9</v>
      </c>
      <c r="J101" s="59" t="s">
        <v>9</v>
      </c>
      <c r="K101" s="59" t="s">
        <v>9</v>
      </c>
      <c r="L101" s="59" t="s">
        <v>9</v>
      </c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</row>
    <row r="102" spans="1:82">
      <c r="A102" s="38"/>
      <c r="B102" s="38" t="s">
        <v>885</v>
      </c>
      <c r="C102" s="38" t="s">
        <v>773</v>
      </c>
      <c r="D102" s="38" t="s">
        <v>870</v>
      </c>
      <c r="E102" s="38" t="s">
        <v>134</v>
      </c>
      <c r="F102" s="59" t="s">
        <v>9</v>
      </c>
      <c r="G102" s="59" t="s">
        <v>9</v>
      </c>
      <c r="H102" s="59" t="s">
        <v>9</v>
      </c>
      <c r="I102" s="59" t="s">
        <v>9</v>
      </c>
      <c r="J102" s="59" t="s">
        <v>9</v>
      </c>
      <c r="K102" s="59" t="s">
        <v>9</v>
      </c>
      <c r="L102" s="59" t="s">
        <v>9</v>
      </c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</row>
    <row r="103" spans="1:82">
      <c r="A103" s="38"/>
      <c r="B103" s="38" t="s">
        <v>886</v>
      </c>
      <c r="C103" s="38" t="s">
        <v>773</v>
      </c>
      <c r="D103" s="38" t="s">
        <v>870</v>
      </c>
      <c r="E103" s="38" t="s">
        <v>134</v>
      </c>
      <c r="F103" s="59" t="s">
        <v>9</v>
      </c>
      <c r="G103" s="59" t="s">
        <v>9</v>
      </c>
      <c r="H103" s="59" t="s">
        <v>9</v>
      </c>
      <c r="I103" s="59" t="s">
        <v>9</v>
      </c>
      <c r="J103" s="59" t="s">
        <v>9</v>
      </c>
      <c r="K103" s="59" t="s">
        <v>9</v>
      </c>
      <c r="L103" s="59" t="s">
        <v>9</v>
      </c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</row>
    <row r="104" spans="1:82">
      <c r="A104" s="38" t="s">
        <v>887</v>
      </c>
      <c r="B104" s="38" t="s">
        <v>883</v>
      </c>
      <c r="C104" s="38" t="s">
        <v>773</v>
      </c>
      <c r="D104" s="38" t="s">
        <v>870</v>
      </c>
      <c r="E104" s="38" t="s">
        <v>134</v>
      </c>
      <c r="F104" s="59" t="s">
        <v>9</v>
      </c>
      <c r="G104" s="59" t="s">
        <v>9</v>
      </c>
      <c r="H104" s="59" t="s">
        <v>9</v>
      </c>
      <c r="I104" s="59" t="s">
        <v>9</v>
      </c>
      <c r="J104" s="59" t="s">
        <v>9</v>
      </c>
      <c r="K104" s="59" t="s">
        <v>9</v>
      </c>
      <c r="L104" s="59" t="s">
        <v>9</v>
      </c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</row>
    <row r="105" spans="1:82">
      <c r="A105" s="38"/>
      <c r="B105" s="38" t="s">
        <v>888</v>
      </c>
      <c r="C105" s="38" t="s">
        <v>779</v>
      </c>
      <c r="D105" s="38" t="s">
        <v>870</v>
      </c>
      <c r="E105" s="38" t="s">
        <v>134</v>
      </c>
      <c r="F105" s="59" t="s">
        <v>9</v>
      </c>
      <c r="G105" s="59" t="s">
        <v>9</v>
      </c>
      <c r="H105" s="59" t="s">
        <v>9</v>
      </c>
      <c r="I105" s="59" t="s">
        <v>9</v>
      </c>
      <c r="J105" s="59" t="s">
        <v>9</v>
      </c>
      <c r="K105" s="59" t="s">
        <v>9</v>
      </c>
      <c r="L105" s="59" t="s">
        <v>9</v>
      </c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</row>
    <row r="106" spans="1:82">
      <c r="A106" s="38"/>
      <c r="B106" s="38" t="s">
        <v>884</v>
      </c>
      <c r="C106" s="38" t="s">
        <v>773</v>
      </c>
      <c r="D106" s="38" t="s">
        <v>870</v>
      </c>
      <c r="E106" s="38" t="s">
        <v>134</v>
      </c>
      <c r="F106" s="59" t="s">
        <v>9</v>
      </c>
      <c r="G106" s="59" t="s">
        <v>9</v>
      </c>
      <c r="H106" s="59" t="s">
        <v>9</v>
      </c>
      <c r="I106" s="59" t="s">
        <v>9</v>
      </c>
      <c r="J106" s="59" t="s">
        <v>9</v>
      </c>
      <c r="K106" s="59" t="s">
        <v>9</v>
      </c>
      <c r="L106" s="59" t="s">
        <v>9</v>
      </c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</row>
    <row r="107" spans="1:82">
      <c r="A107" s="38"/>
      <c r="B107" s="38" t="s">
        <v>885</v>
      </c>
      <c r="C107" s="38" t="s">
        <v>773</v>
      </c>
      <c r="D107" s="38" t="s">
        <v>870</v>
      </c>
      <c r="E107" s="38" t="s">
        <v>134</v>
      </c>
      <c r="F107" s="59" t="s">
        <v>9</v>
      </c>
      <c r="G107" s="59" t="s">
        <v>9</v>
      </c>
      <c r="H107" s="59" t="s">
        <v>9</v>
      </c>
      <c r="I107" s="59" t="s">
        <v>9</v>
      </c>
      <c r="J107" s="59" t="s">
        <v>9</v>
      </c>
      <c r="K107" s="59" t="s">
        <v>9</v>
      </c>
      <c r="L107" s="59" t="s">
        <v>9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</row>
    <row r="108" spans="1:82">
      <c r="A108" s="38"/>
      <c r="B108" s="38" t="s">
        <v>886</v>
      </c>
      <c r="C108" s="38" t="s">
        <v>773</v>
      </c>
      <c r="D108" s="38" t="s">
        <v>870</v>
      </c>
      <c r="E108" s="38" t="s">
        <v>134</v>
      </c>
      <c r="F108" s="59" t="s">
        <v>9</v>
      </c>
      <c r="G108" s="59" t="s">
        <v>9</v>
      </c>
      <c r="H108" s="59" t="s">
        <v>9</v>
      </c>
      <c r="I108" s="59" t="s">
        <v>9</v>
      </c>
      <c r="J108" s="59" t="s">
        <v>9</v>
      </c>
      <c r="K108" s="59" t="s">
        <v>9</v>
      </c>
      <c r="L108" s="59" t="s">
        <v>9</v>
      </c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</row>
    <row r="109" spans="1:82">
      <c r="A109" s="38" t="s">
        <v>889</v>
      </c>
      <c r="B109" s="38" t="s">
        <v>890</v>
      </c>
      <c r="C109" s="38" t="s">
        <v>773</v>
      </c>
      <c r="D109" s="38" t="s">
        <v>848</v>
      </c>
      <c r="E109" s="38" t="s">
        <v>134</v>
      </c>
      <c r="F109" s="56">
        <v>4.69</v>
      </c>
      <c r="G109" s="56">
        <v>40</v>
      </c>
      <c r="H109" s="56">
        <v>89.86</v>
      </c>
      <c r="I109" s="56">
        <v>94</v>
      </c>
      <c r="J109" s="56">
        <v>39</v>
      </c>
      <c r="K109" s="56">
        <v>40</v>
      </c>
      <c r="L109" s="59" t="s">
        <v>823</v>
      </c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</row>
    <row r="110" spans="1:82">
      <c r="A110" s="38" t="s">
        <v>891</v>
      </c>
      <c r="B110" s="38" t="s">
        <v>832</v>
      </c>
      <c r="C110" s="38" t="s">
        <v>773</v>
      </c>
      <c r="D110" s="38" t="s">
        <v>892</v>
      </c>
      <c r="E110" s="38" t="s">
        <v>134</v>
      </c>
      <c r="F110" s="56">
        <v>11.59</v>
      </c>
      <c r="G110" s="56">
        <v>44.3</v>
      </c>
      <c r="H110" s="56">
        <v>212.65</v>
      </c>
      <c r="I110" s="56">
        <v>270</v>
      </c>
      <c r="J110" s="56">
        <v>10</v>
      </c>
      <c r="K110" s="56">
        <v>12</v>
      </c>
      <c r="L110" s="59" t="s">
        <v>823</v>
      </c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</row>
    <row r="111" spans="1:82">
      <c r="A111" s="38" t="s">
        <v>893</v>
      </c>
      <c r="B111" s="38" t="s">
        <v>864</v>
      </c>
      <c r="C111" s="38" t="s">
        <v>779</v>
      </c>
      <c r="D111" s="38"/>
      <c r="E111" s="38" t="s">
        <v>134</v>
      </c>
      <c r="F111" s="59" t="s">
        <v>708</v>
      </c>
      <c r="G111" s="59" t="s">
        <v>708</v>
      </c>
      <c r="H111" s="59" t="s">
        <v>708</v>
      </c>
      <c r="I111" s="59" t="s">
        <v>708</v>
      </c>
      <c r="J111" s="59" t="s">
        <v>708</v>
      </c>
      <c r="K111" s="59" t="s">
        <v>708</v>
      </c>
      <c r="L111" s="59" t="s">
        <v>708</v>
      </c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</row>
    <row r="112" spans="1:82">
      <c r="A112" s="38"/>
      <c r="B112" s="38" t="s">
        <v>866</v>
      </c>
      <c r="C112" s="38" t="s">
        <v>773</v>
      </c>
      <c r="D112" s="38"/>
      <c r="E112" s="38" t="s">
        <v>134</v>
      </c>
      <c r="F112" s="59" t="s">
        <v>708</v>
      </c>
      <c r="G112" s="59" t="s">
        <v>708</v>
      </c>
      <c r="H112" s="59" t="s">
        <v>708</v>
      </c>
      <c r="I112" s="59" t="s">
        <v>708</v>
      </c>
      <c r="J112" s="59" t="s">
        <v>708</v>
      </c>
      <c r="K112" s="59" t="s">
        <v>708</v>
      </c>
      <c r="L112" s="59" t="s">
        <v>708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</row>
    <row r="113" spans="1:82">
      <c r="A113" s="38"/>
      <c r="B113" s="38" t="s">
        <v>867</v>
      </c>
      <c r="C113" s="38" t="s">
        <v>773</v>
      </c>
      <c r="D113" s="38"/>
      <c r="E113" s="38" t="s">
        <v>134</v>
      </c>
      <c r="F113" s="59" t="s">
        <v>708</v>
      </c>
      <c r="G113" s="59" t="s">
        <v>708</v>
      </c>
      <c r="H113" s="59" t="s">
        <v>708</v>
      </c>
      <c r="I113" s="59" t="s">
        <v>708</v>
      </c>
      <c r="J113" s="59" t="s">
        <v>708</v>
      </c>
      <c r="K113" s="59" t="s">
        <v>708</v>
      </c>
      <c r="L113" s="59" t="s">
        <v>708</v>
      </c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</row>
    <row r="114" spans="1:82">
      <c r="A114" s="38" t="s">
        <v>716</v>
      </c>
      <c r="B114" s="38" t="s">
        <v>864</v>
      </c>
      <c r="C114" s="38" t="s">
        <v>779</v>
      </c>
      <c r="D114" s="38"/>
      <c r="E114" s="38" t="s">
        <v>134</v>
      </c>
      <c r="F114" s="59" t="s">
        <v>708</v>
      </c>
      <c r="G114" s="59" t="s">
        <v>708</v>
      </c>
      <c r="H114" s="59" t="s">
        <v>708</v>
      </c>
      <c r="I114" s="59" t="s">
        <v>708</v>
      </c>
      <c r="J114" s="59" t="s">
        <v>708</v>
      </c>
      <c r="K114" s="59" t="s">
        <v>708</v>
      </c>
      <c r="L114" s="59" t="s">
        <v>708</v>
      </c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</row>
    <row r="115" spans="1:82">
      <c r="A115" s="38"/>
      <c r="B115" s="38" t="s">
        <v>866</v>
      </c>
      <c r="C115" s="38" t="s">
        <v>773</v>
      </c>
      <c r="D115" s="38"/>
      <c r="E115" s="38" t="s">
        <v>134</v>
      </c>
      <c r="F115" s="59" t="s">
        <v>708</v>
      </c>
      <c r="G115" s="59" t="s">
        <v>708</v>
      </c>
      <c r="H115" s="59" t="s">
        <v>708</v>
      </c>
      <c r="I115" s="59" t="s">
        <v>708</v>
      </c>
      <c r="J115" s="59" t="s">
        <v>708</v>
      </c>
      <c r="K115" s="59" t="s">
        <v>708</v>
      </c>
      <c r="L115" s="59" t="s">
        <v>708</v>
      </c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</row>
    <row r="116" spans="1:82">
      <c r="A116" s="38"/>
      <c r="B116" s="38" t="s">
        <v>867</v>
      </c>
      <c r="C116" s="38" t="s">
        <v>773</v>
      </c>
      <c r="D116" s="38"/>
      <c r="E116" s="38" t="s">
        <v>134</v>
      </c>
      <c r="F116" s="59" t="s">
        <v>708</v>
      </c>
      <c r="G116" s="59" t="s">
        <v>708</v>
      </c>
      <c r="H116" s="59" t="s">
        <v>708</v>
      </c>
      <c r="I116" s="59" t="s">
        <v>708</v>
      </c>
      <c r="J116" s="59" t="s">
        <v>708</v>
      </c>
      <c r="K116" s="59" t="s">
        <v>708</v>
      </c>
      <c r="L116" s="59" t="s">
        <v>708</v>
      </c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</row>
    <row r="117" spans="1:82">
      <c r="A117" s="38" t="s">
        <v>713</v>
      </c>
      <c r="B117" s="38" t="s">
        <v>864</v>
      </c>
      <c r="C117" s="38" t="s">
        <v>779</v>
      </c>
      <c r="D117" s="38"/>
      <c r="E117" s="38" t="s">
        <v>134</v>
      </c>
      <c r="F117" s="59" t="s">
        <v>708</v>
      </c>
      <c r="G117" s="59" t="s">
        <v>708</v>
      </c>
      <c r="H117" s="59" t="s">
        <v>708</v>
      </c>
      <c r="I117" s="59" t="s">
        <v>708</v>
      </c>
      <c r="J117" s="59" t="s">
        <v>708</v>
      </c>
      <c r="K117" s="59" t="s">
        <v>708</v>
      </c>
      <c r="L117" s="59" t="s">
        <v>708</v>
      </c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</row>
    <row r="118" spans="1:82">
      <c r="A118" s="38"/>
      <c r="B118" s="38" t="s">
        <v>866</v>
      </c>
      <c r="C118" s="38" t="s">
        <v>773</v>
      </c>
      <c r="D118" s="38"/>
      <c r="E118" s="38" t="s">
        <v>134</v>
      </c>
      <c r="F118" s="59" t="s">
        <v>708</v>
      </c>
      <c r="G118" s="59" t="s">
        <v>708</v>
      </c>
      <c r="H118" s="59" t="s">
        <v>708</v>
      </c>
      <c r="I118" s="59" t="s">
        <v>708</v>
      </c>
      <c r="J118" s="59" t="s">
        <v>708</v>
      </c>
      <c r="K118" s="59" t="s">
        <v>708</v>
      </c>
      <c r="L118" s="59" t="s">
        <v>708</v>
      </c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</row>
    <row r="119" spans="1:82">
      <c r="A119" s="38"/>
      <c r="B119" s="38" t="s">
        <v>867</v>
      </c>
      <c r="C119" s="38" t="s">
        <v>773</v>
      </c>
      <c r="D119" s="38"/>
      <c r="E119" s="38" t="s">
        <v>134</v>
      </c>
      <c r="F119" s="59" t="s">
        <v>708</v>
      </c>
      <c r="G119" s="59" t="s">
        <v>708</v>
      </c>
      <c r="H119" s="59" t="s">
        <v>708</v>
      </c>
      <c r="I119" s="59" t="s">
        <v>708</v>
      </c>
      <c r="J119" s="59" t="s">
        <v>708</v>
      </c>
      <c r="K119" s="59" t="s">
        <v>708</v>
      </c>
      <c r="L119" s="59" t="s">
        <v>708</v>
      </c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</row>
    <row r="120" spans="1:82">
      <c r="A120" s="38" t="s">
        <v>894</v>
      </c>
      <c r="B120" s="38" t="s">
        <v>864</v>
      </c>
      <c r="C120" s="38" t="s">
        <v>779</v>
      </c>
      <c r="D120" s="38"/>
      <c r="E120" s="38" t="s">
        <v>134</v>
      </c>
      <c r="F120" s="59" t="s">
        <v>708</v>
      </c>
      <c r="G120" s="59" t="s">
        <v>708</v>
      </c>
      <c r="H120" s="59" t="s">
        <v>708</v>
      </c>
      <c r="I120" s="59" t="s">
        <v>708</v>
      </c>
      <c r="J120" s="59" t="s">
        <v>708</v>
      </c>
      <c r="K120" s="59" t="s">
        <v>708</v>
      </c>
      <c r="L120" s="59" t="s">
        <v>708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</row>
    <row r="121" spans="1:82">
      <c r="A121" s="38"/>
      <c r="B121" s="38" t="s">
        <v>866</v>
      </c>
      <c r="C121" s="38" t="s">
        <v>773</v>
      </c>
      <c r="D121" s="38"/>
      <c r="E121" s="38" t="s">
        <v>134</v>
      </c>
      <c r="F121" s="59" t="s">
        <v>708</v>
      </c>
      <c r="G121" s="59" t="s">
        <v>708</v>
      </c>
      <c r="H121" s="59" t="s">
        <v>708</v>
      </c>
      <c r="I121" s="59" t="s">
        <v>708</v>
      </c>
      <c r="J121" s="59" t="s">
        <v>708</v>
      </c>
      <c r="K121" s="59" t="s">
        <v>708</v>
      </c>
      <c r="L121" s="59" t="s">
        <v>708</v>
      </c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</row>
    <row r="122" spans="1:82">
      <c r="A122" s="38"/>
      <c r="B122" s="38" t="s">
        <v>867</v>
      </c>
      <c r="C122" s="38" t="s">
        <v>773</v>
      </c>
      <c r="D122" s="38"/>
      <c r="E122" s="38" t="s">
        <v>134</v>
      </c>
      <c r="F122" s="59" t="s">
        <v>708</v>
      </c>
      <c r="G122" s="59" t="s">
        <v>708</v>
      </c>
      <c r="H122" s="59" t="s">
        <v>708</v>
      </c>
      <c r="I122" s="59" t="s">
        <v>708</v>
      </c>
      <c r="J122" s="59" t="s">
        <v>708</v>
      </c>
      <c r="K122" s="59" t="s">
        <v>708</v>
      </c>
      <c r="L122" s="59" t="s">
        <v>708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</row>
    <row r="123" hidden="1" spans="1:82">
      <c r="A123" s="38" t="s">
        <v>895</v>
      </c>
      <c r="B123" s="38" t="s">
        <v>864</v>
      </c>
      <c r="C123" s="38" t="s">
        <v>779</v>
      </c>
      <c r="D123" s="38"/>
      <c r="E123" s="38" t="s">
        <v>896</v>
      </c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</row>
    <row r="124" hidden="1" spans="1:82">
      <c r="A124" s="38"/>
      <c r="B124" s="38" t="s">
        <v>866</v>
      </c>
      <c r="C124" s="38" t="s">
        <v>773</v>
      </c>
      <c r="D124" s="38"/>
      <c r="E124" s="38" t="s">
        <v>896</v>
      </c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</row>
    <row r="125" hidden="1" spans="1:82">
      <c r="A125" s="38"/>
      <c r="B125" s="38" t="s">
        <v>867</v>
      </c>
      <c r="C125" s="38" t="s">
        <v>773</v>
      </c>
      <c r="D125" s="38"/>
      <c r="E125" s="38" t="s">
        <v>896</v>
      </c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</row>
    <row r="126" hidden="1" spans="1:82">
      <c r="A126" s="38" t="s">
        <v>897</v>
      </c>
      <c r="B126" s="38" t="s">
        <v>864</v>
      </c>
      <c r="C126" s="38" t="s">
        <v>779</v>
      </c>
      <c r="D126" s="38"/>
      <c r="E126" s="38" t="s">
        <v>896</v>
      </c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</row>
    <row r="127" hidden="1" spans="1:82">
      <c r="A127" s="38"/>
      <c r="B127" s="38" t="s">
        <v>866</v>
      </c>
      <c r="C127" s="38" t="s">
        <v>773</v>
      </c>
      <c r="D127" s="38"/>
      <c r="E127" s="38" t="s">
        <v>896</v>
      </c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</row>
    <row r="128" hidden="1" spans="1:82">
      <c r="A128" s="38"/>
      <c r="B128" s="38" t="s">
        <v>867</v>
      </c>
      <c r="C128" s="38" t="s">
        <v>773</v>
      </c>
      <c r="D128" s="38"/>
      <c r="E128" s="38" t="s">
        <v>896</v>
      </c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</row>
    <row r="129" hidden="1" spans="1:82">
      <c r="A129" s="38" t="s">
        <v>898</v>
      </c>
      <c r="B129" s="38" t="s">
        <v>864</v>
      </c>
      <c r="C129" s="38" t="s">
        <v>779</v>
      </c>
      <c r="D129" s="38"/>
      <c r="E129" s="38" t="s">
        <v>896</v>
      </c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</row>
    <row r="130" hidden="1" spans="1:82">
      <c r="A130" s="38"/>
      <c r="B130" s="38" t="s">
        <v>866</v>
      </c>
      <c r="C130" s="38" t="s">
        <v>773</v>
      </c>
      <c r="D130" s="38"/>
      <c r="E130" s="38" t="s">
        <v>896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</row>
    <row r="131" hidden="1" spans="1:82">
      <c r="A131" s="38"/>
      <c r="B131" s="38" t="s">
        <v>867</v>
      </c>
      <c r="C131" s="38" t="s">
        <v>773</v>
      </c>
      <c r="D131" s="38"/>
      <c r="E131" s="38" t="s">
        <v>896</v>
      </c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</row>
    <row r="132" hidden="1" spans="1:82">
      <c r="A132" s="38" t="s">
        <v>899</v>
      </c>
      <c r="B132" s="38" t="s">
        <v>864</v>
      </c>
      <c r="C132" s="38" t="s">
        <v>779</v>
      </c>
      <c r="D132" s="38"/>
      <c r="E132" s="38" t="s">
        <v>896</v>
      </c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</row>
    <row r="133" hidden="1" spans="1:82">
      <c r="A133" s="38"/>
      <c r="B133" s="38" t="s">
        <v>866</v>
      </c>
      <c r="C133" s="38" t="s">
        <v>773</v>
      </c>
      <c r="D133" s="38"/>
      <c r="E133" s="38" t="s">
        <v>896</v>
      </c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</row>
    <row r="134" hidden="1" spans="1:82">
      <c r="A134" s="38"/>
      <c r="B134" s="38" t="s">
        <v>867</v>
      </c>
      <c r="C134" s="38" t="s">
        <v>773</v>
      </c>
      <c r="D134" s="38"/>
      <c r="E134" s="38" t="s">
        <v>896</v>
      </c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</row>
    <row r="135" hidden="1" spans="1:82">
      <c r="A135" s="38" t="s">
        <v>900</v>
      </c>
      <c r="B135" s="38" t="s">
        <v>864</v>
      </c>
      <c r="C135" s="38" t="s">
        <v>779</v>
      </c>
      <c r="D135" s="38"/>
      <c r="E135" s="38" t="s">
        <v>896</v>
      </c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</row>
    <row r="136" hidden="1" spans="1:82">
      <c r="A136" s="38"/>
      <c r="B136" s="38" t="s">
        <v>866</v>
      </c>
      <c r="C136" s="38" t="s">
        <v>773</v>
      </c>
      <c r="D136" s="38"/>
      <c r="E136" s="38" t="s">
        <v>896</v>
      </c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</row>
    <row r="137" hidden="1" spans="1:82">
      <c r="A137" s="38"/>
      <c r="B137" s="38" t="s">
        <v>867</v>
      </c>
      <c r="C137" s="38" t="s">
        <v>773</v>
      </c>
      <c r="D137" s="38"/>
      <c r="E137" s="38" t="s">
        <v>896</v>
      </c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</row>
    <row r="138" hidden="1" spans="1:82">
      <c r="A138" s="38" t="s">
        <v>901</v>
      </c>
      <c r="B138" s="38" t="s">
        <v>864</v>
      </c>
      <c r="C138" s="38" t="s">
        <v>779</v>
      </c>
      <c r="D138" s="38"/>
      <c r="E138" s="38" t="s">
        <v>896</v>
      </c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</row>
    <row r="139" hidden="1" spans="1:82">
      <c r="A139" s="38"/>
      <c r="B139" s="38" t="s">
        <v>866</v>
      </c>
      <c r="C139" s="38" t="s">
        <v>773</v>
      </c>
      <c r="D139" s="38"/>
      <c r="E139" s="38" t="s">
        <v>896</v>
      </c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</row>
    <row r="140" hidden="1" spans="1:82">
      <c r="A140" s="38"/>
      <c r="B140" s="38" t="s">
        <v>867</v>
      </c>
      <c r="C140" s="38" t="s">
        <v>773</v>
      </c>
      <c r="D140" s="38"/>
      <c r="E140" s="38" t="s">
        <v>896</v>
      </c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</row>
    <row r="141" hidden="1" spans="1:82">
      <c r="A141" s="38" t="s">
        <v>902</v>
      </c>
      <c r="B141" s="70" t="s">
        <v>864</v>
      </c>
      <c r="C141" s="38" t="s">
        <v>779</v>
      </c>
      <c r="D141" s="38" t="s">
        <v>903</v>
      </c>
      <c r="E141" s="38" t="s">
        <v>896</v>
      </c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</row>
    <row r="142" hidden="1" spans="1:82">
      <c r="A142" s="38"/>
      <c r="B142" s="70" t="s">
        <v>866</v>
      </c>
      <c r="C142" s="38" t="s">
        <v>773</v>
      </c>
      <c r="D142" s="38" t="s">
        <v>903</v>
      </c>
      <c r="E142" s="38" t="s">
        <v>896</v>
      </c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</row>
    <row r="143" hidden="1" spans="1:82">
      <c r="A143" s="38"/>
      <c r="B143" s="70" t="s">
        <v>867</v>
      </c>
      <c r="C143" s="38" t="s">
        <v>773</v>
      </c>
      <c r="D143" s="71" t="s">
        <v>903</v>
      </c>
      <c r="E143" s="38" t="s">
        <v>896</v>
      </c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</row>
    <row r="144" spans="1:8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</row>
    <row r="145" spans="1:8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</row>
    <row r="146" spans="1:8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</row>
    <row r="147" spans="1:8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</row>
    <row r="148" spans="1:8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</row>
    <row r="149" spans="1:8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</row>
    <row r="150" spans="1:8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</row>
    <row r="151" spans="1:8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</row>
    <row r="152" spans="1:8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</row>
    <row r="153" spans="1:8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</row>
    <row r="154" spans="1:8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</row>
    <row r="155" spans="1:8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</row>
    <row r="156" spans="1:8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</row>
    <row r="157" spans="1:8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</row>
    <row r="158" spans="1:8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</row>
    <row r="159" spans="1:8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</row>
    <row r="160" spans="1:8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</row>
    <row r="161" spans="1:8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</row>
    <row r="162" spans="1:8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</row>
    <row r="163" spans="1:8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</row>
    <row r="164" spans="1:8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</row>
    <row r="165" spans="1:8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</row>
    <row r="166" spans="1:8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</row>
    <row r="167" spans="1:8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</row>
    <row r="168" spans="1:8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</row>
    <row r="169" spans="1:8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</row>
    <row r="170" spans="1:8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</row>
    <row r="171" spans="1:8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</row>
    <row r="172" spans="1:8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</row>
    <row r="173" spans="1:8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</row>
    <row r="174" spans="1:8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</row>
    <row r="175" spans="1:8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</row>
    <row r="176" spans="1:8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</row>
    <row r="177" spans="1:8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</row>
    <row r="178" spans="1:8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</row>
    <row r="179" spans="1:8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</row>
    <row r="180" spans="1:8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</row>
    <row r="181" spans="1:8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</row>
    <row r="182" spans="1: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</row>
    <row r="183" spans="1:8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</row>
    <row r="184" spans="1:8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</row>
    <row r="185" spans="1:8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</row>
    <row r="186" spans="1:8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</row>
    <row r="187" spans="1:8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</row>
    <row r="188" spans="1:8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</row>
    <row r="189" spans="1:8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</row>
    <row r="190" spans="1:8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</row>
    <row r="191" spans="1:8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</row>
    <row r="192" spans="1:8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</row>
    <row r="193" spans="1:8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</row>
    <row r="194" spans="1:8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</row>
    <row r="195" spans="1:8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</row>
    <row r="196" spans="1:8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</row>
    <row r="197" spans="1:8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</row>
    <row r="198" spans="1:8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</row>
    <row r="199" spans="1:8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</row>
    <row r="200" spans="1:8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</row>
  </sheetData>
  <autoFilter ref="A1:CD143">
    <filterColumn colId="4">
      <customFilters>
        <customFilter operator="equal" val="Baidu"/>
      </customFilters>
    </filterColumn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9"/>
  <sheetViews>
    <sheetView workbookViewId="0">
      <selection activeCell="A1" sqref="A1:A2"/>
    </sheetView>
  </sheetViews>
  <sheetFormatPr defaultColWidth="11" defaultRowHeight="17.6"/>
  <cols>
    <col min="1" max="1" width="10.8303571428571" customWidth="1"/>
    <col min="2" max="2" width="36.8303571428571" customWidth="1"/>
    <col min="3" max="6" width="11" hidden="1" customWidth="1"/>
    <col min="7" max="11" width="8.83035714285714" customWidth="1"/>
    <col min="12" max="12" width="9.5" customWidth="1"/>
    <col min="13" max="18" width="8.83035714285714" customWidth="1"/>
  </cols>
  <sheetData>
    <row r="1" spans="1:18">
      <c r="A1" s="30" t="s">
        <v>904</v>
      </c>
      <c r="B1" s="31" t="s">
        <v>905</v>
      </c>
      <c r="C1" s="32" t="s">
        <v>906</v>
      </c>
      <c r="D1" s="33"/>
      <c r="E1" s="33"/>
      <c r="F1" s="33"/>
      <c r="G1" s="33"/>
      <c r="H1" s="33"/>
      <c r="I1" s="33"/>
      <c r="J1" s="33"/>
      <c r="K1" s="33"/>
      <c r="L1" s="39" t="s">
        <v>907</v>
      </c>
      <c r="M1" s="43"/>
      <c r="N1" s="43"/>
      <c r="O1" s="43"/>
      <c r="P1" s="43"/>
      <c r="Q1" s="43"/>
      <c r="R1" s="43"/>
    </row>
    <row r="2" spans="1:18">
      <c r="A2" s="30"/>
      <c r="B2" s="34"/>
      <c r="C2" s="35" t="s">
        <v>97</v>
      </c>
      <c r="D2" s="36" t="s">
        <v>27</v>
      </c>
      <c r="E2" s="36" t="s">
        <v>28</v>
      </c>
      <c r="F2" s="36" t="s">
        <v>29</v>
      </c>
      <c r="G2" s="36" t="s">
        <v>30</v>
      </c>
      <c r="H2" s="36" t="s">
        <v>31</v>
      </c>
      <c r="I2" s="36" t="s">
        <v>32</v>
      </c>
      <c r="J2" s="36" t="s">
        <v>625</v>
      </c>
      <c r="K2" s="40" t="s">
        <v>908</v>
      </c>
      <c r="L2" s="41"/>
      <c r="M2" s="43"/>
      <c r="N2" s="43"/>
      <c r="O2" s="43"/>
      <c r="P2" s="43"/>
      <c r="Q2" s="43"/>
      <c r="R2" s="43"/>
    </row>
    <row r="3" ht="13" customHeight="1" spans="1:18">
      <c r="A3" s="37" t="s">
        <v>909</v>
      </c>
      <c r="B3" s="6" t="s">
        <v>910</v>
      </c>
      <c r="C3" s="38"/>
      <c r="D3" s="38"/>
      <c r="E3" s="38"/>
      <c r="F3" s="38"/>
      <c r="G3" s="38" t="s">
        <v>911</v>
      </c>
      <c r="H3" s="38" t="s">
        <v>911</v>
      </c>
      <c r="I3" s="38" t="s">
        <v>911</v>
      </c>
      <c r="J3" s="38"/>
      <c r="K3" s="38"/>
      <c r="L3" s="42"/>
      <c r="M3" s="43"/>
      <c r="N3" s="43"/>
      <c r="O3" s="43"/>
      <c r="P3" s="43"/>
      <c r="Q3" s="43"/>
      <c r="R3" s="43"/>
    </row>
    <row r="4" spans="1:18">
      <c r="A4" s="37"/>
      <c r="B4" s="6" t="s">
        <v>912</v>
      </c>
      <c r="C4" s="38"/>
      <c r="D4" s="38"/>
      <c r="E4" s="38"/>
      <c r="F4" s="38"/>
      <c r="G4" s="38" t="s">
        <v>913</v>
      </c>
      <c r="H4" s="38" t="s">
        <v>913</v>
      </c>
      <c r="I4" s="38" t="s">
        <v>913</v>
      </c>
      <c r="J4" s="38"/>
      <c r="K4" s="38"/>
      <c r="L4" s="42"/>
      <c r="M4" s="43"/>
      <c r="N4" s="43"/>
      <c r="O4" s="43"/>
      <c r="P4" s="43"/>
      <c r="Q4" s="43"/>
      <c r="R4" s="43"/>
    </row>
    <row r="5" spans="1:18">
      <c r="A5" s="37"/>
      <c r="B5" s="6" t="s">
        <v>914</v>
      </c>
      <c r="C5" s="38"/>
      <c r="D5" s="38"/>
      <c r="E5" s="38"/>
      <c r="F5" s="38"/>
      <c r="G5" s="38" t="s">
        <v>915</v>
      </c>
      <c r="H5" s="38" t="s">
        <v>915</v>
      </c>
      <c r="I5" s="38" t="s">
        <v>915</v>
      </c>
      <c r="J5" s="38"/>
      <c r="K5" s="38"/>
      <c r="L5" s="42"/>
      <c r="M5" s="43"/>
      <c r="N5" s="43"/>
      <c r="O5" s="43"/>
      <c r="P5" s="43"/>
      <c r="Q5" s="43"/>
      <c r="R5" s="43"/>
    </row>
    <row r="6" spans="1:18">
      <c r="A6" s="37"/>
      <c r="B6" s="6" t="s">
        <v>916</v>
      </c>
      <c r="C6" s="38"/>
      <c r="D6" s="38"/>
      <c r="E6" s="38"/>
      <c r="F6" s="38"/>
      <c r="G6" s="38" t="s">
        <v>917</v>
      </c>
      <c r="H6" s="38" t="s">
        <v>917</v>
      </c>
      <c r="I6" s="38" t="s">
        <v>917</v>
      </c>
      <c r="J6" s="38"/>
      <c r="K6" s="38"/>
      <c r="L6" s="42"/>
      <c r="M6" s="43"/>
      <c r="N6" s="43"/>
      <c r="O6" s="43"/>
      <c r="P6" s="43"/>
      <c r="Q6" s="43"/>
      <c r="R6" s="43"/>
    </row>
    <row r="7" spans="1:18">
      <c r="A7" s="37"/>
      <c r="B7" s="6" t="s">
        <v>918</v>
      </c>
      <c r="C7" s="38"/>
      <c r="D7" s="38"/>
      <c r="E7" s="38"/>
      <c r="F7" s="38"/>
      <c r="G7" s="38" t="s">
        <v>919</v>
      </c>
      <c r="H7" s="38" t="s">
        <v>919</v>
      </c>
      <c r="I7" s="38" t="s">
        <v>919</v>
      </c>
      <c r="J7" s="38"/>
      <c r="K7" s="38"/>
      <c r="L7" s="42"/>
      <c r="M7" s="43"/>
      <c r="N7" s="43"/>
      <c r="O7" s="43"/>
      <c r="P7" s="43"/>
      <c r="Q7" s="43"/>
      <c r="R7" s="43"/>
    </row>
    <row r="8" spans="1:18">
      <c r="A8" s="37"/>
      <c r="B8" s="6" t="s">
        <v>920</v>
      </c>
      <c r="C8" s="38"/>
      <c r="D8" s="38"/>
      <c r="E8" s="38"/>
      <c r="F8" s="38"/>
      <c r="G8" s="38" t="s">
        <v>921</v>
      </c>
      <c r="H8" s="38" t="s">
        <v>921</v>
      </c>
      <c r="I8" s="38" t="s">
        <v>921</v>
      </c>
      <c r="J8" s="38"/>
      <c r="K8" s="38"/>
      <c r="L8" s="42"/>
      <c r="M8" s="43"/>
      <c r="N8" s="43"/>
      <c r="O8" s="43"/>
      <c r="P8" s="43"/>
      <c r="Q8" s="43"/>
      <c r="R8" s="43"/>
    </row>
    <row r="9" spans="1:18">
      <c r="A9" s="37"/>
      <c r="B9" s="6" t="s">
        <v>922</v>
      </c>
      <c r="C9" s="38"/>
      <c r="D9" s="38"/>
      <c r="E9" s="38"/>
      <c r="F9" s="38"/>
      <c r="G9" s="38" t="s">
        <v>923</v>
      </c>
      <c r="H9" s="38" t="s">
        <v>923</v>
      </c>
      <c r="I9" s="38" t="s">
        <v>923</v>
      </c>
      <c r="J9" s="38"/>
      <c r="K9" s="38"/>
      <c r="L9" s="42"/>
      <c r="M9" s="43"/>
      <c r="N9" s="43"/>
      <c r="O9" s="43"/>
      <c r="P9" s="43"/>
      <c r="Q9" s="43"/>
      <c r="R9" s="43"/>
    </row>
    <row r="10" spans="1:18">
      <c r="A10" s="37"/>
      <c r="B10" s="6" t="s">
        <v>924</v>
      </c>
      <c r="C10" s="38"/>
      <c r="D10" s="38"/>
      <c r="E10" s="38"/>
      <c r="F10" s="38"/>
      <c r="G10" s="38" t="s">
        <v>925</v>
      </c>
      <c r="H10" s="38" t="s">
        <v>925</v>
      </c>
      <c r="I10" s="38" t="s">
        <v>925</v>
      </c>
      <c r="J10" s="38"/>
      <c r="K10" s="38"/>
      <c r="L10" s="42"/>
      <c r="M10" s="43"/>
      <c r="N10" s="43"/>
      <c r="O10" s="43"/>
      <c r="P10" s="43"/>
      <c r="Q10" s="43"/>
      <c r="R10" s="43"/>
    </row>
    <row r="11" spans="1:18">
      <c r="A11" s="37"/>
      <c r="B11" s="6" t="s">
        <v>926</v>
      </c>
      <c r="C11" s="38"/>
      <c r="D11" s="38"/>
      <c r="E11" s="38"/>
      <c r="F11" s="38"/>
      <c r="G11" s="38" t="s">
        <v>927</v>
      </c>
      <c r="H11" s="38" t="s">
        <v>927</v>
      </c>
      <c r="I11" s="38" t="s">
        <v>927</v>
      </c>
      <c r="J11" s="38"/>
      <c r="K11" s="38"/>
      <c r="L11" s="42"/>
      <c r="M11" s="43"/>
      <c r="N11" s="43"/>
      <c r="O11" s="43"/>
      <c r="P11" s="43"/>
      <c r="Q11" s="43"/>
      <c r="R11" s="43"/>
    </row>
    <row r="12" spans="1:18">
      <c r="A12" s="37"/>
      <c r="B12" s="6" t="s">
        <v>928</v>
      </c>
      <c r="C12" s="38"/>
      <c r="D12" s="38"/>
      <c r="E12" s="38"/>
      <c r="F12" s="38"/>
      <c r="G12" s="38" t="s">
        <v>929</v>
      </c>
      <c r="H12" s="38" t="s">
        <v>929</v>
      </c>
      <c r="I12" s="38" t="s">
        <v>929</v>
      </c>
      <c r="J12" s="38"/>
      <c r="K12" s="38"/>
      <c r="L12" s="42"/>
      <c r="M12" s="43"/>
      <c r="N12" s="43"/>
      <c r="O12" s="43"/>
      <c r="P12" s="43"/>
      <c r="Q12" s="43"/>
      <c r="R12" s="43"/>
    </row>
    <row r="13" spans="1:18">
      <c r="A13" s="37"/>
      <c r="B13" s="6" t="s">
        <v>930</v>
      </c>
      <c r="C13" s="38"/>
      <c r="D13" s="38"/>
      <c r="E13" s="38"/>
      <c r="F13" s="38"/>
      <c r="G13" s="38" t="s">
        <v>931</v>
      </c>
      <c r="H13" s="38" t="s">
        <v>931</v>
      </c>
      <c r="I13" s="38" t="s">
        <v>931</v>
      </c>
      <c r="J13" s="38"/>
      <c r="K13" s="38"/>
      <c r="L13" s="42"/>
      <c r="M13" s="43"/>
      <c r="N13" s="43"/>
      <c r="O13" s="43"/>
      <c r="P13" s="43"/>
      <c r="Q13" s="43"/>
      <c r="R13" s="43"/>
    </row>
    <row r="14" spans="1:18">
      <c r="A14" s="37"/>
      <c r="B14" s="6" t="s">
        <v>932</v>
      </c>
      <c r="C14" s="38"/>
      <c r="D14" s="38"/>
      <c r="E14" s="38"/>
      <c r="F14" s="38"/>
      <c r="G14" s="38" t="s">
        <v>933</v>
      </c>
      <c r="H14" s="38" t="s">
        <v>933</v>
      </c>
      <c r="I14" s="38" t="s">
        <v>933</v>
      </c>
      <c r="J14" s="38"/>
      <c r="K14" s="38"/>
      <c r="L14" s="42"/>
      <c r="M14" s="43"/>
      <c r="N14" s="43"/>
      <c r="O14" s="43"/>
      <c r="P14" s="43"/>
      <c r="Q14" s="43"/>
      <c r="R14" s="43"/>
    </row>
    <row r="15" spans="1:18">
      <c r="A15" s="37"/>
      <c r="B15" s="6" t="s">
        <v>934</v>
      </c>
      <c r="C15" s="38"/>
      <c r="D15" s="38"/>
      <c r="E15" s="38"/>
      <c r="F15" s="38"/>
      <c r="G15" s="38" t="s">
        <v>935</v>
      </c>
      <c r="H15" s="38" t="s">
        <v>935</v>
      </c>
      <c r="I15" s="38" t="s">
        <v>935</v>
      </c>
      <c r="J15" s="38"/>
      <c r="K15" s="38"/>
      <c r="L15" s="42"/>
      <c r="M15" s="43"/>
      <c r="N15" s="43"/>
      <c r="O15" s="43"/>
      <c r="P15" s="43"/>
      <c r="Q15" s="43"/>
      <c r="R15" s="43"/>
    </row>
    <row r="16" spans="1:18">
      <c r="A16" s="37"/>
      <c r="B16" s="6" t="s">
        <v>936</v>
      </c>
      <c r="C16" s="38"/>
      <c r="D16" s="38"/>
      <c r="E16" s="38"/>
      <c r="F16" s="38"/>
      <c r="G16" s="38" t="s">
        <v>937</v>
      </c>
      <c r="H16" s="38" t="s">
        <v>937</v>
      </c>
      <c r="I16" s="38" t="s">
        <v>937</v>
      </c>
      <c r="J16" s="38"/>
      <c r="K16" s="38"/>
      <c r="L16" s="42"/>
      <c r="M16" s="43"/>
      <c r="N16" s="43"/>
      <c r="O16" s="43"/>
      <c r="P16" s="43"/>
      <c r="Q16" s="43"/>
      <c r="R16" s="43"/>
    </row>
    <row r="17" spans="1:18">
      <c r="A17" s="37"/>
      <c r="B17" s="6" t="s">
        <v>938</v>
      </c>
      <c r="C17" s="38"/>
      <c r="D17" s="38"/>
      <c r="E17" s="38"/>
      <c r="F17" s="38"/>
      <c r="G17" s="38" t="s">
        <v>939</v>
      </c>
      <c r="H17" s="38" t="s">
        <v>939</v>
      </c>
      <c r="I17" s="38" t="s">
        <v>939</v>
      </c>
      <c r="J17" s="38"/>
      <c r="K17" s="38"/>
      <c r="L17" s="42"/>
      <c r="M17" s="43"/>
      <c r="N17" s="43"/>
      <c r="O17" s="43"/>
      <c r="P17" s="43"/>
      <c r="Q17" s="43"/>
      <c r="R17" s="43"/>
    </row>
    <row r="18" spans="1:18">
      <c r="A18" s="37"/>
      <c r="B18" s="6" t="s">
        <v>940</v>
      </c>
      <c r="C18" s="38"/>
      <c r="D18" s="38"/>
      <c r="E18" s="38"/>
      <c r="F18" s="38"/>
      <c r="G18" s="38" t="s">
        <v>913</v>
      </c>
      <c r="H18" s="38" t="s">
        <v>913</v>
      </c>
      <c r="I18" s="38" t="s">
        <v>913</v>
      </c>
      <c r="J18" s="38"/>
      <c r="K18" s="38"/>
      <c r="L18" s="42"/>
      <c r="M18" s="43"/>
      <c r="N18" s="43"/>
      <c r="O18" s="43"/>
      <c r="P18" s="43"/>
      <c r="Q18" s="43"/>
      <c r="R18" s="43"/>
    </row>
    <row r="19" spans="1:18">
      <c r="A19" s="37"/>
      <c r="B19" s="6" t="s">
        <v>941</v>
      </c>
      <c r="C19" s="38"/>
      <c r="D19" s="38"/>
      <c r="E19" s="38"/>
      <c r="F19" s="38"/>
      <c r="G19" s="38" t="s">
        <v>942</v>
      </c>
      <c r="H19" s="38" t="s">
        <v>942</v>
      </c>
      <c r="I19" s="38" t="s">
        <v>942</v>
      </c>
      <c r="J19" s="38"/>
      <c r="K19" s="38"/>
      <c r="L19" s="42"/>
      <c r="M19" s="43"/>
      <c r="N19" s="43"/>
      <c r="O19" s="43"/>
      <c r="P19" s="43"/>
      <c r="Q19" s="43"/>
      <c r="R19" s="43"/>
    </row>
    <row r="20" spans="1:18">
      <c r="A20" s="37"/>
      <c r="B20" s="6" t="s">
        <v>943</v>
      </c>
      <c r="C20" s="38"/>
      <c r="D20" s="38"/>
      <c r="E20" s="38"/>
      <c r="F20" s="38"/>
      <c r="G20" s="38" t="s">
        <v>919</v>
      </c>
      <c r="H20" s="38" t="s">
        <v>919</v>
      </c>
      <c r="I20" s="38" t="s">
        <v>919</v>
      </c>
      <c r="J20" s="38"/>
      <c r="K20" s="38"/>
      <c r="L20" s="42"/>
      <c r="M20" s="43"/>
      <c r="N20" s="43"/>
      <c r="O20" s="43"/>
      <c r="P20" s="43"/>
      <c r="Q20" s="43"/>
      <c r="R20" s="43"/>
    </row>
    <row r="21" spans="1:18">
      <c r="A21" s="37"/>
      <c r="B21" s="6" t="s">
        <v>944</v>
      </c>
      <c r="C21" s="38"/>
      <c r="D21" s="38"/>
      <c r="E21" s="38"/>
      <c r="F21" s="38"/>
      <c r="G21" s="38" t="s">
        <v>945</v>
      </c>
      <c r="H21" s="38" t="s">
        <v>945</v>
      </c>
      <c r="I21" s="38" t="s">
        <v>945</v>
      </c>
      <c r="J21" s="38"/>
      <c r="K21" s="38"/>
      <c r="L21" s="42"/>
      <c r="M21" s="43"/>
      <c r="N21" s="43"/>
      <c r="O21" s="43"/>
      <c r="P21" s="43"/>
      <c r="Q21" s="43"/>
      <c r="R21" s="43"/>
    </row>
    <row r="22" spans="1:18">
      <c r="A22" s="37"/>
      <c r="B22" s="6" t="s">
        <v>946</v>
      </c>
      <c r="C22" s="38"/>
      <c r="D22" s="38"/>
      <c r="E22" s="38"/>
      <c r="F22" s="38"/>
      <c r="G22" s="38" t="s">
        <v>945</v>
      </c>
      <c r="H22" s="38" t="s">
        <v>945</v>
      </c>
      <c r="I22" s="38" t="s">
        <v>945</v>
      </c>
      <c r="J22" s="38"/>
      <c r="K22" s="38"/>
      <c r="L22" s="42"/>
      <c r="M22" s="43"/>
      <c r="N22" s="43"/>
      <c r="O22" s="43"/>
      <c r="P22" s="43"/>
      <c r="Q22" s="43"/>
      <c r="R22" s="43"/>
    </row>
    <row r="23" spans="1:18">
      <c r="A23" s="37"/>
      <c r="B23" s="6" t="s">
        <v>947</v>
      </c>
      <c r="C23" s="38"/>
      <c r="D23" s="38"/>
      <c r="E23" s="38"/>
      <c r="F23" s="38"/>
      <c r="G23" s="38" t="s">
        <v>948</v>
      </c>
      <c r="H23" s="38" t="s">
        <v>948</v>
      </c>
      <c r="I23" s="38" t="s">
        <v>948</v>
      </c>
      <c r="J23" s="38"/>
      <c r="K23" s="38"/>
      <c r="L23" s="42"/>
      <c r="M23" s="43"/>
      <c r="N23" s="43"/>
      <c r="O23" s="43"/>
      <c r="P23" s="43"/>
      <c r="Q23" s="43"/>
      <c r="R23" s="43"/>
    </row>
    <row r="24" spans="1:18">
      <c r="A24" s="37"/>
      <c r="B24" s="6" t="s">
        <v>949</v>
      </c>
      <c r="C24" s="38"/>
      <c r="D24" s="38"/>
      <c r="E24" s="38"/>
      <c r="F24" s="38"/>
      <c r="G24" s="38" t="s">
        <v>950</v>
      </c>
      <c r="H24" s="38" t="s">
        <v>950</v>
      </c>
      <c r="I24" s="38" t="s">
        <v>950</v>
      </c>
      <c r="J24" s="38"/>
      <c r="K24" s="38"/>
      <c r="L24" s="42"/>
      <c r="M24" s="43"/>
      <c r="N24" s="43"/>
      <c r="O24" s="43"/>
      <c r="P24" s="43"/>
      <c r="Q24" s="43"/>
      <c r="R24" s="43"/>
    </row>
    <row r="25" spans="1:18">
      <c r="A25" s="37"/>
      <c r="B25" s="6" t="s">
        <v>951</v>
      </c>
      <c r="C25" s="38"/>
      <c r="D25" s="38"/>
      <c r="E25" s="38"/>
      <c r="F25" s="38"/>
      <c r="G25" s="38" t="s">
        <v>911</v>
      </c>
      <c r="H25" s="38" t="s">
        <v>911</v>
      </c>
      <c r="I25" s="38" t="s">
        <v>911</v>
      </c>
      <c r="J25" s="38"/>
      <c r="K25" s="38"/>
      <c r="L25" s="42"/>
      <c r="M25" s="43"/>
      <c r="N25" s="43"/>
      <c r="O25" s="43"/>
      <c r="P25" s="43"/>
      <c r="Q25" s="43"/>
      <c r="R25" s="43"/>
    </row>
    <row r="26" spans="1:18">
      <c r="A26" s="37"/>
      <c r="B26" s="6" t="s">
        <v>952</v>
      </c>
      <c r="C26" s="38"/>
      <c r="D26" s="38"/>
      <c r="E26" s="38"/>
      <c r="F26" s="38"/>
      <c r="G26" s="38" t="s">
        <v>953</v>
      </c>
      <c r="H26" s="38" t="s">
        <v>953</v>
      </c>
      <c r="I26" s="38" t="s">
        <v>953</v>
      </c>
      <c r="J26" s="38"/>
      <c r="K26" s="38"/>
      <c r="L26" s="42"/>
      <c r="M26" s="43"/>
      <c r="N26" s="43"/>
      <c r="O26" s="43"/>
      <c r="P26" s="43"/>
      <c r="Q26" s="43"/>
      <c r="R26" s="43"/>
    </row>
    <row r="27" spans="1:18">
      <c r="A27" s="37"/>
      <c r="B27" s="6" t="s">
        <v>954</v>
      </c>
      <c r="C27" s="38"/>
      <c r="D27" s="38"/>
      <c r="E27" s="38"/>
      <c r="F27" s="38"/>
      <c r="G27" s="38" t="s">
        <v>955</v>
      </c>
      <c r="H27" s="38" t="s">
        <v>955</v>
      </c>
      <c r="I27" s="38" t="s">
        <v>955</v>
      </c>
      <c r="J27" s="38"/>
      <c r="K27" s="38"/>
      <c r="L27" s="42"/>
      <c r="M27" s="43"/>
      <c r="N27" s="43"/>
      <c r="O27" s="43"/>
      <c r="P27" s="43"/>
      <c r="Q27" s="43"/>
      <c r="R27" s="43"/>
    </row>
    <row r="28" spans="1:18">
      <c r="A28" s="37"/>
      <c r="B28" s="6" t="s">
        <v>956</v>
      </c>
      <c r="C28" s="38"/>
      <c r="D28" s="38"/>
      <c r="E28" s="38"/>
      <c r="F28" s="38"/>
      <c r="G28" s="38" t="s">
        <v>955</v>
      </c>
      <c r="H28" s="38" t="s">
        <v>955</v>
      </c>
      <c r="I28" s="38" t="s">
        <v>955</v>
      </c>
      <c r="J28" s="38"/>
      <c r="K28" s="38"/>
      <c r="L28" s="42"/>
      <c r="M28" s="43"/>
      <c r="N28" s="43"/>
      <c r="O28" s="43"/>
      <c r="P28" s="43"/>
      <c r="Q28" s="43"/>
      <c r="R28" s="43"/>
    </row>
    <row r="29" spans="1:18">
      <c r="A29" s="37"/>
      <c r="B29" s="6" t="s">
        <v>957</v>
      </c>
      <c r="C29" s="38"/>
      <c r="D29" s="38"/>
      <c r="E29" s="38"/>
      <c r="F29" s="38"/>
      <c r="G29" s="38" t="s">
        <v>958</v>
      </c>
      <c r="H29" s="38" t="s">
        <v>958</v>
      </c>
      <c r="I29" s="38" t="s">
        <v>958</v>
      </c>
      <c r="J29" s="38"/>
      <c r="K29" s="38"/>
      <c r="L29" s="42"/>
      <c r="M29" s="43"/>
      <c r="N29" s="43"/>
      <c r="O29" s="43"/>
      <c r="P29" s="43"/>
      <c r="Q29" s="43"/>
      <c r="R29" s="43"/>
    </row>
    <row r="30" spans="1:18">
      <c r="A30" s="37"/>
      <c r="B30" s="6" t="s">
        <v>959</v>
      </c>
      <c r="C30" s="38"/>
      <c r="D30" s="38"/>
      <c r="E30" s="38"/>
      <c r="F30" s="38"/>
      <c r="G30" s="38" t="s">
        <v>960</v>
      </c>
      <c r="H30" s="38" t="s">
        <v>960</v>
      </c>
      <c r="I30" s="38" t="s">
        <v>960</v>
      </c>
      <c r="J30" s="38"/>
      <c r="K30" s="38"/>
      <c r="L30" s="42"/>
      <c r="M30" s="43"/>
      <c r="N30" s="43"/>
      <c r="O30" s="43"/>
      <c r="P30" s="43"/>
      <c r="Q30" s="43"/>
      <c r="R30" s="43"/>
    </row>
    <row r="31" spans="1:18">
      <c r="A31" s="37"/>
      <c r="B31" s="6" t="s">
        <v>961</v>
      </c>
      <c r="C31" s="38"/>
      <c r="D31" s="38"/>
      <c r="E31" s="38"/>
      <c r="F31" s="38"/>
      <c r="G31" s="38" t="s">
        <v>960</v>
      </c>
      <c r="H31" s="38" t="s">
        <v>960</v>
      </c>
      <c r="I31" s="38" t="s">
        <v>960</v>
      </c>
      <c r="J31" s="38"/>
      <c r="K31" s="38"/>
      <c r="L31" s="42"/>
      <c r="M31" s="43"/>
      <c r="N31" s="43"/>
      <c r="O31" s="43"/>
      <c r="P31" s="43"/>
      <c r="Q31" s="43"/>
      <c r="R31" s="43"/>
    </row>
    <row r="32" spans="1:18">
      <c r="A32" s="37"/>
      <c r="B32" s="6" t="s">
        <v>962</v>
      </c>
      <c r="C32" s="38"/>
      <c r="D32" s="38"/>
      <c r="E32" s="38"/>
      <c r="F32" s="38"/>
      <c r="G32" s="38" t="s">
        <v>955</v>
      </c>
      <c r="H32" s="38" t="s">
        <v>955</v>
      </c>
      <c r="I32" s="38" t="s">
        <v>955</v>
      </c>
      <c r="J32" s="38"/>
      <c r="K32" s="38"/>
      <c r="L32" s="42"/>
      <c r="M32" s="43"/>
      <c r="N32" s="43"/>
      <c r="O32" s="43"/>
      <c r="P32" s="43"/>
      <c r="Q32" s="43"/>
      <c r="R32" s="43"/>
    </row>
    <row r="33" spans="1:18">
      <c r="A33" s="37"/>
      <c r="B33" s="6" t="s">
        <v>963</v>
      </c>
      <c r="C33" s="38"/>
      <c r="D33" s="38"/>
      <c r="E33" s="38"/>
      <c r="F33" s="38"/>
      <c r="G33" s="38" t="s">
        <v>964</v>
      </c>
      <c r="H33" s="38" t="s">
        <v>964</v>
      </c>
      <c r="I33" s="38" t="s">
        <v>964</v>
      </c>
      <c r="J33" s="38"/>
      <c r="K33" s="38"/>
      <c r="L33" s="42"/>
      <c r="M33" s="43"/>
      <c r="N33" s="43"/>
      <c r="O33" s="43"/>
      <c r="P33" s="43"/>
      <c r="Q33" s="43"/>
      <c r="R33" s="43"/>
    </row>
    <row r="34" spans="1:18">
      <c r="A34" s="37"/>
      <c r="B34" s="6" t="s">
        <v>965</v>
      </c>
      <c r="C34" s="38"/>
      <c r="D34" s="38"/>
      <c r="E34" s="38"/>
      <c r="F34" s="38"/>
      <c r="G34" s="38" t="s">
        <v>966</v>
      </c>
      <c r="H34" s="38" t="s">
        <v>966</v>
      </c>
      <c r="I34" s="38" t="s">
        <v>966</v>
      </c>
      <c r="J34" s="38"/>
      <c r="K34" s="38"/>
      <c r="L34" s="42"/>
      <c r="M34" s="43"/>
      <c r="N34" s="43"/>
      <c r="O34" s="43"/>
      <c r="P34" s="43"/>
      <c r="Q34" s="43"/>
      <c r="R34" s="43"/>
    </row>
    <row r="35" spans="1:18">
      <c r="A35" s="37"/>
      <c r="B35" s="6" t="s">
        <v>967</v>
      </c>
      <c r="C35" s="38"/>
      <c r="D35" s="38"/>
      <c r="E35" s="38"/>
      <c r="F35" s="38"/>
      <c r="G35" s="38" t="s">
        <v>968</v>
      </c>
      <c r="H35" s="38" t="s">
        <v>968</v>
      </c>
      <c r="I35" s="38" t="s">
        <v>968</v>
      </c>
      <c r="J35" s="38"/>
      <c r="K35" s="38"/>
      <c r="L35" s="42"/>
      <c r="M35" s="43"/>
      <c r="N35" s="43"/>
      <c r="O35" s="43"/>
      <c r="P35" s="43"/>
      <c r="Q35" s="43"/>
      <c r="R35" s="43"/>
    </row>
    <row r="36" spans="1:18">
      <c r="A36" s="37"/>
      <c r="B36" s="6" t="s">
        <v>969</v>
      </c>
      <c r="C36" s="38"/>
      <c r="D36" s="38"/>
      <c r="E36" s="38"/>
      <c r="F36" s="38"/>
      <c r="G36" s="38" t="s">
        <v>911</v>
      </c>
      <c r="H36" s="38" t="s">
        <v>911</v>
      </c>
      <c r="I36" s="38" t="s">
        <v>911</v>
      </c>
      <c r="J36" s="38"/>
      <c r="K36" s="38"/>
      <c r="L36" s="42"/>
      <c r="M36" s="43"/>
      <c r="N36" s="43"/>
      <c r="O36" s="43"/>
      <c r="P36" s="43"/>
      <c r="Q36" s="43"/>
      <c r="R36" s="43"/>
    </row>
    <row r="37" spans="1:18">
      <c r="A37" s="37"/>
      <c r="B37" s="6" t="s">
        <v>970</v>
      </c>
      <c r="C37" s="38"/>
      <c r="D37" s="38"/>
      <c r="E37" s="38"/>
      <c r="F37" s="38"/>
      <c r="G37" s="38" t="s">
        <v>913</v>
      </c>
      <c r="H37" s="38" t="s">
        <v>913</v>
      </c>
      <c r="I37" s="38" t="s">
        <v>913</v>
      </c>
      <c r="J37" s="38"/>
      <c r="K37" s="38"/>
      <c r="L37" s="42"/>
      <c r="M37" s="43"/>
      <c r="N37" s="43"/>
      <c r="O37" s="43"/>
      <c r="P37" s="43"/>
      <c r="Q37" s="43"/>
      <c r="R37" s="43"/>
    </row>
    <row r="38" spans="1:18">
      <c r="A38" s="37"/>
      <c r="B38" s="6" t="s">
        <v>971</v>
      </c>
      <c r="C38" s="38"/>
      <c r="D38" s="38"/>
      <c r="E38" s="38"/>
      <c r="F38" s="38"/>
      <c r="G38" s="38" t="s">
        <v>972</v>
      </c>
      <c r="H38" s="38" t="s">
        <v>972</v>
      </c>
      <c r="I38" s="38" t="s">
        <v>972</v>
      </c>
      <c r="J38" s="38"/>
      <c r="K38" s="38"/>
      <c r="L38" s="42"/>
      <c r="M38" s="43"/>
      <c r="N38" s="43"/>
      <c r="O38" s="43"/>
      <c r="P38" s="43"/>
      <c r="Q38" s="43"/>
      <c r="R38" s="43"/>
    </row>
    <row r="39" spans="1:18">
      <c r="A39" s="37"/>
      <c r="B39" s="6" t="s">
        <v>973</v>
      </c>
      <c r="C39" s="38"/>
      <c r="D39" s="38"/>
      <c r="E39" s="38"/>
      <c r="F39" s="38"/>
      <c r="G39" s="38" t="s">
        <v>974</v>
      </c>
      <c r="H39" s="38" t="s">
        <v>974</v>
      </c>
      <c r="I39" s="38" t="s">
        <v>974</v>
      </c>
      <c r="J39" s="38"/>
      <c r="K39" s="38"/>
      <c r="L39" s="42"/>
      <c r="M39" s="43"/>
      <c r="N39" s="43"/>
      <c r="O39" s="43"/>
      <c r="P39" s="43"/>
      <c r="Q39" s="43"/>
      <c r="R39" s="43"/>
    </row>
    <row r="40" spans="1:18">
      <c r="A40" s="37"/>
      <c r="B40" s="6" t="s">
        <v>975</v>
      </c>
      <c r="C40" s="38"/>
      <c r="D40" s="38"/>
      <c r="E40" s="38"/>
      <c r="F40" s="38"/>
      <c r="G40" s="38" t="s">
        <v>976</v>
      </c>
      <c r="H40" s="38" t="s">
        <v>976</v>
      </c>
      <c r="I40" s="38" t="s">
        <v>976</v>
      </c>
      <c r="J40" s="38"/>
      <c r="K40" s="38"/>
      <c r="L40" s="42"/>
      <c r="M40" s="43"/>
      <c r="N40" s="43"/>
      <c r="O40" s="43"/>
      <c r="P40" s="43"/>
      <c r="Q40" s="43"/>
      <c r="R40" s="43"/>
    </row>
    <row r="41" spans="1:18">
      <c r="A41" s="37"/>
      <c r="B41" s="6" t="s">
        <v>977</v>
      </c>
      <c r="C41" s="38"/>
      <c r="D41" s="38"/>
      <c r="E41" s="38"/>
      <c r="F41" s="38"/>
      <c r="G41" s="38" t="s">
        <v>960</v>
      </c>
      <c r="H41" s="38" t="s">
        <v>960</v>
      </c>
      <c r="I41" s="38" t="s">
        <v>960</v>
      </c>
      <c r="J41" s="38"/>
      <c r="K41" s="38"/>
      <c r="L41" s="42"/>
      <c r="M41" s="43"/>
      <c r="N41" s="43"/>
      <c r="O41" s="43"/>
      <c r="P41" s="43"/>
      <c r="Q41" s="43"/>
      <c r="R41" s="43"/>
    </row>
    <row r="42" spans="1:18">
      <c r="A42" s="37"/>
      <c r="B42" s="6" t="s">
        <v>978</v>
      </c>
      <c r="C42" s="38"/>
      <c r="D42" s="38"/>
      <c r="E42" s="38"/>
      <c r="F42" s="38"/>
      <c r="G42" s="38" t="s">
        <v>913</v>
      </c>
      <c r="H42" s="38" t="s">
        <v>913</v>
      </c>
      <c r="I42" s="38" t="s">
        <v>913</v>
      </c>
      <c r="J42" s="38"/>
      <c r="K42" s="38"/>
      <c r="L42" s="42"/>
      <c r="M42" s="43"/>
      <c r="N42" s="43"/>
      <c r="O42" s="43"/>
      <c r="P42" s="43"/>
      <c r="Q42" s="43"/>
      <c r="R42" s="43"/>
    </row>
    <row r="43" spans="1:18">
      <c r="A43" s="37"/>
      <c r="B43" s="6" t="s">
        <v>979</v>
      </c>
      <c r="C43" s="38"/>
      <c r="D43" s="38"/>
      <c r="E43" s="38"/>
      <c r="F43" s="38"/>
      <c r="G43" s="38" t="s">
        <v>942</v>
      </c>
      <c r="H43" s="38" t="s">
        <v>942</v>
      </c>
      <c r="I43" s="38" t="s">
        <v>942</v>
      </c>
      <c r="J43" s="38"/>
      <c r="K43" s="38"/>
      <c r="L43" s="42"/>
      <c r="M43" s="43"/>
      <c r="N43" s="43"/>
      <c r="O43" s="43"/>
      <c r="P43" s="43"/>
      <c r="Q43" s="43"/>
      <c r="R43" s="43"/>
    </row>
    <row r="44" spans="1:18">
      <c r="A44" s="37"/>
      <c r="B44" s="6" t="s">
        <v>980</v>
      </c>
      <c r="C44" s="38"/>
      <c r="D44" s="38"/>
      <c r="E44" s="38"/>
      <c r="F44" s="38"/>
      <c r="G44" s="38" t="s">
        <v>981</v>
      </c>
      <c r="H44" s="38" t="s">
        <v>981</v>
      </c>
      <c r="I44" s="38" t="s">
        <v>981</v>
      </c>
      <c r="J44" s="38"/>
      <c r="K44" s="38"/>
      <c r="L44" s="42"/>
      <c r="M44" s="43"/>
      <c r="N44" s="43"/>
      <c r="O44" s="43"/>
      <c r="P44" s="43"/>
      <c r="Q44" s="43"/>
      <c r="R44" s="43"/>
    </row>
    <row r="45" spans="1:18">
      <c r="A45" s="37"/>
      <c r="B45" s="6" t="s">
        <v>982</v>
      </c>
      <c r="C45" s="38"/>
      <c r="D45" s="38"/>
      <c r="E45" s="38"/>
      <c r="F45" s="38"/>
      <c r="G45" s="38" t="s">
        <v>983</v>
      </c>
      <c r="H45" s="38" t="s">
        <v>983</v>
      </c>
      <c r="I45" s="38" t="s">
        <v>983</v>
      </c>
      <c r="J45" s="38"/>
      <c r="K45" s="38"/>
      <c r="L45" s="42"/>
      <c r="M45" s="43"/>
      <c r="N45" s="43"/>
      <c r="O45" s="43"/>
      <c r="P45" s="43"/>
      <c r="Q45" s="43"/>
      <c r="R45" s="43"/>
    </row>
    <row r="46" spans="1:18">
      <c r="A46" s="37"/>
      <c r="B46" s="6" t="s">
        <v>984</v>
      </c>
      <c r="C46" s="38"/>
      <c r="D46" s="38"/>
      <c r="E46" s="38"/>
      <c r="F46" s="38"/>
      <c r="G46" s="38" t="s">
        <v>985</v>
      </c>
      <c r="H46" s="38" t="s">
        <v>985</v>
      </c>
      <c r="I46" s="38" t="s">
        <v>985</v>
      </c>
      <c r="J46" s="38"/>
      <c r="K46" s="38"/>
      <c r="L46" s="42"/>
      <c r="M46" s="43"/>
      <c r="N46" s="43"/>
      <c r="O46" s="43"/>
      <c r="P46" s="43"/>
      <c r="Q46" s="43"/>
      <c r="R46" s="43"/>
    </row>
    <row r="47" spans="1:18">
      <c r="A47" s="37"/>
      <c r="B47" s="6" t="s">
        <v>986</v>
      </c>
      <c r="C47" s="38"/>
      <c r="D47" s="38"/>
      <c r="E47" s="38"/>
      <c r="F47" s="38"/>
      <c r="G47" s="38" t="s">
        <v>987</v>
      </c>
      <c r="H47" s="38" t="s">
        <v>987</v>
      </c>
      <c r="I47" s="38" t="s">
        <v>987</v>
      </c>
      <c r="J47" s="38"/>
      <c r="K47" s="38"/>
      <c r="L47" s="42"/>
      <c r="M47" s="43"/>
      <c r="N47" s="43"/>
      <c r="O47" s="43"/>
      <c r="P47" s="43"/>
      <c r="Q47" s="43"/>
      <c r="R47" s="43"/>
    </row>
    <row r="48" spans="1:18">
      <c r="A48" s="37"/>
      <c r="B48" s="6" t="s">
        <v>988</v>
      </c>
      <c r="C48" s="38"/>
      <c r="D48" s="38"/>
      <c r="E48" s="38"/>
      <c r="F48" s="38"/>
      <c r="G48" s="38" t="s">
        <v>911</v>
      </c>
      <c r="H48" s="38" t="s">
        <v>911</v>
      </c>
      <c r="I48" s="38" t="s">
        <v>911</v>
      </c>
      <c r="J48" s="38"/>
      <c r="K48" s="38"/>
      <c r="L48" s="42"/>
      <c r="M48" s="43"/>
      <c r="N48" s="43"/>
      <c r="O48" s="43"/>
      <c r="P48" s="43"/>
      <c r="Q48" s="43"/>
      <c r="R48" s="43"/>
    </row>
    <row r="49" spans="1:18">
      <c r="A49" s="37"/>
      <c r="B49" s="6" t="s">
        <v>989</v>
      </c>
      <c r="C49" s="38"/>
      <c r="D49" s="38"/>
      <c r="E49" s="38"/>
      <c r="F49" s="38"/>
      <c r="G49" s="38" t="s">
        <v>913</v>
      </c>
      <c r="H49" s="38" t="s">
        <v>913</v>
      </c>
      <c r="I49" s="38" t="s">
        <v>913</v>
      </c>
      <c r="J49" s="38"/>
      <c r="K49" s="38"/>
      <c r="L49" s="42"/>
      <c r="M49" s="43"/>
      <c r="N49" s="43"/>
      <c r="O49" s="43"/>
      <c r="P49" s="43"/>
      <c r="Q49" s="43"/>
      <c r="R49" s="43"/>
    </row>
    <row r="50" spans="1:18">
      <c r="A50" s="37"/>
      <c r="B50" s="6" t="s">
        <v>990</v>
      </c>
      <c r="C50" s="38"/>
      <c r="D50" s="38"/>
      <c r="E50" s="38"/>
      <c r="F50" s="38"/>
      <c r="G50" s="38" t="s">
        <v>917</v>
      </c>
      <c r="H50" s="38" t="s">
        <v>917</v>
      </c>
      <c r="I50" s="38" t="s">
        <v>917</v>
      </c>
      <c r="J50" s="38"/>
      <c r="K50" s="38"/>
      <c r="L50" s="42"/>
      <c r="M50" s="43"/>
      <c r="N50" s="43"/>
      <c r="O50" s="43"/>
      <c r="P50" s="43"/>
      <c r="Q50" s="43"/>
      <c r="R50" s="43"/>
    </row>
    <row r="51" spans="1:18">
      <c r="A51" s="37"/>
      <c r="B51" s="6" t="s">
        <v>991</v>
      </c>
      <c r="C51" s="38"/>
      <c r="D51" s="38"/>
      <c r="E51" s="38"/>
      <c r="F51" s="38"/>
      <c r="G51" s="38" t="s">
        <v>964</v>
      </c>
      <c r="H51" s="38" t="s">
        <v>964</v>
      </c>
      <c r="I51" s="38" t="s">
        <v>964</v>
      </c>
      <c r="J51" s="38"/>
      <c r="K51" s="38"/>
      <c r="L51" s="42"/>
      <c r="M51" s="43"/>
      <c r="N51" s="43"/>
      <c r="O51" s="43"/>
      <c r="P51" s="43"/>
      <c r="Q51" s="43"/>
      <c r="R51" s="43"/>
    </row>
    <row r="52" spans="1:18">
      <c r="A52" s="37"/>
      <c r="B52" s="6" t="s">
        <v>992</v>
      </c>
      <c r="C52" s="38"/>
      <c r="D52" s="38"/>
      <c r="E52" s="38"/>
      <c r="F52" s="38"/>
      <c r="G52" s="38" t="s">
        <v>950</v>
      </c>
      <c r="H52" s="38" t="s">
        <v>950</v>
      </c>
      <c r="I52" s="38" t="s">
        <v>950</v>
      </c>
      <c r="J52" s="38"/>
      <c r="K52" s="38"/>
      <c r="L52" s="42"/>
      <c r="M52" s="43"/>
      <c r="N52" s="43"/>
      <c r="O52" s="43"/>
      <c r="P52" s="43"/>
      <c r="Q52" s="43"/>
      <c r="R52" s="43"/>
    </row>
    <row r="53" spans="1:18">
      <c r="A53" s="37"/>
      <c r="B53" s="6" t="s">
        <v>993</v>
      </c>
      <c r="C53" s="38"/>
      <c r="D53" s="38"/>
      <c r="E53" s="38"/>
      <c r="F53" s="38"/>
      <c r="G53" s="38" t="s">
        <v>994</v>
      </c>
      <c r="H53" s="38" t="s">
        <v>994</v>
      </c>
      <c r="I53" s="38" t="s">
        <v>994</v>
      </c>
      <c r="J53" s="38"/>
      <c r="K53" s="38"/>
      <c r="L53" s="42"/>
      <c r="M53" s="43"/>
      <c r="N53" s="43"/>
      <c r="O53" s="43"/>
      <c r="P53" s="43"/>
      <c r="Q53" s="43"/>
      <c r="R53" s="43"/>
    </row>
    <row r="54" spans="1:18">
      <c r="A54" s="37"/>
      <c r="B54" s="6" t="s">
        <v>995</v>
      </c>
      <c r="C54" s="38"/>
      <c r="D54" s="38"/>
      <c r="E54" s="38"/>
      <c r="F54" s="38"/>
      <c r="G54" s="38" t="s">
        <v>996</v>
      </c>
      <c r="H54" s="38" t="s">
        <v>996</v>
      </c>
      <c r="I54" s="38" t="s">
        <v>996</v>
      </c>
      <c r="J54" s="38"/>
      <c r="K54" s="38"/>
      <c r="L54" s="42"/>
      <c r="M54" s="43"/>
      <c r="N54" s="43"/>
      <c r="O54" s="43"/>
      <c r="P54" s="43"/>
      <c r="Q54" s="43"/>
      <c r="R54" s="43"/>
    </row>
    <row r="55" spans="1:18">
      <c r="A55" s="37"/>
      <c r="B55" s="6" t="s">
        <v>997</v>
      </c>
      <c r="C55" s="38"/>
      <c r="D55" s="38"/>
      <c r="E55" s="38"/>
      <c r="F55" s="38"/>
      <c r="G55" s="38" t="s">
        <v>998</v>
      </c>
      <c r="H55" s="38" t="s">
        <v>998</v>
      </c>
      <c r="I55" s="38" t="s">
        <v>998</v>
      </c>
      <c r="J55" s="38"/>
      <c r="K55" s="38"/>
      <c r="L55" s="42"/>
      <c r="M55" s="43"/>
      <c r="N55" s="43"/>
      <c r="O55" s="43"/>
      <c r="P55" s="43"/>
      <c r="Q55" s="43"/>
      <c r="R55" s="43"/>
    </row>
    <row r="56" spans="1:18">
      <c r="A56" s="37"/>
      <c r="B56" s="6" t="s">
        <v>999</v>
      </c>
      <c r="C56" s="38"/>
      <c r="D56" s="38"/>
      <c r="E56" s="38"/>
      <c r="F56" s="38"/>
      <c r="G56" s="38" t="s">
        <v>1000</v>
      </c>
      <c r="H56" s="38" t="s">
        <v>1000</v>
      </c>
      <c r="I56" s="38" t="s">
        <v>1000</v>
      </c>
      <c r="J56" s="38"/>
      <c r="K56" s="38"/>
      <c r="L56" s="42"/>
      <c r="M56" s="43"/>
      <c r="N56" s="43"/>
      <c r="O56" s="43"/>
      <c r="P56" s="43"/>
      <c r="Q56" s="43"/>
      <c r="R56" s="43"/>
    </row>
    <row r="57" spans="1:18">
      <c r="A57" s="37"/>
      <c r="B57" s="6" t="s">
        <v>1001</v>
      </c>
      <c r="C57" s="38"/>
      <c r="D57" s="38"/>
      <c r="E57" s="38"/>
      <c r="F57" s="38"/>
      <c r="G57" s="38" t="s">
        <v>1002</v>
      </c>
      <c r="H57" s="38" t="s">
        <v>1002</v>
      </c>
      <c r="I57" s="38" t="s">
        <v>1002</v>
      </c>
      <c r="J57" s="38"/>
      <c r="K57" s="38"/>
      <c r="L57" s="42"/>
      <c r="M57" s="43"/>
      <c r="N57" s="43"/>
      <c r="O57" s="43"/>
      <c r="P57" s="43"/>
      <c r="Q57" s="43"/>
      <c r="R57" s="43"/>
    </row>
    <row r="58" spans="1:18">
      <c r="A58" s="37"/>
      <c r="B58" s="6" t="s">
        <v>1003</v>
      </c>
      <c r="C58" s="38"/>
      <c r="D58" s="38"/>
      <c r="E58" s="38"/>
      <c r="F58" s="38"/>
      <c r="G58" s="38" t="s">
        <v>987</v>
      </c>
      <c r="H58" s="38" t="s">
        <v>987</v>
      </c>
      <c r="I58" s="38" t="s">
        <v>987</v>
      </c>
      <c r="J58" s="38"/>
      <c r="K58" s="38"/>
      <c r="L58" s="42"/>
      <c r="M58" s="43"/>
      <c r="N58" s="43"/>
      <c r="O58" s="43"/>
      <c r="P58" s="43"/>
      <c r="Q58" s="43"/>
      <c r="R58" s="43"/>
    </row>
    <row r="59" spans="1:18">
      <c r="A59" s="37"/>
      <c r="B59" s="6" t="s">
        <v>1004</v>
      </c>
      <c r="C59" s="38"/>
      <c r="D59" s="38"/>
      <c r="E59" s="38"/>
      <c r="F59" s="38"/>
      <c r="G59" s="38" t="s">
        <v>1005</v>
      </c>
      <c r="H59" s="38" t="s">
        <v>1005</v>
      </c>
      <c r="I59" s="38" t="s">
        <v>1005</v>
      </c>
      <c r="J59" s="38"/>
      <c r="K59" s="38"/>
      <c r="L59" s="42"/>
      <c r="M59" s="43"/>
      <c r="N59" s="43"/>
      <c r="O59" s="43"/>
      <c r="P59" s="43"/>
      <c r="Q59" s="43"/>
      <c r="R59" s="43"/>
    </row>
    <row r="60" spans="1:18">
      <c r="A60" s="37"/>
      <c r="B60" s="6" t="s">
        <v>1006</v>
      </c>
      <c r="C60" s="38"/>
      <c r="D60" s="38"/>
      <c r="E60" s="38"/>
      <c r="F60" s="38"/>
      <c r="G60" s="38" t="s">
        <v>1007</v>
      </c>
      <c r="H60" s="38" t="s">
        <v>1007</v>
      </c>
      <c r="I60" s="38" t="s">
        <v>1007</v>
      </c>
      <c r="J60" s="38"/>
      <c r="K60" s="38"/>
      <c r="L60" s="42"/>
      <c r="M60" s="43"/>
      <c r="N60" s="43"/>
      <c r="O60" s="43"/>
      <c r="P60" s="43"/>
      <c r="Q60" s="43"/>
      <c r="R60" s="43"/>
    </row>
    <row r="61" spans="1:18">
      <c r="A61" s="37"/>
      <c r="B61" s="6" t="s">
        <v>1008</v>
      </c>
      <c r="C61" s="38"/>
      <c r="D61" s="38"/>
      <c r="E61" s="38"/>
      <c r="F61" s="38"/>
      <c r="G61" s="38" t="s">
        <v>1009</v>
      </c>
      <c r="H61" s="38" t="s">
        <v>1009</v>
      </c>
      <c r="I61" s="38" t="s">
        <v>1009</v>
      </c>
      <c r="J61" s="38"/>
      <c r="K61" s="38"/>
      <c r="L61" s="42"/>
      <c r="M61" s="43"/>
      <c r="N61" s="43"/>
      <c r="O61" s="43"/>
      <c r="P61" s="43"/>
      <c r="Q61" s="43"/>
      <c r="R61" s="43"/>
    </row>
    <row r="62" spans="1:18">
      <c r="A62" s="37"/>
      <c r="B62" s="6" t="s">
        <v>1010</v>
      </c>
      <c r="C62" s="38"/>
      <c r="D62" s="38"/>
      <c r="E62" s="38"/>
      <c r="F62" s="38"/>
      <c r="G62" s="38" t="s">
        <v>1011</v>
      </c>
      <c r="H62" s="38" t="s">
        <v>1011</v>
      </c>
      <c r="I62" s="38" t="s">
        <v>1011</v>
      </c>
      <c r="J62" s="38"/>
      <c r="K62" s="38"/>
      <c r="L62" s="42"/>
      <c r="M62" s="43"/>
      <c r="N62" s="43"/>
      <c r="O62" s="43"/>
      <c r="P62" s="43"/>
      <c r="Q62" s="43"/>
      <c r="R62" s="43"/>
    </row>
    <row r="63" spans="1:18">
      <c r="A63" s="37"/>
      <c r="B63" s="6" t="s">
        <v>1012</v>
      </c>
      <c r="C63" s="38"/>
      <c r="D63" s="38"/>
      <c r="E63" s="38"/>
      <c r="F63" s="38"/>
      <c r="G63" s="38" t="s">
        <v>911</v>
      </c>
      <c r="H63" s="38" t="s">
        <v>911</v>
      </c>
      <c r="I63" s="38" t="s">
        <v>911</v>
      </c>
      <c r="J63" s="38"/>
      <c r="K63" s="38"/>
      <c r="L63" s="42"/>
      <c r="M63" s="43"/>
      <c r="N63" s="43"/>
      <c r="O63" s="43"/>
      <c r="P63" s="43"/>
      <c r="Q63" s="43"/>
      <c r="R63" s="43"/>
    </row>
    <row r="64" spans="1:18">
      <c r="A64" s="37"/>
      <c r="B64" s="6" t="s">
        <v>1013</v>
      </c>
      <c r="C64" s="38"/>
      <c r="D64" s="38"/>
      <c r="E64" s="38"/>
      <c r="F64" s="38"/>
      <c r="G64" s="38" t="s">
        <v>913</v>
      </c>
      <c r="H64" s="38" t="s">
        <v>913</v>
      </c>
      <c r="I64" s="38" t="s">
        <v>913</v>
      </c>
      <c r="J64" s="38"/>
      <c r="K64" s="38"/>
      <c r="L64" s="42"/>
      <c r="M64" s="43"/>
      <c r="N64" s="43"/>
      <c r="O64" s="43"/>
      <c r="P64" s="43"/>
      <c r="Q64" s="43"/>
      <c r="R64" s="43"/>
    </row>
    <row r="65" spans="1:18">
      <c r="A65" s="37"/>
      <c r="B65" s="6" t="s">
        <v>1014</v>
      </c>
      <c r="C65" s="38"/>
      <c r="D65" s="38"/>
      <c r="E65" s="38"/>
      <c r="F65" s="38"/>
      <c r="G65" s="38" t="s">
        <v>917</v>
      </c>
      <c r="H65" s="38" t="s">
        <v>917</v>
      </c>
      <c r="I65" s="38" t="s">
        <v>917</v>
      </c>
      <c r="J65" s="38"/>
      <c r="K65" s="38"/>
      <c r="L65" s="42"/>
      <c r="M65" s="43"/>
      <c r="N65" s="43"/>
      <c r="O65" s="43"/>
      <c r="P65" s="43"/>
      <c r="Q65" s="43"/>
      <c r="R65" s="43"/>
    </row>
    <row r="66" spans="1:18">
      <c r="A66" s="37"/>
      <c r="B66" s="6" t="s">
        <v>1015</v>
      </c>
      <c r="C66" s="38"/>
      <c r="D66" s="38"/>
      <c r="E66" s="38"/>
      <c r="F66" s="38"/>
      <c r="G66" s="38" t="s">
        <v>1016</v>
      </c>
      <c r="H66" s="38" t="s">
        <v>1016</v>
      </c>
      <c r="I66" s="38" t="s">
        <v>1016</v>
      </c>
      <c r="J66" s="38"/>
      <c r="K66" s="38"/>
      <c r="L66" s="42"/>
      <c r="M66" s="43"/>
      <c r="N66" s="43"/>
      <c r="O66" s="43"/>
      <c r="P66" s="43"/>
      <c r="Q66" s="43"/>
      <c r="R66" s="43"/>
    </row>
    <row r="67" spans="1:18">
      <c r="A67" s="37"/>
      <c r="B67" s="6" t="s">
        <v>1017</v>
      </c>
      <c r="C67" s="38"/>
      <c r="D67" s="38"/>
      <c r="E67" s="38"/>
      <c r="F67" s="38"/>
      <c r="G67" s="38" t="s">
        <v>981</v>
      </c>
      <c r="H67" s="38" t="s">
        <v>981</v>
      </c>
      <c r="I67" s="38" t="s">
        <v>981</v>
      </c>
      <c r="J67" s="38"/>
      <c r="K67" s="38"/>
      <c r="L67" s="42"/>
      <c r="M67" s="43"/>
      <c r="N67" s="43"/>
      <c r="O67" s="43"/>
      <c r="P67" s="43"/>
      <c r="Q67" s="43"/>
      <c r="R67" s="43"/>
    </row>
    <row r="68" spans="1:18">
      <c r="A68" s="37"/>
      <c r="B68" s="6" t="s">
        <v>1018</v>
      </c>
      <c r="C68" s="38"/>
      <c r="D68" s="38"/>
      <c r="E68" s="38"/>
      <c r="F68" s="38"/>
      <c r="G68" s="38" t="s">
        <v>1019</v>
      </c>
      <c r="H68" s="38" t="s">
        <v>1019</v>
      </c>
      <c r="I68" s="38" t="s">
        <v>1019</v>
      </c>
      <c r="J68" s="38"/>
      <c r="K68" s="38"/>
      <c r="L68" s="42"/>
      <c r="M68" s="43"/>
      <c r="N68" s="43"/>
      <c r="O68" s="43"/>
      <c r="P68" s="43"/>
      <c r="Q68" s="43"/>
      <c r="R68" s="43"/>
    </row>
    <row r="69" spans="1:18">
      <c r="A69" s="37"/>
      <c r="B69" s="6" t="s">
        <v>1020</v>
      </c>
      <c r="C69" s="38"/>
      <c r="D69" s="38"/>
      <c r="E69" s="38"/>
      <c r="F69" s="38"/>
      <c r="G69" s="38" t="s">
        <v>1021</v>
      </c>
      <c r="H69" s="38" t="s">
        <v>1021</v>
      </c>
      <c r="I69" s="38" t="s">
        <v>1021</v>
      </c>
      <c r="J69" s="38"/>
      <c r="K69" s="38"/>
      <c r="L69" s="42"/>
      <c r="M69" s="43"/>
      <c r="N69" s="43"/>
      <c r="O69" s="43"/>
      <c r="P69" s="43"/>
      <c r="Q69" s="43"/>
      <c r="R69" s="43"/>
    </row>
    <row r="70" spans="1:18">
      <c r="A70" s="37"/>
      <c r="B70" s="6" t="s">
        <v>1022</v>
      </c>
      <c r="C70" s="38"/>
      <c r="D70" s="38"/>
      <c r="E70" s="38"/>
      <c r="F70" s="38"/>
      <c r="G70" s="38" t="s">
        <v>1021</v>
      </c>
      <c r="H70" s="38" t="s">
        <v>1021</v>
      </c>
      <c r="I70" s="38" t="s">
        <v>1021</v>
      </c>
      <c r="J70" s="38"/>
      <c r="K70" s="38"/>
      <c r="L70" s="42"/>
      <c r="M70" s="43"/>
      <c r="N70" s="43"/>
      <c r="O70" s="43"/>
      <c r="P70" s="43"/>
      <c r="Q70" s="43"/>
      <c r="R70" s="43"/>
    </row>
    <row r="71" spans="1:18">
      <c r="A71" s="37"/>
      <c r="B71" s="6" t="s">
        <v>1023</v>
      </c>
      <c r="C71" s="38"/>
      <c r="D71" s="38"/>
      <c r="E71" s="38"/>
      <c r="F71" s="38"/>
      <c r="G71" s="38" t="s">
        <v>1024</v>
      </c>
      <c r="H71" s="38" t="s">
        <v>1024</v>
      </c>
      <c r="I71" s="38" t="s">
        <v>1024</v>
      </c>
      <c r="J71" s="38"/>
      <c r="K71" s="38"/>
      <c r="L71" s="42"/>
      <c r="M71" s="43"/>
      <c r="N71" s="43"/>
      <c r="O71" s="43"/>
      <c r="P71" s="43"/>
      <c r="Q71" s="43"/>
      <c r="R71" s="43"/>
    </row>
    <row r="72" spans="1:18">
      <c r="A72" s="37"/>
      <c r="B72" s="6" t="s">
        <v>1025</v>
      </c>
      <c r="C72" s="38"/>
      <c r="D72" s="38"/>
      <c r="E72" s="38"/>
      <c r="F72" s="38"/>
      <c r="G72" s="38" t="s">
        <v>964</v>
      </c>
      <c r="H72" s="38" t="s">
        <v>964</v>
      </c>
      <c r="I72" s="38" t="s">
        <v>964</v>
      </c>
      <c r="J72" s="38"/>
      <c r="K72" s="38"/>
      <c r="L72" s="42"/>
      <c r="M72" s="43"/>
      <c r="N72" s="43"/>
      <c r="O72" s="43"/>
      <c r="P72" s="43"/>
      <c r="Q72" s="43"/>
      <c r="R72" s="43"/>
    </row>
    <row r="73" spans="1:18">
      <c r="A73" s="37"/>
      <c r="B73" s="6" t="s">
        <v>1026</v>
      </c>
      <c r="C73" s="38"/>
      <c r="D73" s="38"/>
      <c r="E73" s="38"/>
      <c r="F73" s="38"/>
      <c r="G73" s="38" t="s">
        <v>950</v>
      </c>
      <c r="H73" s="38" t="s">
        <v>950</v>
      </c>
      <c r="I73" s="38" t="s">
        <v>950</v>
      </c>
      <c r="J73" s="38"/>
      <c r="K73" s="38"/>
      <c r="L73" s="42"/>
      <c r="M73" s="43"/>
      <c r="N73" s="43"/>
      <c r="O73" s="43"/>
      <c r="P73" s="43"/>
      <c r="Q73" s="43"/>
      <c r="R73" s="43"/>
    </row>
    <row r="74" spans="1:18">
      <c r="A74" s="37"/>
      <c r="B74" s="6" t="s">
        <v>1027</v>
      </c>
      <c r="C74" s="38"/>
      <c r="D74" s="38"/>
      <c r="E74" s="38"/>
      <c r="F74" s="38"/>
      <c r="G74" s="38" t="s">
        <v>942</v>
      </c>
      <c r="H74" s="38" t="s">
        <v>942</v>
      </c>
      <c r="I74" s="38" t="s">
        <v>942</v>
      </c>
      <c r="J74" s="38"/>
      <c r="K74" s="38"/>
      <c r="L74" s="42"/>
      <c r="M74" s="43"/>
      <c r="N74" s="43"/>
      <c r="O74" s="43"/>
      <c r="P74" s="43"/>
      <c r="Q74" s="43"/>
      <c r="R74" s="43"/>
    </row>
    <row r="75" spans="1:18">
      <c r="A75" s="37"/>
      <c r="B75" s="6" t="s">
        <v>1028</v>
      </c>
      <c r="C75" s="38"/>
      <c r="D75" s="38"/>
      <c r="E75" s="38"/>
      <c r="F75" s="38"/>
      <c r="G75" s="38" t="s">
        <v>911</v>
      </c>
      <c r="H75" s="38" t="s">
        <v>911</v>
      </c>
      <c r="I75" s="38" t="s">
        <v>911</v>
      </c>
      <c r="J75" s="38"/>
      <c r="K75" s="38"/>
      <c r="L75" s="42"/>
      <c r="M75" s="43"/>
      <c r="N75" s="43"/>
      <c r="O75" s="43"/>
      <c r="P75" s="43"/>
      <c r="Q75" s="43"/>
      <c r="R75" s="43"/>
    </row>
    <row r="76" spans="1:18">
      <c r="A76" s="37"/>
      <c r="B76" s="6" t="s">
        <v>1029</v>
      </c>
      <c r="C76" s="38"/>
      <c r="D76" s="38"/>
      <c r="E76" s="38"/>
      <c r="F76" s="38"/>
      <c r="G76" s="38" t="s">
        <v>913</v>
      </c>
      <c r="H76" s="38" t="s">
        <v>913</v>
      </c>
      <c r="I76" s="38" t="s">
        <v>913</v>
      </c>
      <c r="J76" s="38"/>
      <c r="K76" s="38"/>
      <c r="L76" s="42"/>
      <c r="M76" s="43"/>
      <c r="N76" s="43"/>
      <c r="O76" s="43"/>
      <c r="P76" s="43"/>
      <c r="Q76" s="43"/>
      <c r="R76" s="43"/>
    </row>
    <row r="77" spans="1:18">
      <c r="A77" s="37"/>
      <c r="B77" s="6" t="s">
        <v>1030</v>
      </c>
      <c r="C77" s="38"/>
      <c r="D77" s="38"/>
      <c r="E77" s="38"/>
      <c r="F77" s="38"/>
      <c r="G77" s="38" t="s">
        <v>985</v>
      </c>
      <c r="H77" s="38" t="s">
        <v>985</v>
      </c>
      <c r="I77" s="38" t="s">
        <v>985</v>
      </c>
      <c r="J77" s="38"/>
      <c r="K77" s="38"/>
      <c r="L77" s="42"/>
      <c r="M77" s="43"/>
      <c r="N77" s="43"/>
      <c r="O77" s="43"/>
      <c r="P77" s="43"/>
      <c r="Q77" s="43"/>
      <c r="R77" s="43"/>
    </row>
    <row r="78" spans="1:18">
      <c r="A78" s="37"/>
      <c r="B78" s="6" t="s">
        <v>1031</v>
      </c>
      <c r="C78" s="38"/>
      <c r="D78" s="38"/>
      <c r="E78" s="38"/>
      <c r="F78" s="38"/>
      <c r="G78" s="38" t="s">
        <v>1032</v>
      </c>
      <c r="H78" s="38" t="s">
        <v>1032</v>
      </c>
      <c r="I78" s="38" t="s">
        <v>1032</v>
      </c>
      <c r="J78" s="38"/>
      <c r="K78" s="38"/>
      <c r="L78" s="42"/>
      <c r="M78" s="43"/>
      <c r="N78" s="43"/>
      <c r="O78" s="43"/>
      <c r="P78" s="43"/>
      <c r="Q78" s="43"/>
      <c r="R78" s="43"/>
    </row>
    <row r="79" spans="1:18">
      <c r="A79" s="37"/>
      <c r="B79" s="6" t="s">
        <v>1033</v>
      </c>
      <c r="C79" s="38"/>
      <c r="D79" s="38"/>
      <c r="E79" s="38"/>
      <c r="F79" s="38"/>
      <c r="G79" s="38" t="s">
        <v>1034</v>
      </c>
      <c r="H79" s="38" t="s">
        <v>1034</v>
      </c>
      <c r="I79" s="38" t="s">
        <v>1034</v>
      </c>
      <c r="J79" s="38"/>
      <c r="K79" s="38"/>
      <c r="L79" s="42"/>
      <c r="M79" s="43"/>
      <c r="N79" s="43"/>
      <c r="O79" s="43"/>
      <c r="P79" s="43"/>
      <c r="Q79" s="43"/>
      <c r="R79" s="43"/>
    </row>
    <row r="80" spans="1:18">
      <c r="A80" s="37"/>
      <c r="B80" s="6" t="s">
        <v>1035</v>
      </c>
      <c r="C80" s="38"/>
      <c r="D80" s="38"/>
      <c r="E80" s="38"/>
      <c r="F80" s="38"/>
      <c r="G80" s="38" t="s">
        <v>1036</v>
      </c>
      <c r="H80" s="38" t="s">
        <v>1036</v>
      </c>
      <c r="I80" s="38" t="s">
        <v>1036</v>
      </c>
      <c r="J80" s="38"/>
      <c r="K80" s="38"/>
      <c r="L80" s="42"/>
      <c r="M80" s="43"/>
      <c r="N80" s="43"/>
      <c r="O80" s="43"/>
      <c r="P80" s="43"/>
      <c r="Q80" s="43"/>
      <c r="R80" s="43"/>
    </row>
    <row r="81" spans="1:18">
      <c r="A81" s="37"/>
      <c r="B81" s="6" t="s">
        <v>1037</v>
      </c>
      <c r="C81" s="38"/>
      <c r="D81" s="38"/>
      <c r="E81" s="38"/>
      <c r="F81" s="38"/>
      <c r="G81" s="38" t="s">
        <v>911</v>
      </c>
      <c r="H81" s="38" t="s">
        <v>911</v>
      </c>
      <c r="I81" s="38" t="s">
        <v>911</v>
      </c>
      <c r="J81" s="38"/>
      <c r="K81" s="38"/>
      <c r="L81" s="42"/>
      <c r="M81" s="43"/>
      <c r="N81" s="43"/>
      <c r="O81" s="43"/>
      <c r="P81" s="43"/>
      <c r="Q81" s="43"/>
      <c r="R81" s="43"/>
    </row>
    <row r="82" spans="1:18">
      <c r="A82" s="37"/>
      <c r="B82" s="6" t="s">
        <v>1038</v>
      </c>
      <c r="C82" s="38"/>
      <c r="D82" s="38"/>
      <c r="E82" s="38"/>
      <c r="F82" s="38"/>
      <c r="G82" s="38" t="s">
        <v>913</v>
      </c>
      <c r="H82" s="38" t="s">
        <v>913</v>
      </c>
      <c r="I82" s="38" t="s">
        <v>913</v>
      </c>
      <c r="J82" s="38"/>
      <c r="K82" s="38"/>
      <c r="L82" s="42"/>
      <c r="M82" s="43"/>
      <c r="N82" s="43"/>
      <c r="O82" s="43"/>
      <c r="P82" s="43"/>
      <c r="Q82" s="43"/>
      <c r="R82" s="43"/>
    </row>
    <row r="83" spans="1:18">
      <c r="A83" s="37"/>
      <c r="B83" s="6" t="s">
        <v>1039</v>
      </c>
      <c r="C83" s="38"/>
      <c r="D83" s="38"/>
      <c r="E83" s="38"/>
      <c r="F83" s="38"/>
      <c r="G83" s="38" t="s">
        <v>985</v>
      </c>
      <c r="H83" s="38" t="s">
        <v>985</v>
      </c>
      <c r="I83" s="38" t="s">
        <v>985</v>
      </c>
      <c r="J83" s="38"/>
      <c r="K83" s="38"/>
      <c r="L83" s="42"/>
      <c r="M83" s="43"/>
      <c r="N83" s="43"/>
      <c r="O83" s="43"/>
      <c r="P83" s="43"/>
      <c r="Q83" s="43"/>
      <c r="R83" s="43"/>
    </row>
    <row r="84" spans="1:18">
      <c r="A84" s="37"/>
      <c r="B84" s="6" t="s">
        <v>1040</v>
      </c>
      <c r="C84" s="38"/>
      <c r="D84" s="38"/>
      <c r="E84" s="38"/>
      <c r="F84" s="38"/>
      <c r="G84" s="38" t="s">
        <v>1034</v>
      </c>
      <c r="H84" s="38" t="s">
        <v>1034</v>
      </c>
      <c r="I84" s="38" t="s">
        <v>1034</v>
      </c>
      <c r="J84" s="38"/>
      <c r="K84" s="38"/>
      <c r="L84" s="42"/>
      <c r="M84" s="43"/>
      <c r="N84" s="43"/>
      <c r="O84" s="43"/>
      <c r="P84" s="43"/>
      <c r="Q84" s="43"/>
      <c r="R84" s="43"/>
    </row>
    <row r="85" spans="1:18">
      <c r="A85" s="37"/>
      <c r="B85" s="6" t="s">
        <v>1041</v>
      </c>
      <c r="C85" s="38"/>
      <c r="D85" s="38"/>
      <c r="E85" s="38"/>
      <c r="F85" s="38"/>
      <c r="G85" s="38" t="s">
        <v>1042</v>
      </c>
      <c r="H85" s="38" t="s">
        <v>1042</v>
      </c>
      <c r="I85" s="38" t="s">
        <v>1042</v>
      </c>
      <c r="J85" s="38"/>
      <c r="K85" s="38"/>
      <c r="L85" s="42"/>
      <c r="M85" s="43"/>
      <c r="N85" s="43"/>
      <c r="O85" s="43"/>
      <c r="P85" s="43"/>
      <c r="Q85" s="43"/>
      <c r="R85" s="43"/>
    </row>
    <row r="86" spans="1:18">
      <c r="A86" s="37"/>
      <c r="B86" s="6" t="s">
        <v>1043</v>
      </c>
      <c r="C86" s="38"/>
      <c r="D86" s="38"/>
      <c r="E86" s="38"/>
      <c r="F86" s="38"/>
      <c r="G86" s="38" t="s">
        <v>1044</v>
      </c>
      <c r="H86" s="38" t="s">
        <v>1044</v>
      </c>
      <c r="I86" s="38" t="s">
        <v>1044</v>
      </c>
      <c r="J86" s="38"/>
      <c r="K86" s="38"/>
      <c r="L86" s="42"/>
      <c r="M86" s="43"/>
      <c r="N86" s="43"/>
      <c r="O86" s="43"/>
      <c r="P86" s="43"/>
      <c r="Q86" s="43"/>
      <c r="R86" s="43"/>
    </row>
    <row r="87" spans="1:18">
      <c r="A87" s="37"/>
      <c r="B87" s="6" t="s">
        <v>1045</v>
      </c>
      <c r="C87" s="38"/>
      <c r="D87" s="38"/>
      <c r="E87" s="38"/>
      <c r="F87" s="38"/>
      <c r="G87" s="38" t="s">
        <v>1046</v>
      </c>
      <c r="H87" s="38" t="s">
        <v>1046</v>
      </c>
      <c r="I87" s="38" t="s">
        <v>1046</v>
      </c>
      <c r="J87" s="38"/>
      <c r="K87" s="38"/>
      <c r="L87" s="42"/>
      <c r="M87" s="43"/>
      <c r="N87" s="43"/>
      <c r="O87" s="43"/>
      <c r="P87" s="43"/>
      <c r="Q87" s="43"/>
      <c r="R87" s="43"/>
    </row>
    <row r="88" spans="1:18">
      <c r="A88" s="37"/>
      <c r="B88" s="6" t="s">
        <v>1047</v>
      </c>
      <c r="C88" s="38"/>
      <c r="D88" s="38"/>
      <c r="E88" s="38"/>
      <c r="F88" s="38"/>
      <c r="G88" s="38" t="s">
        <v>1048</v>
      </c>
      <c r="H88" s="38" t="s">
        <v>1048</v>
      </c>
      <c r="I88" s="38" t="s">
        <v>1048</v>
      </c>
      <c r="J88" s="38"/>
      <c r="K88" s="38"/>
      <c r="L88" s="42"/>
      <c r="M88" s="43"/>
      <c r="N88" s="43"/>
      <c r="O88" s="43"/>
      <c r="P88" s="43"/>
      <c r="Q88" s="43"/>
      <c r="R88" s="43"/>
    </row>
    <row r="89" spans="1:18">
      <c r="A89" s="37"/>
      <c r="B89" s="6" t="s">
        <v>1049</v>
      </c>
      <c r="C89" s="38"/>
      <c r="D89" s="38"/>
      <c r="E89" s="38"/>
      <c r="F89" s="38"/>
      <c r="G89" s="38" t="s">
        <v>1050</v>
      </c>
      <c r="H89" s="38" t="s">
        <v>1050</v>
      </c>
      <c r="I89" s="38" t="s">
        <v>1050</v>
      </c>
      <c r="J89" s="38"/>
      <c r="K89" s="38"/>
      <c r="L89" s="42"/>
      <c r="M89" s="43"/>
      <c r="N89" s="43"/>
      <c r="O89" s="43"/>
      <c r="P89" s="43"/>
      <c r="Q89" s="43"/>
      <c r="R89" s="43"/>
    </row>
    <row r="90" spans="1:18">
      <c r="A90" s="37"/>
      <c r="B90" s="6" t="s">
        <v>1051</v>
      </c>
      <c r="C90" s="38"/>
      <c r="D90" s="38"/>
      <c r="E90" s="38"/>
      <c r="F90" s="38"/>
      <c r="G90" s="38" t="s">
        <v>1052</v>
      </c>
      <c r="H90" s="38" t="s">
        <v>1052</v>
      </c>
      <c r="I90" s="38" t="s">
        <v>1052</v>
      </c>
      <c r="J90" s="38"/>
      <c r="K90" s="38"/>
      <c r="L90" s="42"/>
      <c r="M90" s="43"/>
      <c r="N90" s="43"/>
      <c r="O90" s="43"/>
      <c r="P90" s="43"/>
      <c r="Q90" s="43"/>
      <c r="R90" s="43"/>
    </row>
    <row r="91" spans="1:18">
      <c r="A91" s="37"/>
      <c r="B91" s="6" t="s">
        <v>1053</v>
      </c>
      <c r="C91" s="38"/>
      <c r="D91" s="38"/>
      <c r="E91" s="38"/>
      <c r="F91" s="38"/>
      <c r="G91" s="38" t="s">
        <v>1002</v>
      </c>
      <c r="H91" s="38" t="s">
        <v>1002</v>
      </c>
      <c r="I91" s="38" t="s">
        <v>1002</v>
      </c>
      <c r="J91" s="38"/>
      <c r="K91" s="38"/>
      <c r="L91" s="42"/>
      <c r="M91" s="43"/>
      <c r="N91" s="43"/>
      <c r="O91" s="43"/>
      <c r="P91" s="43"/>
      <c r="Q91" s="43"/>
      <c r="R91" s="43"/>
    </row>
    <row r="92" spans="1:18">
      <c r="A92" s="37"/>
      <c r="B92" s="6" t="s">
        <v>1054</v>
      </c>
      <c r="C92" s="38"/>
      <c r="D92" s="38"/>
      <c r="E92" s="38"/>
      <c r="F92" s="38"/>
      <c r="G92" s="38" t="s">
        <v>1055</v>
      </c>
      <c r="H92" s="38" t="s">
        <v>1055</v>
      </c>
      <c r="I92" s="38" t="s">
        <v>1055</v>
      </c>
      <c r="J92" s="38"/>
      <c r="K92" s="38"/>
      <c r="L92" s="42"/>
      <c r="M92" s="43"/>
      <c r="N92" s="43"/>
      <c r="O92" s="43"/>
      <c r="P92" s="43"/>
      <c r="Q92" s="43"/>
      <c r="R92" s="43"/>
    </row>
    <row r="93" spans="1:18">
      <c r="A93" s="37"/>
      <c r="B93" s="6" t="s">
        <v>1056</v>
      </c>
      <c r="C93" s="38"/>
      <c r="D93" s="38"/>
      <c r="E93" s="38"/>
      <c r="F93" s="38"/>
      <c r="G93" s="38" t="s">
        <v>1057</v>
      </c>
      <c r="H93" s="38" t="s">
        <v>1057</v>
      </c>
      <c r="I93" s="38" t="s">
        <v>1057</v>
      </c>
      <c r="J93" s="38"/>
      <c r="K93" s="38"/>
      <c r="L93" s="42"/>
      <c r="M93" s="43"/>
      <c r="N93" s="43"/>
      <c r="O93" s="43"/>
      <c r="P93" s="43"/>
      <c r="Q93" s="43"/>
      <c r="R93" s="43"/>
    </row>
    <row r="94" spans="1:18">
      <c r="A94" s="37"/>
      <c r="B94" s="6" t="s">
        <v>1058</v>
      </c>
      <c r="C94" s="38"/>
      <c r="D94" s="38"/>
      <c r="E94" s="38"/>
      <c r="F94" s="38"/>
      <c r="G94" s="38" t="s">
        <v>1057</v>
      </c>
      <c r="H94" s="38" t="s">
        <v>1057</v>
      </c>
      <c r="I94" s="38" t="s">
        <v>1057</v>
      </c>
      <c r="J94" s="38"/>
      <c r="K94" s="38"/>
      <c r="L94" s="42"/>
      <c r="M94" s="43"/>
      <c r="N94" s="43"/>
      <c r="O94" s="43"/>
      <c r="P94" s="43"/>
      <c r="Q94" s="43"/>
      <c r="R94" s="43"/>
    </row>
    <row r="95" spans="1:18">
      <c r="A95" s="37"/>
      <c r="B95" s="6" t="s">
        <v>1059</v>
      </c>
      <c r="C95" s="38"/>
      <c r="D95" s="38"/>
      <c r="E95" s="38"/>
      <c r="F95" s="38"/>
      <c r="G95" s="38" t="s">
        <v>1060</v>
      </c>
      <c r="H95" s="38" t="s">
        <v>1060</v>
      </c>
      <c r="I95" s="38" t="s">
        <v>1060</v>
      </c>
      <c r="J95" s="38"/>
      <c r="K95" s="38"/>
      <c r="L95" s="42"/>
      <c r="M95" s="43"/>
      <c r="N95" s="43"/>
      <c r="O95" s="43"/>
      <c r="P95" s="43"/>
      <c r="Q95" s="43"/>
      <c r="R95" s="43"/>
    </row>
    <row r="96" spans="1:18">
      <c r="A96" s="37"/>
      <c r="B96" s="6" t="s">
        <v>1061</v>
      </c>
      <c r="C96" s="38"/>
      <c r="D96" s="38"/>
      <c r="E96" s="38"/>
      <c r="F96" s="38"/>
      <c r="G96" s="38" t="s">
        <v>1062</v>
      </c>
      <c r="H96" s="38" t="s">
        <v>1062</v>
      </c>
      <c r="I96" s="38" t="s">
        <v>1062</v>
      </c>
      <c r="J96" s="38"/>
      <c r="K96" s="38"/>
      <c r="L96" s="42"/>
      <c r="M96" s="43"/>
      <c r="N96" s="43"/>
      <c r="O96" s="43"/>
      <c r="P96" s="43"/>
      <c r="Q96" s="43"/>
      <c r="R96" s="43"/>
    </row>
    <row r="97" spans="1:18">
      <c r="A97" s="37"/>
      <c r="B97" s="6" t="s">
        <v>1063</v>
      </c>
      <c r="C97" s="38"/>
      <c r="D97" s="38"/>
      <c r="E97" s="38"/>
      <c r="F97" s="38"/>
      <c r="G97" s="38" t="s">
        <v>1062</v>
      </c>
      <c r="H97" s="38" t="s">
        <v>1062</v>
      </c>
      <c r="I97" s="38" t="s">
        <v>1062</v>
      </c>
      <c r="J97" s="38"/>
      <c r="K97" s="38"/>
      <c r="L97" s="42"/>
      <c r="M97" s="43"/>
      <c r="N97" s="43"/>
      <c r="O97" s="43"/>
      <c r="P97" s="43"/>
      <c r="Q97" s="43"/>
      <c r="R97" s="43"/>
    </row>
    <row r="98" spans="1:18">
      <c r="A98" s="37"/>
      <c r="B98" s="6" t="s">
        <v>1064</v>
      </c>
      <c r="C98" s="38"/>
      <c r="D98" s="38"/>
      <c r="E98" s="38"/>
      <c r="F98" s="38"/>
      <c r="G98" s="38" t="s">
        <v>1065</v>
      </c>
      <c r="H98" s="38" t="s">
        <v>1065</v>
      </c>
      <c r="I98" s="38" t="s">
        <v>1065</v>
      </c>
      <c r="J98" s="38"/>
      <c r="K98" s="38"/>
      <c r="L98" s="42"/>
      <c r="M98" s="43"/>
      <c r="N98" s="43"/>
      <c r="O98" s="43"/>
      <c r="P98" s="43"/>
      <c r="Q98" s="43"/>
      <c r="R98" s="43"/>
    </row>
    <row r="99" spans="1:18">
      <c r="A99" s="37"/>
      <c r="B99" s="6" t="s">
        <v>1066</v>
      </c>
      <c r="C99" s="38"/>
      <c r="D99" s="38"/>
      <c r="E99" s="38"/>
      <c r="F99" s="38"/>
      <c r="G99" s="38" t="s">
        <v>915</v>
      </c>
      <c r="H99" s="38" t="s">
        <v>915</v>
      </c>
      <c r="I99" s="38" t="s">
        <v>915</v>
      </c>
      <c r="J99" s="38"/>
      <c r="K99" s="38"/>
      <c r="L99" s="42"/>
      <c r="M99" s="43"/>
      <c r="N99" s="43"/>
      <c r="O99" s="43"/>
      <c r="P99" s="43"/>
      <c r="Q99" s="43"/>
      <c r="R99" s="43"/>
    </row>
    <row r="100" spans="1:18">
      <c r="A100" s="37"/>
      <c r="B100" s="6" t="s">
        <v>1067</v>
      </c>
      <c r="C100" s="38"/>
      <c r="D100" s="38"/>
      <c r="E100" s="38"/>
      <c r="F100" s="38"/>
      <c r="G100" s="38" t="s">
        <v>1068</v>
      </c>
      <c r="H100" s="38" t="s">
        <v>1068</v>
      </c>
      <c r="I100" s="38" t="s">
        <v>1068</v>
      </c>
      <c r="J100" s="38"/>
      <c r="K100" s="38"/>
      <c r="L100" s="42"/>
      <c r="M100" s="43"/>
      <c r="N100" s="43"/>
      <c r="O100" s="43"/>
      <c r="P100" s="43"/>
      <c r="Q100" s="43"/>
      <c r="R100" s="43"/>
    </row>
    <row r="101" spans="1:18">
      <c r="A101" s="37"/>
      <c r="B101" s="6" t="s">
        <v>1069</v>
      </c>
      <c r="C101" s="38"/>
      <c r="D101" s="38"/>
      <c r="E101" s="38"/>
      <c r="F101" s="38"/>
      <c r="G101" s="38" t="s">
        <v>1070</v>
      </c>
      <c r="H101" s="38" t="s">
        <v>1070</v>
      </c>
      <c r="I101" s="38" t="s">
        <v>1070</v>
      </c>
      <c r="J101" s="38"/>
      <c r="K101" s="38"/>
      <c r="L101" s="42"/>
      <c r="M101" s="43"/>
      <c r="N101" s="43"/>
      <c r="O101" s="43"/>
      <c r="P101" s="43"/>
      <c r="Q101" s="43"/>
      <c r="R101" s="43"/>
    </row>
    <row r="102" spans="1:18">
      <c r="A102" s="37"/>
      <c r="B102" s="6" t="s">
        <v>1071</v>
      </c>
      <c r="C102" s="38"/>
      <c r="D102" s="38"/>
      <c r="E102" s="38"/>
      <c r="F102" s="38"/>
      <c r="G102" s="38" t="s">
        <v>911</v>
      </c>
      <c r="H102" s="38" t="s">
        <v>911</v>
      </c>
      <c r="I102" s="38" t="s">
        <v>911</v>
      </c>
      <c r="J102" s="38"/>
      <c r="K102" s="38"/>
      <c r="L102" s="42"/>
      <c r="M102" s="43"/>
      <c r="N102" s="43"/>
      <c r="O102" s="43"/>
      <c r="P102" s="43"/>
      <c r="Q102" s="43"/>
      <c r="R102" s="43"/>
    </row>
    <row r="103" spans="1:18">
      <c r="A103" s="37"/>
      <c r="B103" s="6" t="s">
        <v>1072</v>
      </c>
      <c r="C103" s="38"/>
      <c r="D103" s="38"/>
      <c r="E103" s="38"/>
      <c r="F103" s="38"/>
      <c r="G103" s="38" t="s">
        <v>913</v>
      </c>
      <c r="H103" s="38" t="s">
        <v>913</v>
      </c>
      <c r="I103" s="38" t="s">
        <v>913</v>
      </c>
      <c r="J103" s="38"/>
      <c r="K103" s="38"/>
      <c r="L103" s="42"/>
      <c r="M103" s="43"/>
      <c r="N103" s="43"/>
      <c r="O103" s="43"/>
      <c r="P103" s="43"/>
      <c r="Q103" s="43"/>
      <c r="R103" s="43"/>
    </row>
    <row r="104" spans="1:18">
      <c r="A104" s="37"/>
      <c r="B104" s="6" t="s">
        <v>1073</v>
      </c>
      <c r="C104" s="38"/>
      <c r="D104" s="38"/>
      <c r="E104" s="38"/>
      <c r="F104" s="38"/>
      <c r="G104" s="38" t="s">
        <v>1074</v>
      </c>
      <c r="H104" s="38" t="s">
        <v>1074</v>
      </c>
      <c r="I104" s="38" t="s">
        <v>1074</v>
      </c>
      <c r="J104" s="38"/>
      <c r="K104" s="38"/>
      <c r="L104" s="42"/>
      <c r="M104" s="43"/>
      <c r="N104" s="43"/>
      <c r="O104" s="43"/>
      <c r="P104" s="43"/>
      <c r="Q104" s="43"/>
      <c r="R104" s="43"/>
    </row>
    <row r="105" spans="1:18">
      <c r="A105" s="37"/>
      <c r="B105" s="6" t="s">
        <v>1075</v>
      </c>
      <c r="C105" s="38"/>
      <c r="D105" s="38"/>
      <c r="E105" s="38"/>
      <c r="F105" s="38"/>
      <c r="G105" s="38" t="s">
        <v>1005</v>
      </c>
      <c r="H105" s="38" t="s">
        <v>1005</v>
      </c>
      <c r="I105" s="38" t="s">
        <v>1005</v>
      </c>
      <c r="J105" s="38"/>
      <c r="K105" s="38"/>
      <c r="L105" s="42"/>
      <c r="M105" s="43"/>
      <c r="N105" s="43"/>
      <c r="O105" s="43"/>
      <c r="P105" s="43"/>
      <c r="Q105" s="43"/>
      <c r="R105" s="43"/>
    </row>
    <row r="106" spans="1:18">
      <c r="A106" s="37"/>
      <c r="B106" s="6" t="s">
        <v>1076</v>
      </c>
      <c r="C106" s="38"/>
      <c r="D106" s="38"/>
      <c r="E106" s="38"/>
      <c r="F106" s="38"/>
      <c r="G106" s="38" t="s">
        <v>1077</v>
      </c>
      <c r="H106" s="38" t="s">
        <v>1077</v>
      </c>
      <c r="I106" s="38" t="s">
        <v>1077</v>
      </c>
      <c r="J106" s="38"/>
      <c r="K106" s="38"/>
      <c r="L106" s="42"/>
      <c r="M106" s="43"/>
      <c r="N106" s="43"/>
      <c r="O106" s="43"/>
      <c r="P106" s="43"/>
      <c r="Q106" s="43"/>
      <c r="R106" s="43"/>
    </row>
    <row r="107" spans="1:18">
      <c r="A107" s="37"/>
      <c r="B107" s="6" t="s">
        <v>1078</v>
      </c>
      <c r="C107" s="38"/>
      <c r="D107" s="38"/>
      <c r="E107" s="38"/>
      <c r="F107" s="38"/>
      <c r="G107" s="38" t="s">
        <v>1079</v>
      </c>
      <c r="H107" s="38" t="s">
        <v>1079</v>
      </c>
      <c r="I107" s="38" t="s">
        <v>1079</v>
      </c>
      <c r="J107" s="38"/>
      <c r="K107" s="38"/>
      <c r="L107" s="42"/>
      <c r="M107" s="43"/>
      <c r="N107" s="43"/>
      <c r="O107" s="43"/>
      <c r="P107" s="43"/>
      <c r="Q107" s="43"/>
      <c r="R107" s="43"/>
    </row>
    <row r="108" spans="1:18">
      <c r="A108" s="44" t="s">
        <v>1080</v>
      </c>
      <c r="B108" s="38" t="s">
        <v>1081</v>
      </c>
      <c r="C108" s="38"/>
      <c r="D108" s="38"/>
      <c r="E108" s="38"/>
      <c r="F108" s="38"/>
      <c r="G108" s="38" t="s">
        <v>983</v>
      </c>
      <c r="H108" s="38" t="s">
        <v>983</v>
      </c>
      <c r="I108" s="38" t="s">
        <v>983</v>
      </c>
      <c r="J108" s="38"/>
      <c r="K108" s="38"/>
      <c r="L108" s="42"/>
      <c r="M108" s="43"/>
      <c r="N108" s="43"/>
      <c r="O108" s="43"/>
      <c r="P108" s="43"/>
      <c r="Q108" s="43"/>
      <c r="R108" s="43"/>
    </row>
    <row r="109" spans="1:18">
      <c r="A109" s="37"/>
      <c r="B109" s="38" t="s">
        <v>1082</v>
      </c>
      <c r="C109" s="38"/>
      <c r="D109" s="38"/>
      <c r="E109" s="38"/>
      <c r="F109" s="38"/>
      <c r="G109" s="38" t="s">
        <v>985</v>
      </c>
      <c r="H109" s="38" t="s">
        <v>985</v>
      </c>
      <c r="I109" s="38" t="s">
        <v>985</v>
      </c>
      <c r="J109" s="38"/>
      <c r="K109" s="38"/>
      <c r="L109" s="42"/>
      <c r="M109" s="43"/>
      <c r="N109" s="43"/>
      <c r="O109" s="43"/>
      <c r="P109" s="43"/>
      <c r="Q109" s="43"/>
      <c r="R109" s="43"/>
    </row>
    <row r="110" spans="1:18">
      <c r="A110" s="37"/>
      <c r="B110" s="38" t="s">
        <v>1083</v>
      </c>
      <c r="C110" s="38"/>
      <c r="D110" s="38"/>
      <c r="E110" s="38"/>
      <c r="F110" s="38"/>
      <c r="G110" s="38" t="s">
        <v>1019</v>
      </c>
      <c r="H110" s="38" t="s">
        <v>1019</v>
      </c>
      <c r="I110" s="38" t="s">
        <v>1019</v>
      </c>
      <c r="J110" s="38"/>
      <c r="K110" s="38"/>
      <c r="L110" s="42"/>
      <c r="M110" s="43"/>
      <c r="N110" s="43"/>
      <c r="O110" s="43"/>
      <c r="P110" s="43"/>
      <c r="Q110" s="43"/>
      <c r="R110" s="43"/>
    </row>
    <row r="111" spans="1:18">
      <c r="A111" s="44" t="s">
        <v>1080</v>
      </c>
      <c r="B111" s="38" t="s">
        <v>1084</v>
      </c>
      <c r="C111" s="38"/>
      <c r="D111" s="38"/>
      <c r="E111" s="38"/>
      <c r="F111" s="38"/>
      <c r="G111" s="38" t="s">
        <v>1085</v>
      </c>
      <c r="H111" s="38" t="s">
        <v>1085</v>
      </c>
      <c r="I111" s="38" t="s">
        <v>1085</v>
      </c>
      <c r="J111" s="38"/>
      <c r="K111" s="38"/>
      <c r="L111" s="42"/>
      <c r="M111" s="43"/>
      <c r="N111" s="43"/>
      <c r="O111" s="43"/>
      <c r="P111" s="43"/>
      <c r="Q111" s="43"/>
      <c r="R111" s="43"/>
    </row>
    <row r="112" spans="1:18">
      <c r="A112" s="44"/>
      <c r="B112" s="38" t="s">
        <v>1086</v>
      </c>
      <c r="C112" s="38"/>
      <c r="D112" s="38"/>
      <c r="E112" s="38"/>
      <c r="F112" s="38"/>
      <c r="G112" s="38" t="s">
        <v>1087</v>
      </c>
      <c r="H112" s="38" t="s">
        <v>1087</v>
      </c>
      <c r="I112" s="38" t="s">
        <v>1087</v>
      </c>
      <c r="J112" s="38"/>
      <c r="K112" s="38"/>
      <c r="L112" s="42"/>
      <c r="M112" s="43"/>
      <c r="N112" s="43"/>
      <c r="O112" s="43"/>
      <c r="P112" s="43"/>
      <c r="Q112" s="43"/>
      <c r="R112" s="43"/>
    </row>
    <row r="113" spans="1:18">
      <c r="A113" s="44"/>
      <c r="B113" s="38" t="s">
        <v>1088</v>
      </c>
      <c r="C113" s="38"/>
      <c r="D113" s="38"/>
      <c r="E113" s="38"/>
      <c r="F113" s="38"/>
      <c r="G113" s="38" t="s">
        <v>1089</v>
      </c>
      <c r="H113" s="38" t="s">
        <v>1089</v>
      </c>
      <c r="I113" s="38" t="s">
        <v>1089</v>
      </c>
      <c r="J113" s="38"/>
      <c r="K113" s="38"/>
      <c r="L113" s="42"/>
      <c r="M113" s="43"/>
      <c r="N113" s="43"/>
      <c r="O113" s="43"/>
      <c r="P113" s="43"/>
      <c r="Q113" s="43"/>
      <c r="R113" s="43"/>
    </row>
    <row r="114" spans="1:18">
      <c r="A114" s="44"/>
      <c r="B114" s="38" t="s">
        <v>1090</v>
      </c>
      <c r="C114" s="38"/>
      <c r="D114" s="38"/>
      <c r="E114" s="38"/>
      <c r="F114" s="38"/>
      <c r="G114" s="38" t="s">
        <v>1091</v>
      </c>
      <c r="H114" s="38" t="s">
        <v>1091</v>
      </c>
      <c r="I114" s="38" t="s">
        <v>1091</v>
      </c>
      <c r="J114" s="38"/>
      <c r="K114" s="38"/>
      <c r="L114" s="42"/>
      <c r="M114" s="43"/>
      <c r="N114" s="43"/>
      <c r="O114" s="43"/>
      <c r="P114" s="43"/>
      <c r="Q114" s="43"/>
      <c r="R114" s="43"/>
    </row>
    <row r="115" spans="1:18">
      <c r="A115" s="44"/>
      <c r="B115" s="38" t="s">
        <v>1092</v>
      </c>
      <c r="C115" s="38"/>
      <c r="D115" s="38"/>
      <c r="E115" s="38"/>
      <c r="F115" s="38"/>
      <c r="G115" s="38" t="s">
        <v>1093</v>
      </c>
      <c r="H115" s="38" t="s">
        <v>1093</v>
      </c>
      <c r="I115" s="38" t="s">
        <v>1093</v>
      </c>
      <c r="J115" s="38"/>
      <c r="K115" s="38"/>
      <c r="L115" s="42"/>
      <c r="M115" s="43"/>
      <c r="N115" s="43"/>
      <c r="O115" s="43"/>
      <c r="P115" s="43"/>
      <c r="Q115" s="43"/>
      <c r="R115" s="43"/>
    </row>
    <row r="116" spans="1:18">
      <c r="A116" s="44"/>
      <c r="B116" s="38" t="s">
        <v>1094</v>
      </c>
      <c r="C116" s="38"/>
      <c r="D116" s="38"/>
      <c r="E116" s="38"/>
      <c r="F116" s="38"/>
      <c r="G116" s="38" t="s">
        <v>1095</v>
      </c>
      <c r="H116" s="38" t="s">
        <v>1095</v>
      </c>
      <c r="I116" s="38" t="s">
        <v>1095</v>
      </c>
      <c r="J116" s="38"/>
      <c r="K116" s="38"/>
      <c r="L116" s="42"/>
      <c r="M116" s="43"/>
      <c r="N116" s="43"/>
      <c r="O116" s="43"/>
      <c r="P116" s="43"/>
      <c r="Q116" s="43"/>
      <c r="R116" s="43"/>
    </row>
    <row r="117" spans="1:18">
      <c r="A117" s="44"/>
      <c r="B117" s="38" t="s">
        <v>1096</v>
      </c>
      <c r="C117" s="38"/>
      <c r="D117" s="38"/>
      <c r="E117" s="38"/>
      <c r="F117" s="38"/>
      <c r="G117" s="38" t="s">
        <v>1095</v>
      </c>
      <c r="H117" s="38" t="s">
        <v>1095</v>
      </c>
      <c r="I117" s="38" t="s">
        <v>1095</v>
      </c>
      <c r="J117" s="38"/>
      <c r="K117" s="38"/>
      <c r="L117" s="42"/>
      <c r="M117" s="43"/>
      <c r="N117" s="43"/>
      <c r="O117" s="43"/>
      <c r="P117" s="43"/>
      <c r="Q117" s="43"/>
      <c r="R117" s="43"/>
    </row>
    <row r="118" spans="1:18">
      <c r="A118" s="44"/>
      <c r="B118" s="38" t="s">
        <v>1097</v>
      </c>
      <c r="C118" s="38"/>
      <c r="D118" s="38"/>
      <c r="E118" s="38"/>
      <c r="F118" s="38"/>
      <c r="G118" s="38" t="s">
        <v>1095</v>
      </c>
      <c r="H118" s="38" t="s">
        <v>1095</v>
      </c>
      <c r="I118" s="38" t="s">
        <v>1095</v>
      </c>
      <c r="J118" s="38"/>
      <c r="K118" s="38"/>
      <c r="L118" s="42"/>
      <c r="M118" s="43"/>
      <c r="N118" s="43"/>
      <c r="O118" s="43"/>
      <c r="P118" s="43"/>
      <c r="Q118" s="43"/>
      <c r="R118" s="43"/>
    </row>
    <row r="119" spans="1:18">
      <c r="A119" s="44"/>
      <c r="B119" s="38" t="s">
        <v>1098</v>
      </c>
      <c r="C119" s="38"/>
      <c r="D119" s="38"/>
      <c r="E119" s="38"/>
      <c r="F119" s="38"/>
      <c r="G119" s="38" t="s">
        <v>1095</v>
      </c>
      <c r="H119" s="38" t="s">
        <v>1095</v>
      </c>
      <c r="I119" s="38" t="s">
        <v>1095</v>
      </c>
      <c r="J119" s="38"/>
      <c r="K119" s="38"/>
      <c r="L119" s="42"/>
      <c r="M119" s="43"/>
      <c r="N119" s="43"/>
      <c r="O119" s="43"/>
      <c r="P119" s="43"/>
      <c r="Q119" s="43"/>
      <c r="R119" s="43"/>
    </row>
    <row r="120" spans="1:18">
      <c r="A120" s="44"/>
      <c r="B120" s="38" t="s">
        <v>1099</v>
      </c>
      <c r="C120" s="38"/>
      <c r="D120" s="38"/>
      <c r="E120" s="38"/>
      <c r="F120" s="38"/>
      <c r="G120" s="38" t="s">
        <v>1095</v>
      </c>
      <c r="H120" s="38" t="s">
        <v>1095</v>
      </c>
      <c r="I120" s="38" t="s">
        <v>1095</v>
      </c>
      <c r="J120" s="38"/>
      <c r="K120" s="38"/>
      <c r="L120" s="42"/>
      <c r="M120" s="43"/>
      <c r="N120" s="43"/>
      <c r="O120" s="43"/>
      <c r="P120" s="43"/>
      <c r="Q120" s="43"/>
      <c r="R120" s="43"/>
    </row>
    <row r="121" spans="1:18">
      <c r="A121" s="44"/>
      <c r="B121" s="38" t="s">
        <v>1100</v>
      </c>
      <c r="C121" s="38"/>
      <c r="D121" s="38"/>
      <c r="E121" s="38"/>
      <c r="F121" s="38"/>
      <c r="G121" s="38" t="s">
        <v>1095</v>
      </c>
      <c r="H121" s="38" t="s">
        <v>1095</v>
      </c>
      <c r="I121" s="38" t="s">
        <v>1095</v>
      </c>
      <c r="J121" s="38"/>
      <c r="K121" s="38"/>
      <c r="L121" s="42"/>
      <c r="M121" s="43"/>
      <c r="N121" s="43"/>
      <c r="O121" s="43"/>
      <c r="P121" s="43"/>
      <c r="Q121" s="43"/>
      <c r="R121" s="43"/>
    </row>
    <row r="122" spans="1:18">
      <c r="A122" s="44"/>
      <c r="B122" s="38" t="s">
        <v>1101</v>
      </c>
      <c r="C122" s="38"/>
      <c r="D122" s="38"/>
      <c r="E122" s="38"/>
      <c r="F122" s="38"/>
      <c r="G122" s="38" t="s">
        <v>1095</v>
      </c>
      <c r="H122" s="38" t="s">
        <v>1095</v>
      </c>
      <c r="I122" s="38" t="s">
        <v>1095</v>
      </c>
      <c r="J122" s="38"/>
      <c r="K122" s="38"/>
      <c r="L122" s="42"/>
      <c r="M122" s="43"/>
      <c r="N122" s="43"/>
      <c r="O122" s="43"/>
      <c r="P122" s="43"/>
      <c r="Q122" s="43"/>
      <c r="R122" s="43"/>
    </row>
    <row r="123" spans="1:18">
      <c r="A123" s="44"/>
      <c r="B123" s="38" t="s">
        <v>1102</v>
      </c>
      <c r="C123" s="38"/>
      <c r="D123" s="38"/>
      <c r="E123" s="38"/>
      <c r="F123" s="38"/>
      <c r="G123" s="38" t="s">
        <v>1095</v>
      </c>
      <c r="H123" s="38" t="s">
        <v>1095</v>
      </c>
      <c r="I123" s="38" t="s">
        <v>1095</v>
      </c>
      <c r="J123" s="38"/>
      <c r="K123" s="38"/>
      <c r="L123" s="42"/>
      <c r="M123" s="43"/>
      <c r="N123" s="43"/>
      <c r="O123" s="43"/>
      <c r="P123" s="43"/>
      <c r="Q123" s="43"/>
      <c r="R123" s="43"/>
    </row>
    <row r="124" spans="1:18">
      <c r="A124" s="44"/>
      <c r="B124" s="38" t="s">
        <v>1103</v>
      </c>
      <c r="C124" s="38"/>
      <c r="D124" s="38"/>
      <c r="E124" s="38"/>
      <c r="F124" s="38"/>
      <c r="G124" s="38" t="s">
        <v>1095</v>
      </c>
      <c r="H124" s="38" t="s">
        <v>1095</v>
      </c>
      <c r="I124" s="38" t="s">
        <v>1095</v>
      </c>
      <c r="J124" s="38"/>
      <c r="K124" s="38"/>
      <c r="L124" s="42"/>
      <c r="M124" s="43"/>
      <c r="N124" s="43"/>
      <c r="O124" s="43"/>
      <c r="P124" s="43"/>
      <c r="Q124" s="43"/>
      <c r="R124" s="43"/>
    </row>
    <row r="125" spans="1:18">
      <c r="A125" s="44"/>
      <c r="B125" s="38" t="s">
        <v>1104</v>
      </c>
      <c r="C125" s="38"/>
      <c r="D125" s="38"/>
      <c r="E125" s="38"/>
      <c r="F125" s="38"/>
      <c r="G125" s="38" t="s">
        <v>1095</v>
      </c>
      <c r="H125" s="38" t="s">
        <v>1095</v>
      </c>
      <c r="I125" s="38" t="s">
        <v>1095</v>
      </c>
      <c r="J125" s="38"/>
      <c r="K125" s="38"/>
      <c r="L125" s="42"/>
      <c r="M125" s="43"/>
      <c r="N125" s="43"/>
      <c r="O125" s="43"/>
      <c r="P125" s="43"/>
      <c r="Q125" s="43"/>
      <c r="R125" s="43"/>
    </row>
    <row r="126" spans="1:18">
      <c r="A126" s="44"/>
      <c r="B126" s="38" t="s">
        <v>1105</v>
      </c>
      <c r="C126" s="38"/>
      <c r="D126" s="38"/>
      <c r="E126" s="38"/>
      <c r="F126" s="38"/>
      <c r="G126" s="38" t="s">
        <v>1095</v>
      </c>
      <c r="H126" s="38" t="s">
        <v>1095</v>
      </c>
      <c r="I126" s="38" t="s">
        <v>1095</v>
      </c>
      <c r="J126" s="38"/>
      <c r="K126" s="38"/>
      <c r="L126" s="42"/>
      <c r="M126" s="43"/>
      <c r="N126" s="43"/>
      <c r="O126" s="43"/>
      <c r="P126" s="43"/>
      <c r="Q126" s="43"/>
      <c r="R126" s="43"/>
    </row>
    <row r="127" spans="1:18">
      <c r="A127" s="44"/>
      <c r="B127" s="38" t="s">
        <v>1106</v>
      </c>
      <c r="C127" s="38"/>
      <c r="D127" s="38"/>
      <c r="E127" s="38"/>
      <c r="F127" s="38"/>
      <c r="G127" s="38" t="s">
        <v>1095</v>
      </c>
      <c r="H127" s="38" t="s">
        <v>1095</v>
      </c>
      <c r="I127" s="38" t="s">
        <v>1095</v>
      </c>
      <c r="J127" s="38"/>
      <c r="K127" s="38"/>
      <c r="L127" s="42"/>
      <c r="M127" s="43"/>
      <c r="N127" s="43"/>
      <c r="O127" s="43"/>
      <c r="P127" s="43"/>
      <c r="Q127" s="43"/>
      <c r="R127" s="43"/>
    </row>
    <row r="128" spans="1:18">
      <c r="A128" s="44"/>
      <c r="B128" s="38" t="s">
        <v>1107</v>
      </c>
      <c r="C128" s="38"/>
      <c r="D128" s="38"/>
      <c r="E128" s="38"/>
      <c r="F128" s="38"/>
      <c r="G128" s="38" t="s">
        <v>1095</v>
      </c>
      <c r="H128" s="38" t="s">
        <v>1095</v>
      </c>
      <c r="I128" s="38" t="s">
        <v>1095</v>
      </c>
      <c r="J128" s="38"/>
      <c r="K128" s="38"/>
      <c r="L128" s="42"/>
      <c r="M128" s="43"/>
      <c r="N128" s="43"/>
      <c r="O128" s="43"/>
      <c r="P128" s="43"/>
      <c r="Q128" s="43"/>
      <c r="R128" s="43"/>
    </row>
    <row r="129" spans="1:18">
      <c r="A129" s="44"/>
      <c r="B129" s="38" t="s">
        <v>1108</v>
      </c>
      <c r="C129" s="38"/>
      <c r="D129" s="38"/>
      <c r="E129" s="38"/>
      <c r="F129" s="38"/>
      <c r="G129" s="38" t="s">
        <v>1095</v>
      </c>
      <c r="H129" s="38" t="s">
        <v>1095</v>
      </c>
      <c r="I129" s="38" t="s">
        <v>1095</v>
      </c>
      <c r="J129" s="38"/>
      <c r="K129" s="38"/>
      <c r="L129" s="42"/>
      <c r="M129" s="43"/>
      <c r="N129" s="43"/>
      <c r="O129" s="43"/>
      <c r="P129" s="43"/>
      <c r="Q129" s="43"/>
      <c r="R129" s="43"/>
    </row>
    <row r="130" spans="1:18">
      <c r="A130" s="44"/>
      <c r="B130" s="38" t="s">
        <v>1109</v>
      </c>
      <c r="C130" s="38"/>
      <c r="D130" s="38"/>
      <c r="E130" s="38"/>
      <c r="F130" s="38"/>
      <c r="G130" s="38" t="s">
        <v>1095</v>
      </c>
      <c r="H130" s="38" t="s">
        <v>1095</v>
      </c>
      <c r="I130" s="38" t="s">
        <v>1095</v>
      </c>
      <c r="J130" s="38"/>
      <c r="K130" s="38"/>
      <c r="L130" s="42"/>
      <c r="M130" s="43"/>
      <c r="N130" s="43"/>
      <c r="O130" s="43"/>
      <c r="P130" s="43"/>
      <c r="Q130" s="43"/>
      <c r="R130" s="43"/>
    </row>
    <row r="131" spans="1:18">
      <c r="A131" s="44"/>
      <c r="B131" s="38" t="s">
        <v>1110</v>
      </c>
      <c r="C131" s="38"/>
      <c r="D131" s="38"/>
      <c r="E131" s="38"/>
      <c r="F131" s="38"/>
      <c r="G131" s="38" t="s">
        <v>1095</v>
      </c>
      <c r="H131" s="38" t="s">
        <v>1095</v>
      </c>
      <c r="I131" s="38" t="s">
        <v>1095</v>
      </c>
      <c r="J131" s="38"/>
      <c r="K131" s="38"/>
      <c r="L131" s="42"/>
      <c r="M131" s="43"/>
      <c r="N131" s="43"/>
      <c r="O131" s="43"/>
      <c r="P131" s="43"/>
      <c r="Q131" s="43"/>
      <c r="R131" s="43"/>
    </row>
    <row r="132" spans="1:18">
      <c r="A132" s="44"/>
      <c r="B132" s="38" t="s">
        <v>1111</v>
      </c>
      <c r="C132" s="38"/>
      <c r="D132" s="38"/>
      <c r="E132" s="38"/>
      <c r="F132" s="38"/>
      <c r="G132" s="38" t="s">
        <v>1112</v>
      </c>
      <c r="H132" s="38" t="s">
        <v>960</v>
      </c>
      <c r="I132" s="38" t="s">
        <v>1112</v>
      </c>
      <c r="J132" s="38"/>
      <c r="K132" s="38"/>
      <c r="L132" s="42"/>
      <c r="M132" s="43"/>
      <c r="N132" s="43"/>
      <c r="O132" s="43"/>
      <c r="P132" s="43"/>
      <c r="Q132" s="43"/>
      <c r="R132" s="43"/>
    </row>
    <row r="133" spans="1:18">
      <c r="A133" s="44"/>
      <c r="B133" s="38" t="s">
        <v>1113</v>
      </c>
      <c r="C133" s="38"/>
      <c r="D133" s="38"/>
      <c r="E133" s="38"/>
      <c r="F133" s="38"/>
      <c r="G133" s="38" t="s">
        <v>1112</v>
      </c>
      <c r="H133" s="38" t="s">
        <v>960</v>
      </c>
      <c r="I133" s="38" t="s">
        <v>1112</v>
      </c>
      <c r="J133" s="38"/>
      <c r="K133" s="38"/>
      <c r="L133" s="42"/>
      <c r="M133" s="43"/>
      <c r="N133" s="43"/>
      <c r="O133" s="43"/>
      <c r="P133" s="43"/>
      <c r="Q133" s="43"/>
      <c r="R133" s="43"/>
    </row>
    <row r="134" spans="1:18">
      <c r="A134" s="44"/>
      <c r="B134" s="38" t="s">
        <v>1114</v>
      </c>
      <c r="C134" s="38"/>
      <c r="D134" s="38"/>
      <c r="E134" s="38"/>
      <c r="F134" s="38"/>
      <c r="G134" s="38" t="s">
        <v>981</v>
      </c>
      <c r="H134" s="38" t="s">
        <v>919</v>
      </c>
      <c r="I134" s="38" t="s">
        <v>981</v>
      </c>
      <c r="J134" s="38"/>
      <c r="K134" s="38"/>
      <c r="L134" s="42"/>
      <c r="M134" s="43"/>
      <c r="N134" s="43"/>
      <c r="O134" s="43"/>
      <c r="P134" s="43"/>
      <c r="Q134" s="43"/>
      <c r="R134" s="43"/>
    </row>
    <row r="135" spans="1:18">
      <c r="A135" s="44"/>
      <c r="B135" s="38" t="s">
        <v>1115</v>
      </c>
      <c r="C135" s="38"/>
      <c r="D135" s="38"/>
      <c r="E135" s="38"/>
      <c r="F135" s="38"/>
      <c r="G135" s="38" t="s">
        <v>917</v>
      </c>
      <c r="H135" s="38" t="s">
        <v>972</v>
      </c>
      <c r="I135" s="38" t="s">
        <v>917</v>
      </c>
      <c r="J135" s="38"/>
      <c r="K135" s="38"/>
      <c r="L135" s="42"/>
      <c r="M135" s="43"/>
      <c r="N135" s="43"/>
      <c r="O135" s="43"/>
      <c r="P135" s="43"/>
      <c r="Q135" s="43"/>
      <c r="R135" s="43"/>
    </row>
    <row r="136" spans="1:18">
      <c r="A136" s="44"/>
      <c r="B136" s="38" t="s">
        <v>1116</v>
      </c>
      <c r="C136" s="38"/>
      <c r="D136" s="38"/>
      <c r="E136" s="38"/>
      <c r="F136" s="38"/>
      <c r="G136" s="38" t="s">
        <v>1117</v>
      </c>
      <c r="H136" s="38" t="s">
        <v>1117</v>
      </c>
      <c r="I136" s="38" t="s">
        <v>1117</v>
      </c>
      <c r="J136" s="38"/>
      <c r="K136" s="38"/>
      <c r="L136" s="42"/>
      <c r="M136" s="43"/>
      <c r="N136" s="43"/>
      <c r="O136" s="43"/>
      <c r="P136" s="43"/>
      <c r="Q136" s="43"/>
      <c r="R136" s="43"/>
    </row>
    <row r="137" spans="1:18">
      <c r="A137" s="44"/>
      <c r="B137" s="38" t="s">
        <v>1118</v>
      </c>
      <c r="C137" s="38"/>
      <c r="D137" s="38"/>
      <c r="E137" s="38"/>
      <c r="F137" s="38"/>
      <c r="G137" s="38" t="s">
        <v>1117</v>
      </c>
      <c r="H137" s="38" t="s">
        <v>1117</v>
      </c>
      <c r="I137" s="38" t="s">
        <v>1117</v>
      </c>
      <c r="J137" s="38"/>
      <c r="K137" s="38"/>
      <c r="L137" s="42"/>
      <c r="M137" s="43"/>
      <c r="N137" s="43"/>
      <c r="O137" s="43"/>
      <c r="P137" s="43"/>
      <c r="Q137" s="43"/>
      <c r="R137" s="43"/>
    </row>
    <row r="138" spans="1:18">
      <c r="A138" s="44"/>
      <c r="B138" s="38" t="s">
        <v>1119</v>
      </c>
      <c r="C138" s="38"/>
      <c r="D138" s="38"/>
      <c r="E138" s="38"/>
      <c r="F138" s="38"/>
      <c r="G138" s="38" t="s">
        <v>1120</v>
      </c>
      <c r="H138" s="38" t="s">
        <v>1121</v>
      </c>
      <c r="I138" s="38" t="s">
        <v>1120</v>
      </c>
      <c r="J138" s="38"/>
      <c r="K138" s="38"/>
      <c r="L138" s="42"/>
      <c r="M138" s="43"/>
      <c r="N138" s="43"/>
      <c r="O138" s="43"/>
      <c r="P138" s="43"/>
      <c r="Q138" s="43"/>
      <c r="R138" s="43"/>
    </row>
    <row r="139" spans="1:18">
      <c r="A139" s="44"/>
      <c r="B139" s="38" t="s">
        <v>1122</v>
      </c>
      <c r="C139" s="38"/>
      <c r="D139" s="38"/>
      <c r="E139" s="38"/>
      <c r="F139" s="38"/>
      <c r="G139" s="42" t="s">
        <v>1120</v>
      </c>
      <c r="H139" s="38" t="s">
        <v>1121</v>
      </c>
      <c r="I139" s="42" t="s">
        <v>1120</v>
      </c>
      <c r="J139" s="38"/>
      <c r="K139" s="38"/>
      <c r="L139" s="42"/>
      <c r="M139" s="43"/>
      <c r="N139" s="43"/>
      <c r="O139" s="43"/>
      <c r="P139" s="43"/>
      <c r="Q139" s="43"/>
      <c r="R139" s="43"/>
    </row>
    <row r="140" spans="1:18">
      <c r="A140" s="44"/>
      <c r="B140" s="38" t="s">
        <v>1123</v>
      </c>
      <c r="C140" s="38"/>
      <c r="D140" s="38"/>
      <c r="E140" s="38"/>
      <c r="F140" s="38"/>
      <c r="G140" s="42" t="s">
        <v>1124</v>
      </c>
      <c r="H140" s="38" t="s">
        <v>972</v>
      </c>
      <c r="I140" s="42" t="s">
        <v>1124</v>
      </c>
      <c r="J140" s="38"/>
      <c r="K140" s="38"/>
      <c r="L140" s="42"/>
      <c r="M140" s="43"/>
      <c r="N140" s="43"/>
      <c r="O140" s="43"/>
      <c r="P140" s="43"/>
      <c r="Q140" s="43"/>
      <c r="R140" s="43"/>
    </row>
    <row r="141" spans="1:18">
      <c r="A141" s="44"/>
      <c r="B141" s="38" t="s">
        <v>1125</v>
      </c>
      <c r="C141" s="38"/>
      <c r="D141" s="38"/>
      <c r="E141" s="38"/>
      <c r="F141" s="38"/>
      <c r="G141" s="38" t="s">
        <v>1126</v>
      </c>
      <c r="H141" s="38" t="s">
        <v>1127</v>
      </c>
      <c r="I141" s="38" t="s">
        <v>1126</v>
      </c>
      <c r="J141" s="38"/>
      <c r="K141" s="38"/>
      <c r="L141" s="42"/>
      <c r="M141" s="43"/>
      <c r="N141" s="43"/>
      <c r="O141" s="43"/>
      <c r="P141" s="43"/>
      <c r="Q141" s="43"/>
      <c r="R141" s="43"/>
    </row>
    <row r="142" spans="1:18">
      <c r="A142" s="44"/>
      <c r="B142" s="38" t="s">
        <v>1128</v>
      </c>
      <c r="C142" s="38"/>
      <c r="D142" s="38"/>
      <c r="E142" s="38"/>
      <c r="F142" s="38"/>
      <c r="G142" s="38" t="s">
        <v>1129</v>
      </c>
      <c r="H142" s="38" t="s">
        <v>1130</v>
      </c>
      <c r="I142" s="38" t="s">
        <v>1129</v>
      </c>
      <c r="J142" s="38"/>
      <c r="K142" s="38"/>
      <c r="L142" s="42"/>
      <c r="M142" s="43"/>
      <c r="N142" s="43"/>
      <c r="O142" s="43"/>
      <c r="P142" s="43"/>
      <c r="Q142" s="43"/>
      <c r="R142" s="43"/>
    </row>
    <row r="143" spans="1:18">
      <c r="A143" s="44"/>
      <c r="B143" s="38" t="s">
        <v>1131</v>
      </c>
      <c r="C143" s="38"/>
      <c r="D143" s="38"/>
      <c r="E143" s="38"/>
      <c r="F143" s="38"/>
      <c r="G143" s="38" t="s">
        <v>1132</v>
      </c>
      <c r="H143" s="38" t="s">
        <v>1133</v>
      </c>
      <c r="I143" s="38" t="s">
        <v>1132</v>
      </c>
      <c r="J143" s="38"/>
      <c r="K143" s="38"/>
      <c r="L143" s="42"/>
      <c r="M143" s="43"/>
      <c r="N143" s="43"/>
      <c r="O143" s="43"/>
      <c r="P143" s="43"/>
      <c r="Q143" s="43"/>
      <c r="R143" s="43"/>
    </row>
    <row r="144" spans="1:18">
      <c r="A144" s="44"/>
      <c r="B144" s="38" t="s">
        <v>1134</v>
      </c>
      <c r="C144" s="38"/>
      <c r="D144" s="38"/>
      <c r="E144" s="38"/>
      <c r="F144" s="38"/>
      <c r="G144" s="38" t="s">
        <v>972</v>
      </c>
      <c r="H144" s="38" t="s">
        <v>919</v>
      </c>
      <c r="I144" s="38" t="s">
        <v>972</v>
      </c>
      <c r="J144" s="38"/>
      <c r="K144" s="38"/>
      <c r="L144" s="42"/>
      <c r="M144" s="43"/>
      <c r="N144" s="43"/>
      <c r="O144" s="43"/>
      <c r="P144" s="43"/>
      <c r="Q144" s="43"/>
      <c r="R144" s="43"/>
    </row>
    <row r="145" spans="1:18">
      <c r="A145" s="44"/>
      <c r="B145" s="38" t="s">
        <v>1135</v>
      </c>
      <c r="C145" s="38"/>
      <c r="D145" s="38"/>
      <c r="E145" s="38"/>
      <c r="F145" s="38"/>
      <c r="G145" s="38" t="s">
        <v>1007</v>
      </c>
      <c r="H145" s="38" t="s">
        <v>972</v>
      </c>
      <c r="I145" s="38" t="s">
        <v>1007</v>
      </c>
      <c r="J145" s="38"/>
      <c r="K145" s="38"/>
      <c r="L145" s="42"/>
      <c r="M145" s="43"/>
      <c r="N145" s="43"/>
      <c r="O145" s="43"/>
      <c r="P145" s="43"/>
      <c r="Q145" s="43"/>
      <c r="R145" s="43"/>
    </row>
    <row r="146" spans="1:18">
      <c r="A146" s="44"/>
      <c r="B146" s="38" t="s">
        <v>1136</v>
      </c>
      <c r="C146" s="38"/>
      <c r="D146" s="38"/>
      <c r="E146" s="38"/>
      <c r="F146" s="38"/>
      <c r="G146" s="38" t="s">
        <v>1137</v>
      </c>
      <c r="H146" s="38" t="s">
        <v>1124</v>
      </c>
      <c r="I146" s="38" t="s">
        <v>1137</v>
      </c>
      <c r="J146" s="38"/>
      <c r="K146" s="38"/>
      <c r="L146" s="42"/>
      <c r="M146" s="43"/>
      <c r="N146" s="43"/>
      <c r="O146" s="43"/>
      <c r="P146" s="43"/>
      <c r="Q146" s="43"/>
      <c r="R146" s="43"/>
    </row>
    <row r="147" spans="1:18">
      <c r="A147" s="44"/>
      <c r="B147" s="38" t="s">
        <v>1138</v>
      </c>
      <c r="C147" s="38"/>
      <c r="D147" s="38"/>
      <c r="E147" s="38"/>
      <c r="F147" s="38"/>
      <c r="G147" s="38" t="s">
        <v>913</v>
      </c>
      <c r="H147" s="38" t="s">
        <v>913</v>
      </c>
      <c r="I147" s="38" t="s">
        <v>913</v>
      </c>
      <c r="J147" s="38"/>
      <c r="K147" s="38"/>
      <c r="L147" s="42"/>
      <c r="M147" s="43"/>
      <c r="N147" s="43"/>
      <c r="O147" s="43"/>
      <c r="P147" s="43"/>
      <c r="Q147" s="43"/>
      <c r="R147" s="43"/>
    </row>
    <row r="148" spans="1:18">
      <c r="A148" s="44"/>
      <c r="B148" s="38" t="s">
        <v>1139</v>
      </c>
      <c r="C148" s="38"/>
      <c r="D148" s="38"/>
      <c r="E148" s="38"/>
      <c r="F148" s="38"/>
      <c r="G148" s="38" t="s">
        <v>942</v>
      </c>
      <c r="H148" s="38" t="s">
        <v>942</v>
      </c>
      <c r="I148" s="38" t="s">
        <v>942</v>
      </c>
      <c r="J148" s="38"/>
      <c r="K148" s="38"/>
      <c r="L148" s="42"/>
      <c r="M148" s="43"/>
      <c r="N148" s="43"/>
      <c r="O148" s="43"/>
      <c r="P148" s="43"/>
      <c r="Q148" s="43"/>
      <c r="R148" s="43"/>
    </row>
    <row r="149" spans="1:18">
      <c r="A149" s="44"/>
      <c r="B149" s="38" t="s">
        <v>1140</v>
      </c>
      <c r="C149" s="38"/>
      <c r="D149" s="38"/>
      <c r="E149" s="38"/>
      <c r="F149" s="38"/>
      <c r="G149" s="38" t="s">
        <v>1019</v>
      </c>
      <c r="H149" s="38" t="s">
        <v>1019</v>
      </c>
      <c r="I149" s="38" t="s">
        <v>1019</v>
      </c>
      <c r="J149" s="38"/>
      <c r="K149" s="38"/>
      <c r="L149" s="42"/>
      <c r="M149" s="43"/>
      <c r="N149" s="43"/>
      <c r="O149" s="43"/>
      <c r="P149" s="43"/>
      <c r="Q149" s="43"/>
      <c r="R149" s="43"/>
    </row>
    <row r="150" spans="1:18">
      <c r="A150" s="44"/>
      <c r="B150" s="38" t="s">
        <v>1141</v>
      </c>
      <c r="C150" s="38"/>
      <c r="D150" s="38"/>
      <c r="E150" s="38"/>
      <c r="F150" s="38"/>
      <c r="G150" s="38" t="s">
        <v>1142</v>
      </c>
      <c r="H150" s="38" t="s">
        <v>1142</v>
      </c>
      <c r="I150" s="38" t="s">
        <v>1142</v>
      </c>
      <c r="J150" s="38"/>
      <c r="K150" s="38"/>
      <c r="L150" s="42"/>
      <c r="M150" s="43"/>
      <c r="N150" s="43"/>
      <c r="O150" s="43"/>
      <c r="P150" s="43"/>
      <c r="Q150" s="43"/>
      <c r="R150" s="43"/>
    </row>
    <row r="151" spans="1:18">
      <c r="A151" s="44"/>
      <c r="B151" s="38" t="s">
        <v>1143</v>
      </c>
      <c r="C151" s="38"/>
      <c r="D151" s="38"/>
      <c r="E151" s="38"/>
      <c r="F151" s="38"/>
      <c r="G151" s="38" t="s">
        <v>1144</v>
      </c>
      <c r="H151" s="38" t="s">
        <v>1144</v>
      </c>
      <c r="I151" s="38" t="s">
        <v>1144</v>
      </c>
      <c r="J151" s="38"/>
      <c r="K151" s="38"/>
      <c r="L151" s="42"/>
      <c r="M151" s="43"/>
      <c r="N151" s="43"/>
      <c r="O151" s="43"/>
      <c r="P151" s="43"/>
      <c r="Q151" s="43"/>
      <c r="R151" s="43"/>
    </row>
    <row r="152" spans="1:18">
      <c r="A152" s="44"/>
      <c r="B152" s="38" t="s">
        <v>1145</v>
      </c>
      <c r="C152" s="38"/>
      <c r="D152" s="38"/>
      <c r="E152" s="38"/>
      <c r="F152" s="38"/>
      <c r="G152" s="38" t="s">
        <v>923</v>
      </c>
      <c r="H152" s="38" t="s">
        <v>923</v>
      </c>
      <c r="I152" s="38" t="s">
        <v>923</v>
      </c>
      <c r="J152" s="38"/>
      <c r="K152" s="38"/>
      <c r="L152" s="42"/>
      <c r="M152" s="43"/>
      <c r="N152" s="43"/>
      <c r="O152" s="43"/>
      <c r="P152" s="43"/>
      <c r="Q152" s="43"/>
      <c r="R152" s="43"/>
    </row>
    <row r="153" spans="1:18">
      <c r="A153" s="44"/>
      <c r="B153" s="38" t="s">
        <v>1146</v>
      </c>
      <c r="C153" s="38"/>
      <c r="D153" s="38"/>
      <c r="E153" s="38"/>
      <c r="F153" s="38"/>
      <c r="G153" s="38" t="s">
        <v>942</v>
      </c>
      <c r="H153" s="38" t="s">
        <v>942</v>
      </c>
      <c r="I153" s="38" t="s">
        <v>942</v>
      </c>
      <c r="J153" s="38"/>
      <c r="K153" s="38"/>
      <c r="L153" s="42"/>
      <c r="M153" s="43"/>
      <c r="N153" s="43"/>
      <c r="O153" s="43"/>
      <c r="P153" s="43"/>
      <c r="Q153" s="43"/>
      <c r="R153" s="43"/>
    </row>
    <row r="154" spans="1:18">
      <c r="A154" s="44"/>
      <c r="B154" s="38" t="s">
        <v>1147</v>
      </c>
      <c r="C154" s="38"/>
      <c r="D154" s="38"/>
      <c r="E154" s="38"/>
      <c r="F154" s="38"/>
      <c r="G154" s="38" t="s">
        <v>1148</v>
      </c>
      <c r="H154" s="38" t="s">
        <v>1148</v>
      </c>
      <c r="I154" s="38" t="s">
        <v>1148</v>
      </c>
      <c r="J154" s="38"/>
      <c r="K154" s="38"/>
      <c r="L154" s="42"/>
      <c r="M154" s="43"/>
      <c r="N154" s="43"/>
      <c r="O154" s="43"/>
      <c r="P154" s="43"/>
      <c r="Q154" s="43"/>
      <c r="R154" s="43"/>
    </row>
    <row r="155" spans="1:18">
      <c r="A155" s="44"/>
      <c r="B155" s="38" t="s">
        <v>1149</v>
      </c>
      <c r="C155" s="38"/>
      <c r="D155" s="38"/>
      <c r="E155" s="38"/>
      <c r="F155" s="38"/>
      <c r="G155" s="38" t="s">
        <v>917</v>
      </c>
      <c r="H155" s="38" t="s">
        <v>917</v>
      </c>
      <c r="I155" s="38" t="s">
        <v>917</v>
      </c>
      <c r="J155" s="38"/>
      <c r="K155" s="38"/>
      <c r="L155" s="42"/>
      <c r="M155" s="43"/>
      <c r="N155" s="43"/>
      <c r="O155" s="43"/>
      <c r="P155" s="43"/>
      <c r="Q155" s="43"/>
      <c r="R155" s="43"/>
    </row>
    <row r="156" spans="1:18">
      <c r="A156" s="44"/>
      <c r="B156" s="38" t="s">
        <v>1150</v>
      </c>
      <c r="C156" s="38"/>
      <c r="D156" s="38"/>
      <c r="E156" s="38"/>
      <c r="F156" s="38"/>
      <c r="G156" s="38" t="s">
        <v>1151</v>
      </c>
      <c r="H156" s="38" t="s">
        <v>1152</v>
      </c>
      <c r="I156" s="38" t="s">
        <v>1151</v>
      </c>
      <c r="J156" s="38"/>
      <c r="K156" s="38"/>
      <c r="L156" s="42"/>
      <c r="M156" s="43"/>
      <c r="N156" s="43"/>
      <c r="O156" s="43"/>
      <c r="P156" s="43"/>
      <c r="Q156" s="43"/>
      <c r="R156" s="43"/>
    </row>
    <row r="157" spans="1:18">
      <c r="A157" s="44"/>
      <c r="B157" s="38" t="s">
        <v>1153</v>
      </c>
      <c r="C157" s="38"/>
      <c r="D157" s="38"/>
      <c r="E157" s="38"/>
      <c r="F157" s="38"/>
      <c r="G157" s="38" t="s">
        <v>921</v>
      </c>
      <c r="H157" s="38" t="s">
        <v>1152</v>
      </c>
      <c r="I157" s="38" t="s">
        <v>921</v>
      </c>
      <c r="J157" s="38"/>
      <c r="K157" s="38"/>
      <c r="L157" s="42"/>
      <c r="M157" s="43"/>
      <c r="N157" s="43"/>
      <c r="O157" s="43"/>
      <c r="P157" s="43"/>
      <c r="Q157" s="43"/>
      <c r="R157" s="43"/>
    </row>
    <row r="158" spans="1:18">
      <c r="A158" s="44"/>
      <c r="B158" s="38" t="s">
        <v>1154</v>
      </c>
      <c r="C158" s="38"/>
      <c r="D158" s="38"/>
      <c r="E158" s="38"/>
      <c r="F158" s="38"/>
      <c r="G158" s="38" t="s">
        <v>1155</v>
      </c>
      <c r="H158" s="38" t="s">
        <v>1156</v>
      </c>
      <c r="I158" s="38" t="s">
        <v>1155</v>
      </c>
      <c r="J158" s="38"/>
      <c r="K158" s="38"/>
      <c r="L158" s="42"/>
      <c r="M158" s="43"/>
      <c r="N158" s="43"/>
      <c r="O158" s="43"/>
      <c r="P158" s="43"/>
      <c r="Q158" s="43"/>
      <c r="R158" s="43"/>
    </row>
    <row r="159" spans="1:18">
      <c r="A159" s="44"/>
      <c r="B159" s="38" t="s">
        <v>1157</v>
      </c>
      <c r="C159" s="38"/>
      <c r="D159" s="38"/>
      <c r="E159" s="38"/>
      <c r="F159" s="38"/>
      <c r="G159" s="38" t="s">
        <v>1158</v>
      </c>
      <c r="H159" s="38" t="s">
        <v>1158</v>
      </c>
      <c r="I159" s="38" t="s">
        <v>1158</v>
      </c>
      <c r="J159" s="38"/>
      <c r="K159" s="38"/>
      <c r="L159" s="42"/>
      <c r="M159" s="43"/>
      <c r="N159" s="43"/>
      <c r="O159" s="43"/>
      <c r="P159" s="43"/>
      <c r="Q159" s="43"/>
      <c r="R159" s="43"/>
    </row>
    <row r="160" spans="1:18">
      <c r="A160" s="44"/>
      <c r="B160" s="38" t="s">
        <v>1159</v>
      </c>
      <c r="C160" s="38"/>
      <c r="D160" s="38"/>
      <c r="E160" s="38"/>
      <c r="F160" s="38"/>
      <c r="G160" s="38" t="s">
        <v>1158</v>
      </c>
      <c r="H160" s="38" t="s">
        <v>1158</v>
      </c>
      <c r="I160" s="38" t="s">
        <v>1158</v>
      </c>
      <c r="J160" s="38"/>
      <c r="K160" s="38"/>
      <c r="L160" s="42"/>
      <c r="M160" s="43"/>
      <c r="N160" s="43"/>
      <c r="O160" s="43"/>
      <c r="P160" s="43"/>
      <c r="Q160" s="43"/>
      <c r="R160" s="43"/>
    </row>
    <row r="161" spans="1:18">
      <c r="A161" s="44"/>
      <c r="B161" s="38" t="s">
        <v>1160</v>
      </c>
      <c r="C161" s="38"/>
      <c r="D161" s="38"/>
      <c r="E161" s="38"/>
      <c r="F161" s="38"/>
      <c r="G161" s="38" t="s">
        <v>1151</v>
      </c>
      <c r="H161" s="38" t="s">
        <v>1151</v>
      </c>
      <c r="I161" s="38" t="s">
        <v>1151</v>
      </c>
      <c r="J161" s="38"/>
      <c r="K161" s="38"/>
      <c r="L161" s="42"/>
      <c r="M161" s="43"/>
      <c r="N161" s="43"/>
      <c r="O161" s="43"/>
      <c r="P161" s="43"/>
      <c r="Q161" s="43"/>
      <c r="R161" s="43"/>
    </row>
    <row r="162" spans="1:18">
      <c r="A162" s="44"/>
      <c r="B162" s="38" t="s">
        <v>1161</v>
      </c>
      <c r="C162" s="38"/>
      <c r="D162" s="38"/>
      <c r="E162" s="38"/>
      <c r="F162" s="38"/>
      <c r="G162" s="38" t="s">
        <v>964</v>
      </c>
      <c r="H162" s="38" t="s">
        <v>964</v>
      </c>
      <c r="I162" s="38" t="s">
        <v>964</v>
      </c>
      <c r="J162" s="38"/>
      <c r="K162" s="38"/>
      <c r="L162" s="42"/>
      <c r="M162" s="43"/>
      <c r="N162" s="43"/>
      <c r="O162" s="43"/>
      <c r="P162" s="43"/>
      <c r="Q162" s="43"/>
      <c r="R162" s="43"/>
    </row>
    <row r="163" spans="1:18">
      <c r="A163" s="44"/>
      <c r="B163" s="38" t="s">
        <v>1162</v>
      </c>
      <c r="C163" s="38"/>
      <c r="D163" s="38"/>
      <c r="E163" s="38"/>
      <c r="F163" s="38"/>
      <c r="G163" s="38" t="s">
        <v>950</v>
      </c>
      <c r="H163" s="38" t="s">
        <v>950</v>
      </c>
      <c r="I163" s="38" t="s">
        <v>950</v>
      </c>
      <c r="J163" s="38"/>
      <c r="K163" s="38"/>
      <c r="L163" s="42"/>
      <c r="M163" s="43"/>
      <c r="N163" s="43"/>
      <c r="O163" s="43"/>
      <c r="P163" s="43"/>
      <c r="Q163" s="43"/>
      <c r="R163" s="43"/>
    </row>
    <row r="164" spans="1:18">
      <c r="A164" s="44"/>
      <c r="B164" s="38" t="s">
        <v>1163</v>
      </c>
      <c r="C164" s="38"/>
      <c r="D164" s="38"/>
      <c r="E164" s="38"/>
      <c r="F164" s="38"/>
      <c r="G164" s="38" t="s">
        <v>985</v>
      </c>
      <c r="H164" s="38" t="s">
        <v>985</v>
      </c>
      <c r="I164" s="38" t="s">
        <v>985</v>
      </c>
      <c r="J164" s="38"/>
      <c r="K164" s="38"/>
      <c r="L164" s="42"/>
      <c r="M164" s="43"/>
      <c r="N164" s="43"/>
      <c r="O164" s="43"/>
      <c r="P164" s="43"/>
      <c r="Q164" s="43"/>
      <c r="R164" s="43"/>
    </row>
    <row r="165" spans="1:18">
      <c r="A165" s="44"/>
      <c r="B165" s="38" t="s">
        <v>1164</v>
      </c>
      <c r="C165" s="38"/>
      <c r="D165" s="38"/>
      <c r="E165" s="38"/>
      <c r="F165" s="38"/>
      <c r="G165" s="38" t="s">
        <v>1148</v>
      </c>
      <c r="H165" s="38" t="s">
        <v>1148</v>
      </c>
      <c r="I165" s="38" t="s">
        <v>1148</v>
      </c>
      <c r="J165" s="38"/>
      <c r="K165" s="38"/>
      <c r="L165" s="42"/>
      <c r="M165" s="43"/>
      <c r="N165" s="43"/>
      <c r="O165" s="43"/>
      <c r="P165" s="43"/>
      <c r="Q165" s="43"/>
      <c r="R165" s="43"/>
    </row>
    <row r="166" spans="1:18">
      <c r="A166" s="44"/>
      <c r="B166" s="38" t="s">
        <v>1165</v>
      </c>
      <c r="C166" s="38"/>
      <c r="D166" s="38"/>
      <c r="E166" s="38"/>
      <c r="F166" s="38"/>
      <c r="G166" s="38" t="s">
        <v>983</v>
      </c>
      <c r="H166" s="38" t="s">
        <v>983</v>
      </c>
      <c r="I166" s="38" t="s">
        <v>983</v>
      </c>
      <c r="J166" s="38"/>
      <c r="K166" s="38"/>
      <c r="L166" s="42"/>
      <c r="M166" s="43"/>
      <c r="N166" s="43"/>
      <c r="O166" s="43"/>
      <c r="P166" s="43"/>
      <c r="Q166" s="43"/>
      <c r="R166" s="43"/>
    </row>
    <row r="167" spans="1:18">
      <c r="A167" s="44"/>
      <c r="B167" s="38" t="s">
        <v>1166</v>
      </c>
      <c r="C167" s="38"/>
      <c r="D167" s="38"/>
      <c r="E167" s="38"/>
      <c r="F167" s="38"/>
      <c r="G167" s="38" t="s">
        <v>1019</v>
      </c>
      <c r="H167" s="38" t="s">
        <v>1019</v>
      </c>
      <c r="I167" s="38" t="s">
        <v>1019</v>
      </c>
      <c r="J167" s="38"/>
      <c r="K167" s="38"/>
      <c r="L167" s="42"/>
      <c r="M167" s="43"/>
      <c r="N167" s="43"/>
      <c r="O167" s="43"/>
      <c r="P167" s="43"/>
      <c r="Q167" s="43"/>
      <c r="R167" s="43"/>
    </row>
    <row r="168" spans="1:18">
      <c r="A168" s="44"/>
      <c r="B168" s="38" t="s">
        <v>1167</v>
      </c>
      <c r="C168" s="38"/>
      <c r="D168" s="38"/>
      <c r="E168" s="38"/>
      <c r="F168" s="38"/>
      <c r="G168" s="38" t="s">
        <v>966</v>
      </c>
      <c r="H168" s="38" t="s">
        <v>966</v>
      </c>
      <c r="I168" s="38" t="s">
        <v>966</v>
      </c>
      <c r="J168" s="38"/>
      <c r="K168" s="38"/>
      <c r="L168" s="42"/>
      <c r="M168" s="43"/>
      <c r="N168" s="43"/>
      <c r="O168" s="43"/>
      <c r="P168" s="43"/>
      <c r="Q168" s="43"/>
      <c r="R168" s="43"/>
    </row>
    <row r="169" spans="1:18">
      <c r="A169" s="44"/>
      <c r="B169" s="38" t="s">
        <v>1168</v>
      </c>
      <c r="C169" s="38"/>
      <c r="D169" s="38"/>
      <c r="E169" s="38"/>
      <c r="F169" s="38"/>
      <c r="G169" s="38" t="s">
        <v>968</v>
      </c>
      <c r="H169" s="38" t="s">
        <v>968</v>
      </c>
      <c r="I169" s="38" t="s">
        <v>968</v>
      </c>
      <c r="J169" s="38"/>
      <c r="K169" s="38"/>
      <c r="L169" s="42"/>
      <c r="M169" s="43"/>
      <c r="N169" s="43"/>
      <c r="O169" s="43"/>
      <c r="P169" s="43"/>
      <c r="Q169" s="43"/>
      <c r="R169" s="43"/>
    </row>
    <row r="170" spans="1:18">
      <c r="A170" s="44"/>
      <c r="B170" s="38" t="s">
        <v>1169</v>
      </c>
      <c r="C170" s="38"/>
      <c r="D170" s="38"/>
      <c r="E170" s="38"/>
      <c r="F170" s="38"/>
      <c r="G170" s="38" t="s">
        <v>1170</v>
      </c>
      <c r="H170" s="38" t="s">
        <v>1170</v>
      </c>
      <c r="I170" s="38" t="s">
        <v>1170</v>
      </c>
      <c r="J170" s="38"/>
      <c r="K170" s="38"/>
      <c r="L170" s="42"/>
      <c r="M170" s="43"/>
      <c r="N170" s="43"/>
      <c r="O170" s="43"/>
      <c r="P170" s="43"/>
      <c r="Q170" s="43"/>
      <c r="R170" s="43"/>
    </row>
    <row r="171" spans="1:18">
      <c r="A171" s="44"/>
      <c r="B171" s="38" t="s">
        <v>1171</v>
      </c>
      <c r="C171" s="38"/>
      <c r="D171" s="38"/>
      <c r="E171" s="38"/>
      <c r="F171" s="38"/>
      <c r="G171" s="38" t="s">
        <v>1055</v>
      </c>
      <c r="H171" s="38" t="s">
        <v>1055</v>
      </c>
      <c r="I171" s="38" t="s">
        <v>1055</v>
      </c>
      <c r="J171" s="38"/>
      <c r="K171" s="38"/>
      <c r="L171" s="42"/>
      <c r="M171" s="43"/>
      <c r="N171" s="43"/>
      <c r="O171" s="43"/>
      <c r="P171" s="43"/>
      <c r="Q171" s="43"/>
      <c r="R171" s="43"/>
    </row>
    <row r="172" spans="1:18">
      <c r="A172" s="44"/>
      <c r="B172" s="38" t="s">
        <v>1172</v>
      </c>
      <c r="C172" s="38"/>
      <c r="D172" s="38"/>
      <c r="E172" s="38"/>
      <c r="F172" s="38"/>
      <c r="G172" s="38" t="s">
        <v>1173</v>
      </c>
      <c r="H172" s="38" t="s">
        <v>1173</v>
      </c>
      <c r="I172" s="38" t="s">
        <v>1173</v>
      </c>
      <c r="J172" s="38"/>
      <c r="K172" s="38"/>
      <c r="L172" s="42"/>
      <c r="M172" s="43"/>
      <c r="N172" s="43"/>
      <c r="O172" s="43"/>
      <c r="P172" s="43"/>
      <c r="Q172" s="43"/>
      <c r="R172" s="43"/>
    </row>
    <row r="173" spans="1:18">
      <c r="A173" s="44"/>
      <c r="B173" s="38" t="s">
        <v>1174</v>
      </c>
      <c r="C173" s="38"/>
      <c r="D173" s="38"/>
      <c r="E173" s="38"/>
      <c r="F173" s="38"/>
      <c r="G173" s="38" t="s">
        <v>1112</v>
      </c>
      <c r="H173" s="38" t="s">
        <v>1112</v>
      </c>
      <c r="I173" s="38" t="s">
        <v>1112</v>
      </c>
      <c r="J173" s="38"/>
      <c r="K173" s="38"/>
      <c r="L173" s="42"/>
      <c r="M173" s="43"/>
      <c r="N173" s="43"/>
      <c r="O173" s="43"/>
      <c r="P173" s="43"/>
      <c r="Q173" s="43"/>
      <c r="R173" s="43"/>
    </row>
    <row r="174" spans="1:18">
      <c r="A174" s="44"/>
      <c r="B174" s="38" t="s">
        <v>1175</v>
      </c>
      <c r="C174" s="38"/>
      <c r="D174" s="38"/>
      <c r="E174" s="38"/>
      <c r="F174" s="38"/>
      <c r="G174" s="38" t="s">
        <v>1112</v>
      </c>
      <c r="H174" s="38" t="s">
        <v>1112</v>
      </c>
      <c r="I174" s="38" t="s">
        <v>1112</v>
      </c>
      <c r="J174" s="38"/>
      <c r="K174" s="38"/>
      <c r="L174" s="42"/>
      <c r="M174" s="43"/>
      <c r="N174" s="43"/>
      <c r="O174" s="43"/>
      <c r="P174" s="43"/>
      <c r="Q174" s="43"/>
      <c r="R174" s="43"/>
    </row>
    <row r="175" spans="1:18">
      <c r="A175" s="44"/>
      <c r="B175" s="38" t="s">
        <v>1176</v>
      </c>
      <c r="C175" s="38"/>
      <c r="D175" s="38"/>
      <c r="E175" s="38"/>
      <c r="F175" s="38"/>
      <c r="G175" s="38" t="s">
        <v>1177</v>
      </c>
      <c r="H175" s="38" t="s">
        <v>1177</v>
      </c>
      <c r="I175" s="38" t="s">
        <v>1177</v>
      </c>
      <c r="J175" s="38"/>
      <c r="K175" s="38"/>
      <c r="L175" s="42"/>
      <c r="M175" s="43"/>
      <c r="N175" s="43"/>
      <c r="O175" s="43"/>
      <c r="P175" s="43"/>
      <c r="Q175" s="43"/>
      <c r="R175" s="43"/>
    </row>
    <row r="176" spans="1:18">
      <c r="A176" s="44"/>
      <c r="B176" s="38" t="s">
        <v>1178</v>
      </c>
      <c r="C176" s="38"/>
      <c r="D176" s="38"/>
      <c r="E176" s="38"/>
      <c r="F176" s="38"/>
      <c r="G176" s="38" t="s">
        <v>1148</v>
      </c>
      <c r="H176" s="38" t="s">
        <v>1148</v>
      </c>
      <c r="I176" s="38" t="s">
        <v>1148</v>
      </c>
      <c r="J176" s="38"/>
      <c r="K176" s="38"/>
      <c r="L176" s="42"/>
      <c r="M176" s="43"/>
      <c r="N176" s="43"/>
      <c r="O176" s="43"/>
      <c r="P176" s="43"/>
      <c r="Q176" s="43"/>
      <c r="R176" s="43"/>
    </row>
    <row r="177" spans="1:18">
      <c r="A177" s="44"/>
      <c r="B177" s="38" t="s">
        <v>1179</v>
      </c>
      <c r="C177" s="38"/>
      <c r="D177" s="38"/>
      <c r="E177" s="38"/>
      <c r="F177" s="38"/>
      <c r="G177" s="38" t="s">
        <v>983</v>
      </c>
      <c r="H177" s="38" t="s">
        <v>983</v>
      </c>
      <c r="I177" s="38" t="s">
        <v>983</v>
      </c>
      <c r="J177" s="38"/>
      <c r="K177" s="38"/>
      <c r="L177" s="42"/>
      <c r="M177" s="43"/>
      <c r="N177" s="43"/>
      <c r="O177" s="43"/>
      <c r="P177" s="43"/>
      <c r="Q177" s="43"/>
      <c r="R177" s="43"/>
    </row>
    <row r="178" spans="1:18">
      <c r="A178" s="44"/>
      <c r="B178" s="38" t="s">
        <v>1180</v>
      </c>
      <c r="C178" s="38"/>
      <c r="D178" s="38"/>
      <c r="E178" s="38"/>
      <c r="F178" s="38"/>
      <c r="G178" s="38" t="s">
        <v>1074</v>
      </c>
      <c r="H178" s="38" t="s">
        <v>1074</v>
      </c>
      <c r="I178" s="38" t="s">
        <v>1074</v>
      </c>
      <c r="J178" s="38"/>
      <c r="K178" s="38"/>
      <c r="L178" s="42"/>
      <c r="M178" s="43"/>
      <c r="N178" s="43"/>
      <c r="O178" s="43"/>
      <c r="P178" s="43"/>
      <c r="Q178" s="43"/>
      <c r="R178" s="43"/>
    </row>
    <row r="179" spans="1:18">
      <c r="A179" s="44"/>
      <c r="B179" s="38" t="s">
        <v>1181</v>
      </c>
      <c r="C179" s="38"/>
      <c r="D179" s="38"/>
      <c r="E179" s="38"/>
      <c r="F179" s="38"/>
      <c r="G179" s="38" t="s">
        <v>1182</v>
      </c>
      <c r="H179" s="38" t="s">
        <v>1182</v>
      </c>
      <c r="I179" s="38" t="s">
        <v>1182</v>
      </c>
      <c r="J179" s="38"/>
      <c r="K179" s="38"/>
      <c r="L179" s="42"/>
      <c r="M179" s="43"/>
      <c r="N179" s="43"/>
      <c r="O179" s="43"/>
      <c r="P179" s="43"/>
      <c r="Q179" s="43"/>
      <c r="R179" s="43"/>
    </row>
    <row r="180" spans="1:18">
      <c r="A180" s="44"/>
      <c r="B180" s="38" t="s">
        <v>1183</v>
      </c>
      <c r="C180" s="38"/>
      <c r="D180" s="38"/>
      <c r="E180" s="38"/>
      <c r="F180" s="38"/>
      <c r="G180" s="38" t="s">
        <v>1184</v>
      </c>
      <c r="H180" s="38" t="s">
        <v>1184</v>
      </c>
      <c r="I180" s="38" t="s">
        <v>1184</v>
      </c>
      <c r="J180" s="38"/>
      <c r="K180" s="38"/>
      <c r="L180" s="42"/>
      <c r="M180" s="43"/>
      <c r="N180" s="43"/>
      <c r="O180" s="43"/>
      <c r="P180" s="43"/>
      <c r="Q180" s="43"/>
      <c r="R180" s="43"/>
    </row>
    <row r="181" spans="1:18">
      <c r="A181" s="44"/>
      <c r="B181" s="38" t="s">
        <v>1185</v>
      </c>
      <c r="C181" s="38"/>
      <c r="D181" s="38"/>
      <c r="E181" s="38"/>
      <c r="F181" s="38"/>
      <c r="G181" s="38" t="s">
        <v>1186</v>
      </c>
      <c r="H181" s="38" t="s">
        <v>1186</v>
      </c>
      <c r="I181" s="38" t="s">
        <v>1186</v>
      </c>
      <c r="J181" s="38"/>
      <c r="K181" s="38"/>
      <c r="L181" s="42"/>
      <c r="M181" s="43"/>
      <c r="N181" s="43"/>
      <c r="O181" s="43"/>
      <c r="P181" s="43"/>
      <c r="Q181" s="43"/>
      <c r="R181" s="43"/>
    </row>
    <row r="182" spans="1:18">
      <c r="A182" s="44"/>
      <c r="B182" s="38" t="s">
        <v>1187</v>
      </c>
      <c r="C182" s="38"/>
      <c r="D182" s="38"/>
      <c r="E182" s="38"/>
      <c r="F182" s="38"/>
      <c r="G182" s="38" t="s">
        <v>1186</v>
      </c>
      <c r="H182" s="38" t="s">
        <v>1186</v>
      </c>
      <c r="I182" s="38" t="s">
        <v>1186</v>
      </c>
      <c r="J182" s="38"/>
      <c r="K182" s="38"/>
      <c r="L182" s="42"/>
      <c r="M182" s="43"/>
      <c r="N182" s="43"/>
      <c r="O182" s="43"/>
      <c r="P182" s="43"/>
      <c r="Q182" s="43"/>
      <c r="R182" s="43"/>
    </row>
    <row r="183" spans="1:18">
      <c r="A183" s="44"/>
      <c r="B183" s="38" t="s">
        <v>1188</v>
      </c>
      <c r="C183" s="38"/>
      <c r="D183" s="38"/>
      <c r="E183" s="38"/>
      <c r="F183" s="38"/>
      <c r="G183" s="38" t="s">
        <v>1189</v>
      </c>
      <c r="H183" s="38" t="s">
        <v>1189</v>
      </c>
      <c r="I183" s="38" t="s">
        <v>1189</v>
      </c>
      <c r="J183" s="38"/>
      <c r="K183" s="38"/>
      <c r="L183" s="42"/>
      <c r="M183" s="43"/>
      <c r="N183" s="43"/>
      <c r="O183" s="43"/>
      <c r="P183" s="43"/>
      <c r="Q183" s="43"/>
      <c r="R183" s="43"/>
    </row>
    <row r="184" spans="1:18">
      <c r="A184" s="44"/>
      <c r="B184" s="38" t="s">
        <v>1190</v>
      </c>
      <c r="C184" s="38"/>
      <c r="D184" s="38"/>
      <c r="E184" s="38"/>
      <c r="F184" s="38"/>
      <c r="G184" s="38" t="s">
        <v>1117</v>
      </c>
      <c r="H184" s="38" t="s">
        <v>1117</v>
      </c>
      <c r="I184" s="38" t="s">
        <v>1117</v>
      </c>
      <c r="J184" s="38"/>
      <c r="K184" s="38"/>
      <c r="L184" s="42"/>
      <c r="M184" s="43"/>
      <c r="N184" s="43"/>
      <c r="O184" s="43"/>
      <c r="P184" s="43"/>
      <c r="Q184" s="43"/>
      <c r="R184" s="43"/>
    </row>
    <row r="185" spans="1:18">
      <c r="A185" s="44"/>
      <c r="B185" s="38" t="s">
        <v>1191</v>
      </c>
      <c r="C185" s="38"/>
      <c r="D185" s="38"/>
      <c r="E185" s="38"/>
      <c r="F185" s="38"/>
      <c r="G185" s="38" t="s">
        <v>1117</v>
      </c>
      <c r="H185" s="38" t="s">
        <v>1117</v>
      </c>
      <c r="I185" s="38" t="s">
        <v>1117</v>
      </c>
      <c r="J185" s="38"/>
      <c r="K185" s="38"/>
      <c r="L185" s="42"/>
      <c r="M185" s="43"/>
      <c r="N185" s="43"/>
      <c r="O185" s="43"/>
      <c r="P185" s="43"/>
      <c r="Q185" s="43"/>
      <c r="R185" s="43"/>
    </row>
    <row r="186" spans="1:18">
      <c r="A186" s="44"/>
      <c r="B186" s="38" t="s">
        <v>1192</v>
      </c>
      <c r="C186" s="38"/>
      <c r="D186" s="38"/>
      <c r="E186" s="38"/>
      <c r="F186" s="38"/>
      <c r="G186" s="42" t="s">
        <v>972</v>
      </c>
      <c r="H186" s="38" t="s">
        <v>972</v>
      </c>
      <c r="I186" s="42" t="s">
        <v>972</v>
      </c>
      <c r="J186" s="38"/>
      <c r="K186" s="38"/>
      <c r="L186" s="42"/>
      <c r="M186" s="43"/>
      <c r="N186" s="43"/>
      <c r="O186" s="43"/>
      <c r="P186" s="43"/>
      <c r="Q186" s="43"/>
      <c r="R186" s="43"/>
    </row>
    <row r="187" spans="1:18">
      <c r="A187" s="44"/>
      <c r="B187" s="38" t="s">
        <v>1193</v>
      </c>
      <c r="C187" s="38"/>
      <c r="D187" s="38"/>
      <c r="E187" s="38"/>
      <c r="F187" s="38"/>
      <c r="G187" s="42" t="s">
        <v>1007</v>
      </c>
      <c r="H187" s="38" t="s">
        <v>1007</v>
      </c>
      <c r="I187" s="42" t="s">
        <v>1007</v>
      </c>
      <c r="J187" s="38"/>
      <c r="K187" s="38"/>
      <c r="L187" s="42"/>
      <c r="M187" s="43"/>
      <c r="N187" s="43"/>
      <c r="O187" s="43"/>
      <c r="P187" s="43"/>
      <c r="Q187" s="43"/>
      <c r="R187" s="43"/>
    </row>
    <row r="188" spans="1:18">
      <c r="A188" s="44"/>
      <c r="B188" s="38" t="s">
        <v>1194</v>
      </c>
      <c r="C188" s="38"/>
      <c r="D188" s="38"/>
      <c r="E188" s="38"/>
      <c r="F188" s="38"/>
      <c r="G188" s="38" t="s">
        <v>1195</v>
      </c>
      <c r="H188" s="38" t="s">
        <v>1196</v>
      </c>
      <c r="I188" s="38" t="s">
        <v>1195</v>
      </c>
      <c r="J188" s="38"/>
      <c r="K188" s="38"/>
      <c r="L188" s="42"/>
      <c r="M188" s="43"/>
      <c r="N188" s="43"/>
      <c r="O188" s="43"/>
      <c r="P188" s="43"/>
      <c r="Q188" s="43"/>
      <c r="R188" s="43"/>
    </row>
    <row r="189" spans="1:18">
      <c r="A189" s="44"/>
      <c r="B189" s="38" t="s">
        <v>1197</v>
      </c>
      <c r="C189" s="38"/>
      <c r="D189" s="38"/>
      <c r="E189" s="38"/>
      <c r="F189" s="38"/>
      <c r="G189" s="38" t="s">
        <v>1198</v>
      </c>
      <c r="H189" s="38" t="s">
        <v>1112</v>
      </c>
      <c r="I189" s="38" t="s">
        <v>1198</v>
      </c>
      <c r="J189" s="38"/>
      <c r="K189" s="38"/>
      <c r="L189" s="42"/>
      <c r="M189" s="43"/>
      <c r="N189" s="43"/>
      <c r="O189" s="43"/>
      <c r="P189" s="43"/>
      <c r="Q189" s="43"/>
      <c r="R189" s="43"/>
    </row>
    <row r="190" spans="1:18">
      <c r="A190" s="44"/>
      <c r="B190" s="38" t="s">
        <v>1199</v>
      </c>
      <c r="C190" s="38"/>
      <c r="D190" s="38"/>
      <c r="E190" s="38"/>
      <c r="F190" s="38"/>
      <c r="G190" s="38" t="s">
        <v>1198</v>
      </c>
      <c r="H190" s="38" t="s">
        <v>1198</v>
      </c>
      <c r="I190" s="38" t="s">
        <v>1198</v>
      </c>
      <c r="J190" s="38"/>
      <c r="K190" s="38"/>
      <c r="L190" s="42"/>
      <c r="M190" s="43"/>
      <c r="N190" s="43"/>
      <c r="O190" s="43"/>
      <c r="P190" s="43"/>
      <c r="Q190" s="43"/>
      <c r="R190" s="43"/>
    </row>
    <row r="191" spans="1:18">
      <c r="A191" s="44"/>
      <c r="B191" s="38" t="s">
        <v>1200</v>
      </c>
      <c r="C191" s="38"/>
      <c r="D191" s="38"/>
      <c r="E191" s="38"/>
      <c r="F191" s="38"/>
      <c r="G191" s="38" t="s">
        <v>1201</v>
      </c>
      <c r="H191" s="38" t="s">
        <v>1202</v>
      </c>
      <c r="I191" s="38" t="s">
        <v>1201</v>
      </c>
      <c r="J191" s="38"/>
      <c r="K191" s="38"/>
      <c r="L191" s="42"/>
      <c r="M191" s="43"/>
      <c r="N191" s="43"/>
      <c r="O191" s="43"/>
      <c r="P191" s="43"/>
      <c r="Q191" s="43"/>
      <c r="R191" s="43"/>
    </row>
    <row r="192" spans="1:18">
      <c r="A192" s="44"/>
      <c r="B192" s="38" t="s">
        <v>1203</v>
      </c>
      <c r="C192" s="38"/>
      <c r="D192" s="38"/>
      <c r="E192" s="38"/>
      <c r="F192" s="38"/>
      <c r="G192" s="38" t="s">
        <v>1201</v>
      </c>
      <c r="H192" s="38" t="s">
        <v>1202</v>
      </c>
      <c r="I192" s="38" t="s">
        <v>1201</v>
      </c>
      <c r="J192" s="38"/>
      <c r="K192" s="38"/>
      <c r="L192" s="42"/>
      <c r="M192" s="43"/>
      <c r="N192" s="43"/>
      <c r="O192" s="43"/>
      <c r="P192" s="43"/>
      <c r="Q192" s="43"/>
      <c r="R192" s="43"/>
    </row>
    <row r="193" spans="1:18">
      <c r="A193" s="44"/>
      <c r="B193" s="38" t="s">
        <v>1204</v>
      </c>
      <c r="C193" s="38"/>
      <c r="D193" s="38"/>
      <c r="E193" s="38"/>
      <c r="F193" s="38"/>
      <c r="G193" s="38" t="s">
        <v>1205</v>
      </c>
      <c r="H193" s="38" t="s">
        <v>1206</v>
      </c>
      <c r="I193" s="38" t="s">
        <v>1205</v>
      </c>
      <c r="J193" s="38"/>
      <c r="K193" s="38"/>
      <c r="L193" s="42"/>
      <c r="M193" s="43"/>
      <c r="N193" s="43"/>
      <c r="O193" s="43"/>
      <c r="P193" s="43"/>
      <c r="Q193" s="43"/>
      <c r="R193" s="43"/>
    </row>
    <row r="194" spans="1:18">
      <c r="A194" s="44"/>
      <c r="B194" s="38" t="s">
        <v>1207</v>
      </c>
      <c r="C194" s="38"/>
      <c r="D194" s="38"/>
      <c r="E194" s="38"/>
      <c r="F194" s="38"/>
      <c r="G194" s="38" t="s">
        <v>1198</v>
      </c>
      <c r="H194" s="38" t="s">
        <v>1112</v>
      </c>
      <c r="I194" s="38" t="s">
        <v>1198</v>
      </c>
      <c r="J194" s="38"/>
      <c r="K194" s="38"/>
      <c r="L194" s="42"/>
      <c r="M194" s="43"/>
      <c r="N194" s="43"/>
      <c r="O194" s="43"/>
      <c r="P194" s="43"/>
      <c r="Q194" s="43"/>
      <c r="R194" s="43"/>
    </row>
    <row r="195" spans="1:18">
      <c r="A195" s="44"/>
      <c r="B195" s="38" t="s">
        <v>1208</v>
      </c>
      <c r="C195" s="38"/>
      <c r="D195" s="38"/>
      <c r="E195" s="38"/>
      <c r="F195" s="38"/>
      <c r="G195" s="38" t="s">
        <v>1198</v>
      </c>
      <c r="H195" s="38" t="s">
        <v>1198</v>
      </c>
      <c r="I195" s="38" t="s">
        <v>1198</v>
      </c>
      <c r="J195" s="38"/>
      <c r="K195" s="38"/>
      <c r="L195" s="42"/>
      <c r="M195" s="43"/>
      <c r="N195" s="43"/>
      <c r="O195" s="43"/>
      <c r="P195" s="43"/>
      <c r="Q195" s="43"/>
      <c r="R195" s="43"/>
    </row>
    <row r="196" spans="1:18">
      <c r="A196" s="44"/>
      <c r="B196" s="38" t="s">
        <v>1209</v>
      </c>
      <c r="C196" s="38"/>
      <c r="D196" s="38"/>
      <c r="E196" s="38"/>
      <c r="F196" s="38"/>
      <c r="G196" s="38" t="s">
        <v>1201</v>
      </c>
      <c r="H196" s="38" t="s">
        <v>1202</v>
      </c>
      <c r="I196" s="38" t="s">
        <v>1201</v>
      </c>
      <c r="J196" s="38"/>
      <c r="K196" s="38"/>
      <c r="L196" s="42"/>
      <c r="M196" s="43"/>
      <c r="N196" s="43"/>
      <c r="O196" s="43"/>
      <c r="P196" s="43"/>
      <c r="Q196" s="43"/>
      <c r="R196" s="43"/>
    </row>
    <row r="197" spans="1:18">
      <c r="A197" s="44"/>
      <c r="B197" s="38" t="s">
        <v>1210</v>
      </c>
      <c r="C197" s="38"/>
      <c r="D197" s="38"/>
      <c r="E197" s="38"/>
      <c r="F197" s="38"/>
      <c r="G197" s="38" t="s">
        <v>1201</v>
      </c>
      <c r="H197" s="38" t="s">
        <v>1202</v>
      </c>
      <c r="I197" s="38" t="s">
        <v>1201</v>
      </c>
      <c r="J197" s="38"/>
      <c r="K197" s="38"/>
      <c r="L197" s="42"/>
      <c r="M197" s="43"/>
      <c r="N197" s="43"/>
      <c r="O197" s="43"/>
      <c r="P197" s="43"/>
      <c r="Q197" s="43"/>
      <c r="R197" s="43"/>
    </row>
    <row r="198" spans="1:18">
      <c r="A198" s="44"/>
      <c r="B198" s="38" t="s">
        <v>1211</v>
      </c>
      <c r="C198" s="38"/>
      <c r="D198" s="38"/>
      <c r="E198" s="38"/>
      <c r="F198" s="38"/>
      <c r="G198" s="38" t="s">
        <v>1205</v>
      </c>
      <c r="H198" s="38" t="s">
        <v>1206</v>
      </c>
      <c r="I198" s="38" t="s">
        <v>1205</v>
      </c>
      <c r="J198" s="38"/>
      <c r="K198" s="38"/>
      <c r="L198" s="42"/>
      <c r="M198" s="43"/>
      <c r="N198" s="43"/>
      <c r="O198" s="43"/>
      <c r="P198" s="43"/>
      <c r="Q198" s="43"/>
      <c r="R198" s="43"/>
    </row>
    <row r="199" spans="1:18">
      <c r="A199" s="44"/>
      <c r="B199" s="38" t="s">
        <v>1212</v>
      </c>
      <c r="C199" s="38"/>
      <c r="D199" s="38"/>
      <c r="E199" s="38"/>
      <c r="F199" s="38"/>
      <c r="G199" s="38" t="s">
        <v>1182</v>
      </c>
      <c r="H199" s="38" t="s">
        <v>1182</v>
      </c>
      <c r="I199" s="38" t="s">
        <v>1182</v>
      </c>
      <c r="J199" s="38"/>
      <c r="K199" s="38"/>
      <c r="L199" s="42"/>
      <c r="M199" s="43"/>
      <c r="N199" s="43"/>
      <c r="O199" s="43"/>
      <c r="P199" s="43"/>
      <c r="Q199" s="43"/>
      <c r="R199" s="43"/>
    </row>
    <row r="200" spans="1:18">
      <c r="A200" s="44"/>
      <c r="B200" s="38" t="s">
        <v>1213</v>
      </c>
      <c r="C200" s="38"/>
      <c r="D200" s="38"/>
      <c r="E200" s="38"/>
      <c r="F200" s="38"/>
      <c r="G200" s="38" t="s">
        <v>1184</v>
      </c>
      <c r="H200" s="38" t="s">
        <v>1184</v>
      </c>
      <c r="I200" s="38" t="s">
        <v>1184</v>
      </c>
      <c r="J200" s="38"/>
      <c r="K200" s="38"/>
      <c r="L200" s="42"/>
      <c r="M200" s="43"/>
      <c r="N200" s="43"/>
      <c r="O200" s="43"/>
      <c r="P200" s="43"/>
      <c r="Q200" s="43"/>
      <c r="R200" s="43"/>
    </row>
    <row r="201" spans="1:18">
      <c r="A201" s="44"/>
      <c r="B201" s="38" t="s">
        <v>1214</v>
      </c>
      <c r="C201" s="38"/>
      <c r="D201" s="38"/>
      <c r="E201" s="38"/>
      <c r="F201" s="38"/>
      <c r="G201" s="38" t="s">
        <v>1021</v>
      </c>
      <c r="H201" s="38" t="s">
        <v>1021</v>
      </c>
      <c r="I201" s="38" t="s">
        <v>1021</v>
      </c>
      <c r="J201" s="38"/>
      <c r="K201" s="38"/>
      <c r="L201" s="42"/>
      <c r="M201" s="43"/>
      <c r="N201" s="43"/>
      <c r="O201" s="43"/>
      <c r="P201" s="43"/>
      <c r="Q201" s="43"/>
      <c r="R201" s="43"/>
    </row>
    <row r="202" spans="1:18">
      <c r="A202" s="44"/>
      <c r="B202" s="38" t="s">
        <v>1215</v>
      </c>
      <c r="C202" s="38"/>
      <c r="D202" s="38"/>
      <c r="E202" s="38"/>
      <c r="F202" s="38"/>
      <c r="G202" s="38" t="s">
        <v>1021</v>
      </c>
      <c r="H202" s="38" t="s">
        <v>1021</v>
      </c>
      <c r="I202" s="38" t="s">
        <v>1021</v>
      </c>
      <c r="J202" s="38"/>
      <c r="K202" s="38"/>
      <c r="L202" s="42"/>
      <c r="M202" s="43"/>
      <c r="N202" s="43"/>
      <c r="O202" s="43"/>
      <c r="P202" s="43"/>
      <c r="Q202" s="43"/>
      <c r="R202" s="43"/>
    </row>
    <row r="203" spans="1:18">
      <c r="A203" s="44"/>
      <c r="B203" s="38" t="s">
        <v>1216</v>
      </c>
      <c r="C203" s="38"/>
      <c r="D203" s="38"/>
      <c r="E203" s="38"/>
      <c r="F203" s="38"/>
      <c r="G203" s="38" t="s">
        <v>1217</v>
      </c>
      <c r="H203" s="38" t="s">
        <v>1217</v>
      </c>
      <c r="I203" s="38" t="s">
        <v>1217</v>
      </c>
      <c r="J203" s="38"/>
      <c r="K203" s="38"/>
      <c r="L203" s="42"/>
      <c r="M203" s="43"/>
      <c r="N203" s="43"/>
      <c r="O203" s="43"/>
      <c r="P203" s="43"/>
      <c r="Q203" s="43"/>
      <c r="R203" s="43"/>
    </row>
    <row r="204" spans="1:18">
      <c r="A204" s="44"/>
      <c r="B204" s="38" t="s">
        <v>1218</v>
      </c>
      <c r="C204" s="38"/>
      <c r="D204" s="38"/>
      <c r="E204" s="38"/>
      <c r="F204" s="38"/>
      <c r="G204" s="38" t="s">
        <v>1016</v>
      </c>
      <c r="H204" s="38" t="s">
        <v>1016</v>
      </c>
      <c r="I204" s="38" t="s">
        <v>1016</v>
      </c>
      <c r="J204" s="38"/>
      <c r="K204" s="38"/>
      <c r="L204" s="42"/>
      <c r="M204" s="43"/>
      <c r="N204" s="43"/>
      <c r="O204" s="43"/>
      <c r="P204" s="43"/>
      <c r="Q204" s="43"/>
      <c r="R204" s="43"/>
    </row>
    <row r="205" spans="1:18">
      <c r="A205" s="44"/>
      <c r="B205" s="38" t="s">
        <v>1219</v>
      </c>
      <c r="C205" s="38"/>
      <c r="D205" s="38"/>
      <c r="E205" s="38"/>
      <c r="F205" s="38"/>
      <c r="G205" s="38" t="s">
        <v>981</v>
      </c>
      <c r="H205" s="38" t="s">
        <v>981</v>
      </c>
      <c r="I205" s="38" t="s">
        <v>981</v>
      </c>
      <c r="J205" s="38"/>
      <c r="K205" s="38"/>
      <c r="L205" s="42"/>
      <c r="M205" s="43"/>
      <c r="N205" s="43"/>
      <c r="O205" s="43"/>
      <c r="P205" s="43"/>
      <c r="Q205" s="43"/>
      <c r="R205" s="43"/>
    </row>
    <row r="206" spans="1:18">
      <c r="A206" s="44"/>
      <c r="B206" s="38" t="s">
        <v>1220</v>
      </c>
      <c r="C206" s="38"/>
      <c r="D206" s="38"/>
      <c r="E206" s="38"/>
      <c r="F206" s="38"/>
      <c r="G206" s="38" t="s">
        <v>1221</v>
      </c>
      <c r="H206" s="38" t="s">
        <v>1221</v>
      </c>
      <c r="I206" s="38" t="s">
        <v>1221</v>
      </c>
      <c r="J206" s="38"/>
      <c r="K206" s="38"/>
      <c r="L206" s="42"/>
      <c r="M206" s="43"/>
      <c r="N206" s="43"/>
      <c r="O206" s="43"/>
      <c r="P206" s="43"/>
      <c r="Q206" s="43"/>
      <c r="R206" s="43"/>
    </row>
    <row r="207" spans="1:18">
      <c r="A207" s="44"/>
      <c r="B207" s="38" t="s">
        <v>1222</v>
      </c>
      <c r="C207" s="38"/>
      <c r="D207" s="38"/>
      <c r="E207" s="38"/>
      <c r="F207" s="38"/>
      <c r="G207" s="38" t="s">
        <v>917</v>
      </c>
      <c r="H207" s="38" t="s">
        <v>917</v>
      </c>
      <c r="I207" s="38" t="s">
        <v>917</v>
      </c>
      <c r="J207" s="38"/>
      <c r="K207" s="38"/>
      <c r="L207" s="42"/>
      <c r="M207" s="43"/>
      <c r="N207" s="43"/>
      <c r="O207" s="43"/>
      <c r="P207" s="43"/>
      <c r="Q207" s="43"/>
      <c r="R207" s="43"/>
    </row>
    <row r="208" spans="1:18">
      <c r="A208" s="44"/>
      <c r="B208" s="38" t="s">
        <v>1223</v>
      </c>
      <c r="C208" s="38"/>
      <c r="D208" s="38"/>
      <c r="E208" s="38"/>
      <c r="F208" s="38"/>
      <c r="G208" s="38" t="s">
        <v>919</v>
      </c>
      <c r="H208" s="38" t="s">
        <v>919</v>
      </c>
      <c r="I208" s="38" t="s">
        <v>919</v>
      </c>
      <c r="J208" s="38"/>
      <c r="K208" s="38"/>
      <c r="L208" s="42"/>
      <c r="M208" s="43"/>
      <c r="N208" s="43"/>
      <c r="O208" s="43"/>
      <c r="P208" s="43"/>
      <c r="Q208" s="43"/>
      <c r="R208" s="43"/>
    </row>
    <row r="209" spans="1:18">
      <c r="A209" s="44"/>
      <c r="B209" s="38" t="s">
        <v>1224</v>
      </c>
      <c r="C209" s="38"/>
      <c r="D209" s="38"/>
      <c r="E209" s="38"/>
      <c r="F209" s="38"/>
      <c r="G209" s="38" t="s">
        <v>1225</v>
      </c>
      <c r="H209" s="38" t="s">
        <v>1225</v>
      </c>
      <c r="I209" s="38" t="s">
        <v>1225</v>
      </c>
      <c r="J209" s="38"/>
      <c r="K209" s="38"/>
      <c r="L209" s="42"/>
      <c r="M209" s="43"/>
      <c r="N209" s="43"/>
      <c r="O209" s="43"/>
      <c r="P209" s="43"/>
      <c r="Q209" s="43"/>
      <c r="R209" s="43"/>
    </row>
    <row r="210" spans="1:18">
      <c r="A210" s="44"/>
      <c r="B210" s="38" t="s">
        <v>1226</v>
      </c>
      <c r="C210" s="38"/>
      <c r="D210" s="38"/>
      <c r="E210" s="38"/>
      <c r="F210" s="38"/>
      <c r="G210" s="38" t="s">
        <v>1148</v>
      </c>
      <c r="H210" s="38" t="s">
        <v>1148</v>
      </c>
      <c r="I210" s="38" t="s">
        <v>1148</v>
      </c>
      <c r="J210" s="38"/>
      <c r="K210" s="38"/>
      <c r="L210" s="42"/>
      <c r="M210" s="43"/>
      <c r="N210" s="43"/>
      <c r="O210" s="43"/>
      <c r="P210" s="43"/>
      <c r="Q210" s="43"/>
      <c r="R210" s="43"/>
    </row>
    <row r="211" spans="1:18">
      <c r="A211" s="44"/>
      <c r="B211" s="38" t="s">
        <v>1227</v>
      </c>
      <c r="C211" s="38"/>
      <c r="D211" s="38"/>
      <c r="E211" s="38"/>
      <c r="F211" s="38"/>
      <c r="G211" s="38" t="s">
        <v>983</v>
      </c>
      <c r="H211" s="38" t="s">
        <v>983</v>
      </c>
      <c r="I211" s="38" t="s">
        <v>983</v>
      </c>
      <c r="J211" s="38"/>
      <c r="K211" s="38"/>
      <c r="L211" s="42"/>
      <c r="M211" s="43"/>
      <c r="N211" s="43"/>
      <c r="O211" s="43"/>
      <c r="P211" s="43"/>
      <c r="Q211" s="43"/>
      <c r="R211" s="43"/>
    </row>
    <row r="212" spans="1:18">
      <c r="A212" s="44"/>
      <c r="B212" s="38" t="s">
        <v>1228</v>
      </c>
      <c r="C212" s="38"/>
      <c r="D212" s="38"/>
      <c r="E212" s="38"/>
      <c r="F212" s="38"/>
      <c r="G212" s="38" t="s">
        <v>1007</v>
      </c>
      <c r="H212" s="38" t="s">
        <v>1007</v>
      </c>
      <c r="I212" s="38" t="s">
        <v>1007</v>
      </c>
      <c r="J212" s="38"/>
      <c r="K212" s="38"/>
      <c r="L212" s="42"/>
      <c r="M212" s="43"/>
      <c r="N212" s="43"/>
      <c r="O212" s="43"/>
      <c r="P212" s="43"/>
      <c r="Q212" s="43"/>
      <c r="R212" s="43"/>
    </row>
    <row r="213" spans="1:18">
      <c r="A213" s="44"/>
      <c r="B213" s="38" t="s">
        <v>1229</v>
      </c>
      <c r="C213" s="38"/>
      <c r="D213" s="38"/>
      <c r="E213" s="38"/>
      <c r="F213" s="38"/>
      <c r="G213" s="38" t="s">
        <v>942</v>
      </c>
      <c r="H213" s="38" t="s">
        <v>942</v>
      </c>
      <c r="I213" s="38" t="s">
        <v>942</v>
      </c>
      <c r="J213" s="38"/>
      <c r="K213" s="38"/>
      <c r="L213" s="42"/>
      <c r="M213" s="43"/>
      <c r="N213" s="43"/>
      <c r="O213" s="43"/>
      <c r="P213" s="43"/>
      <c r="Q213" s="43"/>
      <c r="R213" s="43"/>
    </row>
    <row r="214" spans="1:18">
      <c r="A214" s="44"/>
      <c r="B214" s="38" t="s">
        <v>1230</v>
      </c>
      <c r="C214" s="38"/>
      <c r="D214" s="38"/>
      <c r="E214" s="38"/>
      <c r="F214" s="38"/>
      <c r="G214" s="38" t="s">
        <v>1148</v>
      </c>
      <c r="H214" s="38" t="s">
        <v>1148</v>
      </c>
      <c r="I214" s="38" t="s">
        <v>1148</v>
      </c>
      <c r="J214" s="38"/>
      <c r="K214" s="38"/>
      <c r="L214" s="42"/>
      <c r="M214" s="43"/>
      <c r="N214" s="43"/>
      <c r="O214" s="43"/>
      <c r="P214" s="43"/>
      <c r="Q214" s="43"/>
      <c r="R214" s="43"/>
    </row>
    <row r="215" spans="1:18">
      <c r="A215" s="44"/>
      <c r="B215" s="38" t="s">
        <v>1231</v>
      </c>
      <c r="C215" s="38"/>
      <c r="D215" s="38"/>
      <c r="E215" s="38"/>
      <c r="F215" s="38"/>
      <c r="G215" s="38" t="s">
        <v>1007</v>
      </c>
      <c r="H215" s="38" t="s">
        <v>1007</v>
      </c>
      <c r="I215" s="38" t="s">
        <v>1007</v>
      </c>
      <c r="J215" s="38"/>
      <c r="K215" s="38"/>
      <c r="L215" s="42"/>
      <c r="M215" s="43"/>
      <c r="N215" s="43"/>
      <c r="O215" s="43"/>
      <c r="P215" s="43"/>
      <c r="Q215" s="43"/>
      <c r="R215" s="43"/>
    </row>
    <row r="216" spans="1:18">
      <c r="A216" s="44"/>
      <c r="B216" s="38" t="s">
        <v>1232</v>
      </c>
      <c r="C216" s="38"/>
      <c r="D216" s="38"/>
      <c r="E216" s="38"/>
      <c r="F216" s="38"/>
      <c r="G216" s="38" t="s">
        <v>1233</v>
      </c>
      <c r="H216" s="38" t="s">
        <v>1233</v>
      </c>
      <c r="I216" s="38" t="s">
        <v>1233</v>
      </c>
      <c r="J216" s="38"/>
      <c r="K216" s="38"/>
      <c r="L216" s="42"/>
      <c r="M216" s="43"/>
      <c r="N216" s="43"/>
      <c r="O216" s="43"/>
      <c r="P216" s="43"/>
      <c r="Q216" s="43"/>
      <c r="R216" s="43"/>
    </row>
    <row r="217" spans="1:18">
      <c r="A217" s="44"/>
      <c r="B217" s="38" t="s">
        <v>1234</v>
      </c>
      <c r="C217" s="38"/>
      <c r="D217" s="38"/>
      <c r="E217" s="38"/>
      <c r="F217" s="38"/>
      <c r="G217" s="38" t="s">
        <v>1233</v>
      </c>
      <c r="H217" s="38" t="s">
        <v>1233</v>
      </c>
      <c r="I217" s="38" t="s">
        <v>1233</v>
      </c>
      <c r="J217" s="38"/>
      <c r="K217" s="38"/>
      <c r="L217" s="42"/>
      <c r="M217" s="43"/>
      <c r="N217" s="43"/>
      <c r="O217" s="43"/>
      <c r="P217" s="43"/>
      <c r="Q217" s="43"/>
      <c r="R217" s="43"/>
    </row>
    <row r="218" spans="1:18">
      <c r="A218" s="44"/>
      <c r="B218" s="38" t="s">
        <v>1235</v>
      </c>
      <c r="C218" s="38"/>
      <c r="D218" s="38"/>
      <c r="E218" s="38"/>
      <c r="F218" s="38"/>
      <c r="G218" s="38" t="s">
        <v>1236</v>
      </c>
      <c r="H218" s="38" t="s">
        <v>1236</v>
      </c>
      <c r="I218" s="38" t="s">
        <v>1236</v>
      </c>
      <c r="J218" s="38"/>
      <c r="K218" s="38"/>
      <c r="L218" s="42"/>
      <c r="M218" s="43"/>
      <c r="N218" s="43"/>
      <c r="O218" s="43"/>
      <c r="P218" s="43"/>
      <c r="Q218" s="43"/>
      <c r="R218" s="43"/>
    </row>
    <row r="219" spans="1:18">
      <c r="A219" s="44"/>
      <c r="B219" s="38" t="s">
        <v>1237</v>
      </c>
      <c r="C219" s="38"/>
      <c r="D219" s="38"/>
      <c r="E219" s="38"/>
      <c r="F219" s="38"/>
      <c r="G219" s="38" t="s">
        <v>1238</v>
      </c>
      <c r="H219" s="38" t="s">
        <v>1238</v>
      </c>
      <c r="I219" s="38" t="s">
        <v>1238</v>
      </c>
      <c r="J219" s="38"/>
      <c r="K219" s="38"/>
      <c r="L219" s="42"/>
      <c r="M219" s="43"/>
      <c r="N219" s="43"/>
      <c r="O219" s="43"/>
      <c r="P219" s="43"/>
      <c r="Q219" s="43"/>
      <c r="R219" s="43"/>
    </row>
    <row r="220" spans="1:18">
      <c r="A220" s="44"/>
      <c r="B220" s="38" t="s">
        <v>1239</v>
      </c>
      <c r="C220" s="38"/>
      <c r="D220" s="38"/>
      <c r="E220" s="38"/>
      <c r="F220" s="38"/>
      <c r="G220" s="38" t="s">
        <v>1240</v>
      </c>
      <c r="H220" s="38" t="s">
        <v>1240</v>
      </c>
      <c r="I220" s="38" t="s">
        <v>1240</v>
      </c>
      <c r="J220" s="38"/>
      <c r="K220" s="38"/>
      <c r="L220" s="42"/>
      <c r="M220" s="43"/>
      <c r="N220" s="43"/>
      <c r="O220" s="43"/>
      <c r="P220" s="43"/>
      <c r="Q220" s="43"/>
      <c r="R220" s="43"/>
    </row>
    <row r="221" spans="1:18">
      <c r="A221" s="44"/>
      <c r="B221" s="38" t="s">
        <v>1241</v>
      </c>
      <c r="C221" s="38"/>
      <c r="D221" s="38"/>
      <c r="E221" s="38"/>
      <c r="F221" s="38"/>
      <c r="G221" s="38" t="s">
        <v>1240</v>
      </c>
      <c r="H221" s="38" t="s">
        <v>1240</v>
      </c>
      <c r="I221" s="38" t="s">
        <v>1240</v>
      </c>
      <c r="J221" s="38"/>
      <c r="K221" s="38"/>
      <c r="L221" s="42"/>
      <c r="M221" s="43"/>
      <c r="N221" s="43"/>
      <c r="O221" s="43"/>
      <c r="P221" s="43"/>
      <c r="Q221" s="43"/>
      <c r="R221" s="43"/>
    </row>
    <row r="222" spans="1:18">
      <c r="A222" s="44"/>
      <c r="B222" s="38" t="s">
        <v>1242</v>
      </c>
      <c r="C222" s="38"/>
      <c r="D222" s="38"/>
      <c r="E222" s="38"/>
      <c r="F222" s="38"/>
      <c r="G222" s="38" t="s">
        <v>1243</v>
      </c>
      <c r="H222" s="38" t="s">
        <v>1244</v>
      </c>
      <c r="I222" s="38" t="s">
        <v>1243</v>
      </c>
      <c r="J222" s="38"/>
      <c r="K222" s="38"/>
      <c r="L222" s="42"/>
      <c r="M222" s="43"/>
      <c r="N222" s="43"/>
      <c r="O222" s="43"/>
      <c r="P222" s="43"/>
      <c r="Q222" s="43"/>
      <c r="R222" s="43"/>
    </row>
    <row r="223" spans="1:18">
      <c r="A223" s="44"/>
      <c r="B223" s="38" t="s">
        <v>1245</v>
      </c>
      <c r="C223" s="38"/>
      <c r="D223" s="38"/>
      <c r="E223" s="38"/>
      <c r="F223" s="38"/>
      <c r="G223" s="38" t="s">
        <v>1243</v>
      </c>
      <c r="H223" s="38" t="s">
        <v>1244</v>
      </c>
      <c r="I223" s="38" t="s">
        <v>1243</v>
      </c>
      <c r="J223" s="38"/>
      <c r="K223" s="38"/>
      <c r="L223" s="42"/>
      <c r="M223" s="43"/>
      <c r="N223" s="43"/>
      <c r="O223" s="43"/>
      <c r="P223" s="43"/>
      <c r="Q223" s="43"/>
      <c r="R223" s="43"/>
    </row>
    <row r="224" spans="1:18">
      <c r="A224" s="44"/>
      <c r="B224" s="38" t="s">
        <v>1246</v>
      </c>
      <c r="C224" s="38"/>
      <c r="D224" s="38"/>
      <c r="E224" s="38"/>
      <c r="F224" s="38"/>
      <c r="G224" s="38" t="s">
        <v>1243</v>
      </c>
      <c r="H224" s="38" t="s">
        <v>1244</v>
      </c>
      <c r="I224" s="38" t="s">
        <v>1243</v>
      </c>
      <c r="J224" s="38"/>
      <c r="K224" s="38"/>
      <c r="L224" s="42"/>
      <c r="M224" s="43"/>
      <c r="N224" s="43"/>
      <c r="O224" s="43"/>
      <c r="P224" s="43"/>
      <c r="Q224" s="43"/>
      <c r="R224" s="43"/>
    </row>
    <row r="225" spans="1:18">
      <c r="A225" s="44"/>
      <c r="B225" s="38" t="s">
        <v>1247</v>
      </c>
      <c r="C225" s="38"/>
      <c r="D225" s="38"/>
      <c r="E225" s="38"/>
      <c r="F225" s="38"/>
      <c r="G225" s="38" t="s">
        <v>1243</v>
      </c>
      <c r="H225" s="38" t="s">
        <v>1244</v>
      </c>
      <c r="I225" s="38" t="s">
        <v>1243</v>
      </c>
      <c r="J225" s="38"/>
      <c r="K225" s="38"/>
      <c r="L225" s="42"/>
      <c r="M225" s="43"/>
      <c r="N225" s="43"/>
      <c r="O225" s="43"/>
      <c r="P225" s="43"/>
      <c r="Q225" s="43"/>
      <c r="R225" s="43"/>
    </row>
    <row r="226" spans="1:18">
      <c r="A226" s="44"/>
      <c r="B226" s="38" t="s">
        <v>1248</v>
      </c>
      <c r="C226" s="38"/>
      <c r="D226" s="38"/>
      <c r="E226" s="38"/>
      <c r="F226" s="38"/>
      <c r="G226" s="38" t="s">
        <v>1243</v>
      </c>
      <c r="H226" s="38" t="s">
        <v>1244</v>
      </c>
      <c r="I226" s="38" t="s">
        <v>1243</v>
      </c>
      <c r="J226" s="38"/>
      <c r="K226" s="38"/>
      <c r="L226" s="42"/>
      <c r="M226" s="43"/>
      <c r="N226" s="43"/>
      <c r="O226" s="43"/>
      <c r="P226" s="43"/>
      <c r="Q226" s="43"/>
      <c r="R226" s="43"/>
    </row>
    <row r="227" spans="1:18">
      <c r="A227" s="44"/>
      <c r="B227" s="38" t="s">
        <v>1249</v>
      </c>
      <c r="C227" s="38"/>
      <c r="D227" s="38"/>
      <c r="E227" s="38"/>
      <c r="F227" s="38"/>
      <c r="G227" s="38" t="s">
        <v>1243</v>
      </c>
      <c r="H227" s="38" t="s">
        <v>1244</v>
      </c>
      <c r="I227" s="38" t="s">
        <v>1243</v>
      </c>
      <c r="J227" s="38"/>
      <c r="K227" s="38"/>
      <c r="L227" s="42"/>
      <c r="M227" s="43"/>
      <c r="N227" s="43"/>
      <c r="O227" s="43"/>
      <c r="P227" s="43"/>
      <c r="Q227" s="43"/>
      <c r="R227" s="43"/>
    </row>
    <row r="228" spans="1:18">
      <c r="A228" s="44"/>
      <c r="B228" s="38" t="s">
        <v>1250</v>
      </c>
      <c r="C228" s="38"/>
      <c r="D228" s="38"/>
      <c r="E228" s="38"/>
      <c r="F228" s="38"/>
      <c r="G228" s="38" t="s">
        <v>1243</v>
      </c>
      <c r="H228" s="38" t="s">
        <v>1244</v>
      </c>
      <c r="I228" s="38" t="s">
        <v>1243</v>
      </c>
      <c r="J228" s="38"/>
      <c r="K228" s="38"/>
      <c r="L228" s="42"/>
      <c r="M228" s="43"/>
      <c r="N228" s="43"/>
      <c r="O228" s="43"/>
      <c r="P228" s="43"/>
      <c r="Q228" s="43"/>
      <c r="R228" s="43"/>
    </row>
    <row r="229" spans="1:18">
      <c r="A229" s="44"/>
      <c r="B229" s="38" t="s">
        <v>1251</v>
      </c>
      <c r="C229" s="38"/>
      <c r="D229" s="38"/>
      <c r="E229" s="38"/>
      <c r="F229" s="38"/>
      <c r="G229" s="38" t="s">
        <v>1252</v>
      </c>
      <c r="H229" s="38" t="s">
        <v>1252</v>
      </c>
      <c r="I229" s="38" t="s">
        <v>1252</v>
      </c>
      <c r="J229" s="38"/>
      <c r="K229" s="38"/>
      <c r="L229" s="42"/>
      <c r="M229" s="43"/>
      <c r="N229" s="43"/>
      <c r="O229" s="43"/>
      <c r="P229" s="43"/>
      <c r="Q229" s="43"/>
      <c r="R229" s="43"/>
    </row>
    <row r="230" spans="1:18">
      <c r="A230" s="44"/>
      <c r="B230" s="38" t="s">
        <v>1253</v>
      </c>
      <c r="C230" s="38"/>
      <c r="D230" s="38"/>
      <c r="E230" s="38"/>
      <c r="F230" s="38"/>
      <c r="G230" s="38" t="s">
        <v>1252</v>
      </c>
      <c r="H230" s="38" t="s">
        <v>1252</v>
      </c>
      <c r="I230" s="38" t="s">
        <v>1252</v>
      </c>
      <c r="J230" s="38"/>
      <c r="K230" s="38"/>
      <c r="L230" s="42"/>
      <c r="M230" s="43"/>
      <c r="N230" s="43"/>
      <c r="O230" s="43"/>
      <c r="P230" s="43"/>
      <c r="Q230" s="43"/>
      <c r="R230" s="43"/>
    </row>
    <row r="231" spans="1:18">
      <c r="A231" s="44"/>
      <c r="B231" s="38" t="s">
        <v>1254</v>
      </c>
      <c r="C231" s="38"/>
      <c r="D231" s="38"/>
      <c r="E231" s="38"/>
      <c r="F231" s="38"/>
      <c r="G231" s="38" t="s">
        <v>1255</v>
      </c>
      <c r="H231" s="38" t="s">
        <v>1255</v>
      </c>
      <c r="I231" s="38" t="s">
        <v>1255</v>
      </c>
      <c r="J231" s="38"/>
      <c r="K231" s="38"/>
      <c r="L231" s="42"/>
      <c r="M231" s="43"/>
      <c r="N231" s="43"/>
      <c r="O231" s="43"/>
      <c r="P231" s="43"/>
      <c r="Q231" s="43"/>
      <c r="R231" s="43"/>
    </row>
    <row r="232" spans="1:18">
      <c r="A232" s="44"/>
      <c r="B232" s="38" t="s">
        <v>1256</v>
      </c>
      <c r="C232" s="38"/>
      <c r="D232" s="38"/>
      <c r="E232" s="38"/>
      <c r="F232" s="38"/>
      <c r="G232" s="38" t="s">
        <v>1158</v>
      </c>
      <c r="H232" s="38" t="s">
        <v>1158</v>
      </c>
      <c r="I232" s="38" t="s">
        <v>1158</v>
      </c>
      <c r="J232" s="38"/>
      <c r="K232" s="38"/>
      <c r="L232" s="42"/>
      <c r="M232" s="43"/>
      <c r="N232" s="43"/>
      <c r="O232" s="43"/>
      <c r="P232" s="43"/>
      <c r="Q232" s="43"/>
      <c r="R232" s="43"/>
    </row>
    <row r="233" spans="1:18">
      <c r="A233" s="44"/>
      <c r="B233" s="38" t="s">
        <v>1257</v>
      </c>
      <c r="C233" s="38"/>
      <c r="D233" s="38"/>
      <c r="E233" s="38"/>
      <c r="F233" s="38"/>
      <c r="G233" s="38" t="s">
        <v>1158</v>
      </c>
      <c r="H233" s="38" t="s">
        <v>1158</v>
      </c>
      <c r="I233" s="38" t="s">
        <v>1158</v>
      </c>
      <c r="J233" s="38"/>
      <c r="K233" s="38"/>
      <c r="L233" s="42"/>
      <c r="M233" s="43"/>
      <c r="N233" s="43"/>
      <c r="O233" s="43"/>
      <c r="P233" s="43"/>
      <c r="Q233" s="43"/>
      <c r="R233" s="43"/>
    </row>
    <row r="234" spans="1:18">
      <c r="A234" s="44"/>
      <c r="B234" s="38" t="s">
        <v>1258</v>
      </c>
      <c r="C234" s="38"/>
      <c r="D234" s="38"/>
      <c r="E234" s="38"/>
      <c r="F234" s="38"/>
      <c r="G234" s="38" t="s">
        <v>1259</v>
      </c>
      <c r="H234" s="38" t="s">
        <v>1259</v>
      </c>
      <c r="I234" s="38" t="s">
        <v>1259</v>
      </c>
      <c r="J234" s="38"/>
      <c r="K234" s="38"/>
      <c r="L234" s="42"/>
      <c r="M234" s="43"/>
      <c r="N234" s="43"/>
      <c r="O234" s="43"/>
      <c r="P234" s="43"/>
      <c r="Q234" s="43"/>
      <c r="R234" s="43"/>
    </row>
    <row r="235" spans="1:18">
      <c r="A235" s="44"/>
      <c r="B235" s="38" t="s">
        <v>1260</v>
      </c>
      <c r="C235" s="38"/>
      <c r="D235" s="38"/>
      <c r="E235" s="38"/>
      <c r="F235" s="38"/>
      <c r="G235" s="38" t="s">
        <v>913</v>
      </c>
      <c r="H235" s="38" t="s">
        <v>913</v>
      </c>
      <c r="I235" s="38" t="s">
        <v>913</v>
      </c>
      <c r="J235" s="38"/>
      <c r="K235" s="38"/>
      <c r="L235" s="42"/>
      <c r="M235" s="43"/>
      <c r="N235" s="43"/>
      <c r="O235" s="43"/>
      <c r="P235" s="43"/>
      <c r="Q235" s="43"/>
      <c r="R235" s="43"/>
    </row>
    <row r="236" spans="1:18">
      <c r="A236" s="44"/>
      <c r="B236" s="38" t="s">
        <v>1261</v>
      </c>
      <c r="C236" s="38"/>
      <c r="D236" s="38"/>
      <c r="E236" s="38"/>
      <c r="F236" s="38"/>
      <c r="G236" s="38" t="s">
        <v>942</v>
      </c>
      <c r="H236" s="38" t="s">
        <v>942</v>
      </c>
      <c r="I236" s="38" t="s">
        <v>942</v>
      </c>
      <c r="J236" s="38"/>
      <c r="K236" s="38"/>
      <c r="L236" s="42"/>
      <c r="M236" s="43"/>
      <c r="N236" s="43"/>
      <c r="O236" s="43"/>
      <c r="P236" s="43"/>
      <c r="Q236" s="43"/>
      <c r="R236" s="43"/>
    </row>
    <row r="237" spans="1:18">
      <c r="A237" s="44"/>
      <c r="B237" s="38" t="s">
        <v>1262</v>
      </c>
      <c r="C237" s="38"/>
      <c r="D237" s="38"/>
      <c r="E237" s="38"/>
      <c r="F237" s="38"/>
      <c r="G237" s="38" t="s">
        <v>1263</v>
      </c>
      <c r="H237" s="38" t="s">
        <v>1263</v>
      </c>
      <c r="I237" s="38" t="s">
        <v>1263</v>
      </c>
      <c r="J237" s="38"/>
      <c r="K237" s="38"/>
      <c r="L237" s="42"/>
      <c r="M237" s="43"/>
      <c r="N237" s="43"/>
      <c r="O237" s="43"/>
      <c r="P237" s="43"/>
      <c r="Q237" s="43"/>
      <c r="R237" s="43"/>
    </row>
    <row r="238" spans="1:18">
      <c r="A238" s="44"/>
      <c r="B238" s="38" t="s">
        <v>1264</v>
      </c>
      <c r="C238" s="38"/>
      <c r="D238" s="38"/>
      <c r="E238" s="38"/>
      <c r="F238" s="38"/>
      <c r="G238" s="38" t="s">
        <v>1265</v>
      </c>
      <c r="H238" s="38" t="s">
        <v>1177</v>
      </c>
      <c r="I238" s="38" t="s">
        <v>1265</v>
      </c>
      <c r="J238" s="38"/>
      <c r="K238" s="38"/>
      <c r="L238" s="42"/>
      <c r="M238" s="43"/>
      <c r="N238" s="43"/>
      <c r="O238" s="43"/>
      <c r="P238" s="43"/>
      <c r="Q238" s="43"/>
      <c r="R238" s="43"/>
    </row>
    <row r="239" spans="1:18">
      <c r="A239" s="44"/>
      <c r="B239" s="38" t="s">
        <v>1266</v>
      </c>
      <c r="C239" s="38"/>
      <c r="D239" s="38"/>
      <c r="E239" s="38"/>
      <c r="F239" s="38"/>
      <c r="G239" s="38" t="s">
        <v>1177</v>
      </c>
      <c r="H239" s="38" t="s">
        <v>1177</v>
      </c>
      <c r="I239" s="38" t="s">
        <v>1177</v>
      </c>
      <c r="J239" s="38"/>
      <c r="K239" s="38"/>
      <c r="L239" s="42"/>
      <c r="M239" s="43"/>
      <c r="N239" s="43"/>
      <c r="O239" s="43"/>
      <c r="P239" s="43"/>
      <c r="Q239" s="43"/>
      <c r="R239" s="43"/>
    </row>
    <row r="240" spans="1:18">
      <c r="A240" s="44"/>
      <c r="B240" s="38" t="s">
        <v>1267</v>
      </c>
      <c r="C240" s="38"/>
      <c r="D240" s="38"/>
      <c r="E240" s="38"/>
      <c r="F240" s="38"/>
      <c r="G240" s="38" t="s">
        <v>1268</v>
      </c>
      <c r="H240" s="38" t="s">
        <v>1269</v>
      </c>
      <c r="I240" s="38" t="s">
        <v>1268</v>
      </c>
      <c r="J240" s="38"/>
      <c r="K240" s="38"/>
      <c r="L240" s="42"/>
      <c r="M240" s="43"/>
      <c r="N240" s="43"/>
      <c r="O240" s="43"/>
      <c r="P240" s="43"/>
      <c r="Q240" s="43"/>
      <c r="R240" s="43"/>
    </row>
    <row r="241" spans="1:18">
      <c r="A241" s="44"/>
      <c r="B241" s="38" t="s">
        <v>1270</v>
      </c>
      <c r="C241" s="38"/>
      <c r="D241" s="38"/>
      <c r="E241" s="38"/>
      <c r="F241" s="38"/>
      <c r="G241" s="38" t="s">
        <v>1271</v>
      </c>
      <c r="H241" s="38" t="s">
        <v>1271</v>
      </c>
      <c r="I241" s="38" t="s">
        <v>1271</v>
      </c>
      <c r="J241" s="38"/>
      <c r="K241" s="38"/>
      <c r="L241" s="42"/>
      <c r="M241" s="43"/>
      <c r="N241" s="43"/>
      <c r="O241" s="43"/>
      <c r="P241" s="43"/>
      <c r="Q241" s="43"/>
      <c r="R241" s="43"/>
    </row>
    <row r="242" spans="1:18">
      <c r="A242" s="44"/>
      <c r="B242" s="38" t="s">
        <v>1272</v>
      </c>
      <c r="C242" s="38"/>
      <c r="D242" s="38"/>
      <c r="E242" s="38"/>
      <c r="F242" s="38"/>
      <c r="G242" s="38" t="s">
        <v>1273</v>
      </c>
      <c r="H242" s="38" t="s">
        <v>1273</v>
      </c>
      <c r="I242" s="38" t="s">
        <v>1273</v>
      </c>
      <c r="J242" s="38"/>
      <c r="K242" s="38"/>
      <c r="L242" s="42"/>
      <c r="M242" s="43"/>
      <c r="N242" s="43"/>
      <c r="O242" s="43"/>
      <c r="P242" s="43"/>
      <c r="Q242" s="43"/>
      <c r="R242" s="43"/>
    </row>
    <row r="243" spans="1:18">
      <c r="A243" s="44"/>
      <c r="B243" s="38" t="s">
        <v>1274</v>
      </c>
      <c r="C243" s="38"/>
      <c r="D243" s="38"/>
      <c r="E243" s="38"/>
      <c r="F243" s="38"/>
      <c r="G243" s="38" t="s">
        <v>1275</v>
      </c>
      <c r="H243" s="38" t="s">
        <v>1275</v>
      </c>
      <c r="I243" s="38" t="s">
        <v>1275</v>
      </c>
      <c r="J243" s="38"/>
      <c r="K243" s="38"/>
      <c r="L243" s="42"/>
      <c r="M243" s="43"/>
      <c r="N243" s="43"/>
      <c r="O243" s="43"/>
      <c r="P243" s="43"/>
      <c r="Q243" s="43"/>
      <c r="R243" s="43"/>
    </row>
    <row r="244" spans="1:18">
      <c r="A244" s="44"/>
      <c r="B244" s="38" t="s">
        <v>1276</v>
      </c>
      <c r="C244" s="38"/>
      <c r="D244" s="38"/>
      <c r="E244" s="38"/>
      <c r="F244" s="38"/>
      <c r="G244" s="38" t="s">
        <v>1275</v>
      </c>
      <c r="H244" s="38" t="s">
        <v>1275</v>
      </c>
      <c r="I244" s="38" t="s">
        <v>1275</v>
      </c>
      <c r="J244" s="38"/>
      <c r="K244" s="38"/>
      <c r="L244" s="42"/>
      <c r="M244" s="43"/>
      <c r="N244" s="43"/>
      <c r="O244" s="43"/>
      <c r="P244" s="43"/>
      <c r="Q244" s="43"/>
      <c r="R244" s="43"/>
    </row>
    <row r="245" spans="1:18">
      <c r="A245" s="44"/>
      <c r="B245" s="38" t="s">
        <v>1277</v>
      </c>
      <c r="C245" s="38"/>
      <c r="D245" s="38"/>
      <c r="E245" s="38"/>
      <c r="F245" s="38"/>
      <c r="G245" s="38" t="s">
        <v>1275</v>
      </c>
      <c r="H245" s="38" t="s">
        <v>1275</v>
      </c>
      <c r="I245" s="38" t="s">
        <v>1275</v>
      </c>
      <c r="J245" s="38"/>
      <c r="K245" s="38"/>
      <c r="L245" s="42"/>
      <c r="M245" s="43"/>
      <c r="N245" s="43"/>
      <c r="O245" s="43"/>
      <c r="P245" s="43"/>
      <c r="Q245" s="43"/>
      <c r="R245" s="43"/>
    </row>
    <row r="246" spans="1:18">
      <c r="A246" s="44"/>
      <c r="B246" s="38" t="s">
        <v>1278</v>
      </c>
      <c r="C246" s="38"/>
      <c r="D246" s="38"/>
      <c r="E246" s="38"/>
      <c r="F246" s="38"/>
      <c r="G246" s="38" t="s">
        <v>1275</v>
      </c>
      <c r="H246" s="38" t="s">
        <v>1275</v>
      </c>
      <c r="I246" s="38" t="s">
        <v>1275</v>
      </c>
      <c r="J246" s="38"/>
      <c r="K246" s="38"/>
      <c r="L246" s="42"/>
      <c r="M246" s="43"/>
      <c r="N246" s="43"/>
      <c r="O246" s="43"/>
      <c r="P246" s="43"/>
      <c r="Q246" s="43"/>
      <c r="R246" s="43"/>
    </row>
    <row r="247" spans="1:18">
      <c r="A247" s="44"/>
      <c r="B247" s="38" t="s">
        <v>1279</v>
      </c>
      <c r="C247" s="38"/>
      <c r="D247" s="38"/>
      <c r="E247" s="38"/>
      <c r="F247" s="38"/>
      <c r="G247" s="38" t="s">
        <v>1275</v>
      </c>
      <c r="H247" s="38" t="s">
        <v>1275</v>
      </c>
      <c r="I247" s="38" t="s">
        <v>1275</v>
      </c>
      <c r="J247" s="38"/>
      <c r="K247" s="38"/>
      <c r="L247" s="42"/>
      <c r="M247" s="43"/>
      <c r="N247" s="43"/>
      <c r="O247" s="43"/>
      <c r="P247" s="43"/>
      <c r="Q247" s="43"/>
      <c r="R247" s="43"/>
    </row>
    <row r="248" spans="1:18">
      <c r="A248" s="44"/>
      <c r="B248" s="38" t="s">
        <v>1280</v>
      </c>
      <c r="C248" s="38"/>
      <c r="D248" s="38"/>
      <c r="E248" s="38"/>
      <c r="F248" s="38"/>
      <c r="G248" s="38" t="s">
        <v>1275</v>
      </c>
      <c r="H248" s="38" t="s">
        <v>1275</v>
      </c>
      <c r="I248" s="38" t="s">
        <v>1275</v>
      </c>
      <c r="J248" s="38"/>
      <c r="K248" s="38"/>
      <c r="L248" s="42"/>
      <c r="M248" s="43"/>
      <c r="N248" s="43"/>
      <c r="O248" s="43"/>
      <c r="P248" s="43"/>
      <c r="Q248" s="43"/>
      <c r="R248" s="43"/>
    </row>
    <row r="249" spans="1:18">
      <c r="A249" s="44"/>
      <c r="B249" s="38" t="s">
        <v>1281</v>
      </c>
      <c r="C249" s="38"/>
      <c r="D249" s="38"/>
      <c r="E249" s="38"/>
      <c r="F249" s="38"/>
      <c r="G249" s="38" t="s">
        <v>1282</v>
      </c>
      <c r="H249" s="38" t="s">
        <v>1282</v>
      </c>
      <c r="I249" s="38" t="s">
        <v>1282</v>
      </c>
      <c r="J249" s="38"/>
      <c r="K249" s="38"/>
      <c r="L249" s="42"/>
      <c r="M249" s="43"/>
      <c r="N249" s="43"/>
      <c r="O249" s="43"/>
      <c r="P249" s="43"/>
      <c r="Q249" s="43"/>
      <c r="R249" s="43"/>
    </row>
    <row r="250" spans="1:18">
      <c r="A250" s="44"/>
      <c r="B250" s="38" t="s">
        <v>1283</v>
      </c>
      <c r="C250" s="38"/>
      <c r="D250" s="38"/>
      <c r="E250" s="38"/>
      <c r="F250" s="38"/>
      <c r="G250" s="38" t="s">
        <v>1282</v>
      </c>
      <c r="H250" s="38" t="s">
        <v>1282</v>
      </c>
      <c r="I250" s="38" t="s">
        <v>1282</v>
      </c>
      <c r="J250" s="38"/>
      <c r="K250" s="38"/>
      <c r="L250" s="42"/>
      <c r="M250" s="43"/>
      <c r="N250" s="43"/>
      <c r="O250" s="43"/>
      <c r="P250" s="43"/>
      <c r="Q250" s="43"/>
      <c r="R250" s="43"/>
    </row>
    <row r="251" spans="1:18">
      <c r="A251" s="44"/>
      <c r="B251" s="38" t="s">
        <v>1284</v>
      </c>
      <c r="C251" s="38"/>
      <c r="D251" s="38"/>
      <c r="E251" s="38"/>
      <c r="F251" s="38"/>
      <c r="G251" s="38" t="s">
        <v>972</v>
      </c>
      <c r="H251" s="38" t="s">
        <v>972</v>
      </c>
      <c r="I251" s="38" t="s">
        <v>972</v>
      </c>
      <c r="J251" s="38"/>
      <c r="K251" s="38"/>
      <c r="L251" s="42"/>
      <c r="M251" s="43"/>
      <c r="N251" s="43"/>
      <c r="O251" s="43"/>
      <c r="P251" s="43"/>
      <c r="Q251" s="43"/>
      <c r="R251" s="43"/>
    </row>
    <row r="252" spans="1:18">
      <c r="A252" s="44"/>
      <c r="B252" s="38" t="s">
        <v>1285</v>
      </c>
      <c r="C252" s="38"/>
      <c r="D252" s="38"/>
      <c r="E252" s="38"/>
      <c r="F252" s="38"/>
      <c r="G252" s="38" t="s">
        <v>1007</v>
      </c>
      <c r="H252" s="38" t="s">
        <v>1007</v>
      </c>
      <c r="I252" s="38" t="s">
        <v>1007</v>
      </c>
      <c r="J252" s="38"/>
      <c r="K252" s="38"/>
      <c r="L252" s="42"/>
      <c r="M252" s="43"/>
      <c r="N252" s="43"/>
      <c r="O252" s="43"/>
      <c r="P252" s="43"/>
      <c r="Q252" s="43"/>
      <c r="R252" s="43"/>
    </row>
    <row r="253" spans="1:18">
      <c r="A253" s="44"/>
      <c r="B253" s="38" t="s">
        <v>1286</v>
      </c>
      <c r="C253" s="38"/>
      <c r="D253" s="38"/>
      <c r="E253" s="38"/>
      <c r="F253" s="38"/>
      <c r="G253" s="38" t="s">
        <v>1287</v>
      </c>
      <c r="H253" s="38" t="s">
        <v>1288</v>
      </c>
      <c r="I253" s="38" t="s">
        <v>1287</v>
      </c>
      <c r="J253" s="38"/>
      <c r="K253" s="38"/>
      <c r="L253" s="42"/>
      <c r="M253" s="43"/>
      <c r="N253" s="43"/>
      <c r="O253" s="43"/>
      <c r="P253" s="43"/>
      <c r="Q253" s="43"/>
      <c r="R253" s="43"/>
    </row>
    <row r="254" spans="1:18">
      <c r="A254" s="44"/>
      <c r="B254" s="38" t="s">
        <v>1289</v>
      </c>
      <c r="C254" s="38"/>
      <c r="D254" s="38"/>
      <c r="E254" s="38"/>
      <c r="F254" s="38"/>
      <c r="G254" s="38" t="s">
        <v>1201</v>
      </c>
      <c r="H254" s="38" t="s">
        <v>1201</v>
      </c>
      <c r="I254" s="38" t="s">
        <v>1201</v>
      </c>
      <c r="J254" s="38"/>
      <c r="K254" s="38"/>
      <c r="L254" s="42"/>
      <c r="M254" s="43"/>
      <c r="N254" s="43"/>
      <c r="O254" s="43"/>
      <c r="P254" s="43"/>
      <c r="Q254" s="43"/>
      <c r="R254" s="43"/>
    </row>
    <row r="255" spans="1:18">
      <c r="A255" s="44"/>
      <c r="B255" s="38" t="s">
        <v>1290</v>
      </c>
      <c r="C255" s="38"/>
      <c r="D255" s="38"/>
      <c r="E255" s="38"/>
      <c r="F255" s="38"/>
      <c r="G255" s="38" t="s">
        <v>1201</v>
      </c>
      <c r="H255" s="38" t="s">
        <v>1201</v>
      </c>
      <c r="I255" s="38" t="s">
        <v>1201</v>
      </c>
      <c r="J255" s="38"/>
      <c r="K255" s="38"/>
      <c r="L255" s="42"/>
      <c r="M255" s="43"/>
      <c r="N255" s="43"/>
      <c r="O255" s="43"/>
      <c r="P255" s="43"/>
      <c r="Q255" s="43"/>
      <c r="R255" s="43"/>
    </row>
    <row r="256" spans="1:18">
      <c r="A256" s="44"/>
      <c r="B256" s="38" t="s">
        <v>1291</v>
      </c>
      <c r="C256" s="38"/>
      <c r="D256" s="38"/>
      <c r="E256" s="38"/>
      <c r="F256" s="38"/>
      <c r="G256" s="38" t="s">
        <v>917</v>
      </c>
      <c r="H256" s="38" t="s">
        <v>917</v>
      </c>
      <c r="I256" s="38" t="s">
        <v>917</v>
      </c>
      <c r="J256" s="38"/>
      <c r="K256" s="38"/>
      <c r="L256" s="42"/>
      <c r="M256" s="43"/>
      <c r="N256" s="43"/>
      <c r="O256" s="43"/>
      <c r="P256" s="43"/>
      <c r="Q256" s="43"/>
      <c r="R256" s="43"/>
    </row>
    <row r="257" spans="1:18">
      <c r="A257" s="44"/>
      <c r="B257" s="38" t="s">
        <v>1292</v>
      </c>
      <c r="C257" s="38"/>
      <c r="D257" s="38"/>
      <c r="E257" s="38"/>
      <c r="F257" s="38"/>
      <c r="G257" s="38" t="s">
        <v>919</v>
      </c>
      <c r="H257" s="38" t="s">
        <v>919</v>
      </c>
      <c r="I257" s="38" t="s">
        <v>919</v>
      </c>
      <c r="J257" s="38"/>
      <c r="K257" s="38"/>
      <c r="L257" s="42"/>
      <c r="M257" s="43"/>
      <c r="N257" s="43"/>
      <c r="O257" s="43"/>
      <c r="P257" s="43"/>
      <c r="Q257" s="43"/>
      <c r="R257" s="43"/>
    </row>
    <row r="258" spans="1:18">
      <c r="A258" s="44"/>
      <c r="B258" s="38" t="s">
        <v>1293</v>
      </c>
      <c r="C258" s="38"/>
      <c r="D258" s="38"/>
      <c r="E258" s="38"/>
      <c r="F258" s="38"/>
      <c r="G258" s="38" t="s">
        <v>1294</v>
      </c>
      <c r="H258" s="38" t="s">
        <v>1294</v>
      </c>
      <c r="I258" s="38" t="s">
        <v>1294</v>
      </c>
      <c r="J258" s="38"/>
      <c r="K258" s="38"/>
      <c r="L258" s="42"/>
      <c r="M258" s="43"/>
      <c r="N258" s="43"/>
      <c r="O258" s="43"/>
      <c r="P258" s="43"/>
      <c r="Q258" s="43"/>
      <c r="R258" s="43"/>
    </row>
    <row r="259" spans="1:18">
      <c r="A259" s="44"/>
      <c r="B259" s="38" t="s">
        <v>1295</v>
      </c>
      <c r="C259" s="38"/>
      <c r="D259" s="38"/>
      <c r="E259" s="38"/>
      <c r="F259" s="38"/>
      <c r="G259" s="38" t="s">
        <v>1296</v>
      </c>
      <c r="H259" s="38" t="s">
        <v>1296</v>
      </c>
      <c r="I259" s="38" t="s">
        <v>1296</v>
      </c>
      <c r="J259" s="38"/>
      <c r="K259" s="38"/>
      <c r="L259" s="42"/>
      <c r="M259" s="43"/>
      <c r="N259" s="43"/>
      <c r="O259" s="43"/>
      <c r="P259" s="43"/>
      <c r="Q259" s="43"/>
      <c r="R259" s="43"/>
    </row>
    <row r="260" spans="1:18">
      <c r="A260" s="44"/>
      <c r="B260" s="38" t="s">
        <v>1297</v>
      </c>
      <c r="C260" s="38"/>
      <c r="D260" s="38"/>
      <c r="E260" s="38"/>
      <c r="F260" s="38"/>
      <c r="G260" s="38" t="s">
        <v>1296</v>
      </c>
      <c r="H260" s="38" t="s">
        <v>1296</v>
      </c>
      <c r="I260" s="38" t="s">
        <v>1296</v>
      </c>
      <c r="J260" s="38"/>
      <c r="K260" s="38"/>
      <c r="L260" s="42"/>
      <c r="M260" s="43"/>
      <c r="N260" s="43"/>
      <c r="O260" s="43"/>
      <c r="P260" s="43"/>
      <c r="Q260" s="43"/>
      <c r="R260" s="43"/>
    </row>
    <row r="261" spans="1:18">
      <c r="A261" s="44"/>
      <c r="B261" s="38" t="s">
        <v>1298</v>
      </c>
      <c r="C261" s="38"/>
      <c r="D261" s="38"/>
      <c r="E261" s="38"/>
      <c r="F261" s="38"/>
      <c r="G261" s="38" t="s">
        <v>1299</v>
      </c>
      <c r="H261" s="38" t="s">
        <v>1299</v>
      </c>
      <c r="I261" s="38" t="s">
        <v>1299</v>
      </c>
      <c r="J261" s="38"/>
      <c r="K261" s="38"/>
      <c r="L261" s="42"/>
      <c r="M261" s="43"/>
      <c r="N261" s="43"/>
      <c r="O261" s="43"/>
      <c r="P261" s="43"/>
      <c r="Q261" s="43"/>
      <c r="R261" s="43"/>
    </row>
    <row r="262" spans="1:18">
      <c r="A262" s="44"/>
      <c r="B262" s="38" t="s">
        <v>1300</v>
      </c>
      <c r="C262" s="38"/>
      <c r="D262" s="38"/>
      <c r="E262" s="38"/>
      <c r="F262" s="38"/>
      <c r="G262" s="38" t="s">
        <v>1087</v>
      </c>
      <c r="H262" s="38" t="s">
        <v>1087</v>
      </c>
      <c r="I262" s="38" t="s">
        <v>1087</v>
      </c>
      <c r="J262" s="38"/>
      <c r="K262" s="38"/>
      <c r="L262" s="42"/>
      <c r="M262" s="43"/>
      <c r="N262" s="43"/>
      <c r="O262" s="43"/>
      <c r="P262" s="43"/>
      <c r="Q262" s="43"/>
      <c r="R262" s="43"/>
    </row>
    <row r="263" spans="1:18">
      <c r="A263" s="44"/>
      <c r="B263" s="38" t="s">
        <v>1301</v>
      </c>
      <c r="C263" s="38"/>
      <c r="D263" s="38"/>
      <c r="E263" s="38"/>
      <c r="F263" s="38"/>
      <c r="G263" s="38" t="s">
        <v>1302</v>
      </c>
      <c r="H263" s="38" t="s">
        <v>1302</v>
      </c>
      <c r="I263" s="38" t="s">
        <v>1302</v>
      </c>
      <c r="J263" s="38"/>
      <c r="K263" s="38"/>
      <c r="L263" s="42"/>
      <c r="M263" s="43"/>
      <c r="N263" s="43"/>
      <c r="O263" s="43"/>
      <c r="P263" s="43"/>
      <c r="Q263" s="43"/>
      <c r="R263" s="43"/>
    </row>
    <row r="264" spans="1:18">
      <c r="A264" s="44"/>
      <c r="B264" s="38" t="s">
        <v>1303</v>
      </c>
      <c r="C264" s="38"/>
      <c r="D264" s="38"/>
      <c r="E264" s="38"/>
      <c r="F264" s="38"/>
      <c r="G264" s="38" t="s">
        <v>1304</v>
      </c>
      <c r="H264" s="38" t="s">
        <v>1304</v>
      </c>
      <c r="I264" s="38" t="s">
        <v>1304</v>
      </c>
      <c r="J264" s="38"/>
      <c r="K264" s="38"/>
      <c r="L264" s="42"/>
      <c r="M264" s="43"/>
      <c r="N264" s="43"/>
      <c r="O264" s="43"/>
      <c r="P264" s="43"/>
      <c r="Q264" s="43"/>
      <c r="R264" s="43"/>
    </row>
    <row r="265" spans="1:18">
      <c r="A265" s="44"/>
      <c r="B265" s="38" t="s">
        <v>1305</v>
      </c>
      <c r="C265" s="38"/>
      <c r="D265" s="38"/>
      <c r="E265" s="38"/>
      <c r="F265" s="38"/>
      <c r="G265" s="38" t="s">
        <v>1306</v>
      </c>
      <c r="H265" s="38" t="s">
        <v>1306</v>
      </c>
      <c r="I265" s="38" t="s">
        <v>1306</v>
      </c>
      <c r="J265" s="38"/>
      <c r="K265" s="38"/>
      <c r="L265" s="42"/>
      <c r="M265" s="43"/>
      <c r="N265" s="43"/>
      <c r="O265" s="43"/>
      <c r="P265" s="43"/>
      <c r="Q265" s="43"/>
      <c r="R265" s="43"/>
    </row>
    <row r="266" spans="1:18">
      <c r="A266" s="44"/>
      <c r="B266" s="38" t="s">
        <v>1307</v>
      </c>
      <c r="C266" s="38"/>
      <c r="D266" s="38"/>
      <c r="E266" s="38"/>
      <c r="F266" s="38"/>
      <c r="G266" s="38" t="s">
        <v>1308</v>
      </c>
      <c r="H266" s="38" t="s">
        <v>1308</v>
      </c>
      <c r="I266" s="38" t="s">
        <v>1308</v>
      </c>
      <c r="J266" s="38"/>
      <c r="K266" s="38"/>
      <c r="L266" s="42"/>
      <c r="M266" s="43"/>
      <c r="N266" s="43"/>
      <c r="O266" s="43"/>
      <c r="P266" s="43"/>
      <c r="Q266" s="43"/>
      <c r="R266" s="43"/>
    </row>
    <row r="267" spans="1:18">
      <c r="A267" s="44"/>
      <c r="B267" s="38" t="s">
        <v>1309</v>
      </c>
      <c r="C267" s="38"/>
      <c r="D267" s="38"/>
      <c r="E267" s="38"/>
      <c r="F267" s="38"/>
      <c r="G267" s="38" t="s">
        <v>1310</v>
      </c>
      <c r="H267" s="38" t="s">
        <v>1310</v>
      </c>
      <c r="I267" s="38" t="s">
        <v>1310</v>
      </c>
      <c r="J267" s="38"/>
      <c r="K267" s="38"/>
      <c r="L267" s="42"/>
      <c r="M267" s="43"/>
      <c r="N267" s="43"/>
      <c r="O267" s="43"/>
      <c r="P267" s="43"/>
      <c r="Q267" s="43"/>
      <c r="R267" s="43"/>
    </row>
    <row r="268" spans="1:18">
      <c r="A268" s="44"/>
      <c r="B268" s="38" t="s">
        <v>1311</v>
      </c>
      <c r="C268" s="38"/>
      <c r="D268" s="38"/>
      <c r="E268" s="38"/>
      <c r="F268" s="38"/>
      <c r="G268" s="38" t="s">
        <v>921</v>
      </c>
      <c r="H268" s="38" t="s">
        <v>921</v>
      </c>
      <c r="I268" s="38" t="s">
        <v>921</v>
      </c>
      <c r="J268" s="38"/>
      <c r="K268" s="38"/>
      <c r="L268" s="42"/>
      <c r="M268" s="43"/>
      <c r="N268" s="43"/>
      <c r="O268" s="43"/>
      <c r="P268" s="43"/>
      <c r="Q268" s="43"/>
      <c r="R268" s="43"/>
    </row>
    <row r="269" spans="1:18">
      <c r="A269" s="44"/>
      <c r="B269" s="38" t="s">
        <v>1312</v>
      </c>
      <c r="C269" s="38"/>
      <c r="D269" s="38"/>
      <c r="E269" s="38"/>
      <c r="F269" s="38"/>
      <c r="G269" s="38" t="s">
        <v>921</v>
      </c>
      <c r="H269" s="38" t="s">
        <v>921</v>
      </c>
      <c r="I269" s="38" t="s">
        <v>921</v>
      </c>
      <c r="J269" s="38"/>
      <c r="K269" s="38"/>
      <c r="L269" s="42"/>
      <c r="M269" s="43"/>
      <c r="N269" s="43"/>
      <c r="O269" s="43"/>
      <c r="P269" s="43"/>
      <c r="Q269" s="43"/>
      <c r="R269" s="43"/>
    </row>
    <row r="270" spans="1:18">
      <c r="A270" s="44"/>
      <c r="B270" s="38" t="s">
        <v>1313</v>
      </c>
      <c r="C270" s="38"/>
      <c r="D270" s="38"/>
      <c r="E270" s="38"/>
      <c r="F270" s="38"/>
      <c r="G270" s="38" t="s">
        <v>1314</v>
      </c>
      <c r="H270" s="38" t="s">
        <v>1314</v>
      </c>
      <c r="I270" s="38" t="s">
        <v>1314</v>
      </c>
      <c r="J270" s="38"/>
      <c r="K270" s="38"/>
      <c r="L270" s="42"/>
      <c r="M270" s="43"/>
      <c r="N270" s="43"/>
      <c r="O270" s="43"/>
      <c r="P270" s="43"/>
      <c r="Q270" s="43"/>
      <c r="R270" s="43"/>
    </row>
    <row r="271" spans="1:18">
      <c r="A271" s="44"/>
      <c r="B271" s="38" t="s">
        <v>1315</v>
      </c>
      <c r="C271" s="38"/>
      <c r="D271" s="38"/>
      <c r="E271" s="38"/>
      <c r="F271" s="38"/>
      <c r="G271" s="38" t="s">
        <v>1314</v>
      </c>
      <c r="H271" s="38" t="s">
        <v>1314</v>
      </c>
      <c r="I271" s="38" t="s">
        <v>1314</v>
      </c>
      <c r="J271" s="38"/>
      <c r="K271" s="38"/>
      <c r="L271" s="42"/>
      <c r="M271" s="43"/>
      <c r="N271" s="43"/>
      <c r="O271" s="43"/>
      <c r="P271" s="43"/>
      <c r="Q271" s="43"/>
      <c r="R271" s="43"/>
    </row>
    <row r="272" spans="1:18">
      <c r="A272" s="44"/>
      <c r="B272" s="38" t="s">
        <v>1316</v>
      </c>
      <c r="C272" s="38"/>
      <c r="D272" s="38"/>
      <c r="E272" s="38"/>
      <c r="F272" s="38"/>
      <c r="G272" s="38" t="s">
        <v>1317</v>
      </c>
      <c r="H272" s="38" t="s">
        <v>1317</v>
      </c>
      <c r="I272" s="38" t="s">
        <v>1317</v>
      </c>
      <c r="J272" s="38"/>
      <c r="K272" s="38"/>
      <c r="L272" s="42"/>
      <c r="M272" s="43"/>
      <c r="N272" s="43"/>
      <c r="O272" s="43"/>
      <c r="P272" s="43"/>
      <c r="Q272" s="43"/>
      <c r="R272" s="43"/>
    </row>
    <row r="273" spans="1:18">
      <c r="A273" s="44"/>
      <c r="B273" s="38" t="s">
        <v>1318</v>
      </c>
      <c r="C273" s="38"/>
      <c r="D273" s="38"/>
      <c r="E273" s="38"/>
      <c r="F273" s="38"/>
      <c r="G273" s="38" t="s">
        <v>1151</v>
      </c>
      <c r="H273" s="38" t="s">
        <v>1151</v>
      </c>
      <c r="I273" s="38" t="s">
        <v>1151</v>
      </c>
      <c r="J273" s="38"/>
      <c r="K273" s="38"/>
      <c r="L273" s="42"/>
      <c r="M273" s="43"/>
      <c r="N273" s="43"/>
      <c r="O273" s="43"/>
      <c r="P273" s="43"/>
      <c r="Q273" s="43"/>
      <c r="R273" s="43"/>
    </row>
    <row r="274" spans="1:18">
      <c r="A274" s="44"/>
      <c r="B274" s="38" t="s">
        <v>1319</v>
      </c>
      <c r="C274" s="38"/>
      <c r="D274" s="38"/>
      <c r="E274" s="38"/>
      <c r="F274" s="38"/>
      <c r="G274" s="38" t="s">
        <v>1151</v>
      </c>
      <c r="H274" s="38" t="s">
        <v>1151</v>
      </c>
      <c r="I274" s="38" t="s">
        <v>1151</v>
      </c>
      <c r="J274" s="38"/>
      <c r="K274" s="38"/>
      <c r="L274" s="42"/>
      <c r="M274" s="43"/>
      <c r="N274" s="43"/>
      <c r="O274" s="43"/>
      <c r="P274" s="43"/>
      <c r="Q274" s="43"/>
      <c r="R274" s="43"/>
    </row>
    <row r="275" spans="1:18">
      <c r="A275" s="44"/>
      <c r="B275" s="38" t="s">
        <v>1320</v>
      </c>
      <c r="C275" s="38"/>
      <c r="D275" s="38"/>
      <c r="E275" s="38"/>
      <c r="F275" s="38"/>
      <c r="G275" s="38" t="s">
        <v>917</v>
      </c>
      <c r="H275" s="38" t="s">
        <v>917</v>
      </c>
      <c r="I275" s="38" t="s">
        <v>917</v>
      </c>
      <c r="J275" s="38"/>
      <c r="K275" s="38"/>
      <c r="L275" s="42"/>
      <c r="M275" s="43"/>
      <c r="N275" s="43"/>
      <c r="O275" s="43"/>
      <c r="P275" s="43"/>
      <c r="Q275" s="43"/>
      <c r="R275" s="43"/>
    </row>
    <row r="276" spans="1:18">
      <c r="A276" s="44"/>
      <c r="B276" s="38" t="s">
        <v>1321</v>
      </c>
      <c r="C276" s="38"/>
      <c r="D276" s="38"/>
      <c r="E276" s="38"/>
      <c r="F276" s="38"/>
      <c r="G276" s="38" t="s">
        <v>919</v>
      </c>
      <c r="H276" s="38" t="s">
        <v>919</v>
      </c>
      <c r="I276" s="38" t="s">
        <v>919</v>
      </c>
      <c r="J276" s="38"/>
      <c r="K276" s="38"/>
      <c r="L276" s="42"/>
      <c r="M276" s="43"/>
      <c r="N276" s="43"/>
      <c r="O276" s="43"/>
      <c r="P276" s="43"/>
      <c r="Q276" s="43"/>
      <c r="R276" s="43"/>
    </row>
    <row r="277" spans="1:18">
      <c r="A277" s="44"/>
      <c r="B277" s="38" t="s">
        <v>1322</v>
      </c>
      <c r="C277" s="38"/>
      <c r="D277" s="38"/>
      <c r="E277" s="38"/>
      <c r="F277" s="38"/>
      <c r="G277" s="38" t="s">
        <v>1323</v>
      </c>
      <c r="H277" s="38" t="s">
        <v>1323</v>
      </c>
      <c r="I277" s="38" t="s">
        <v>1323</v>
      </c>
      <c r="J277" s="38"/>
      <c r="K277" s="38"/>
      <c r="L277" s="42"/>
      <c r="M277" s="43"/>
      <c r="N277" s="43"/>
      <c r="O277" s="43"/>
      <c r="P277" s="43"/>
      <c r="Q277" s="43"/>
      <c r="R277" s="43"/>
    </row>
    <row r="278" spans="1:18">
      <c r="A278" s="44"/>
      <c r="B278" s="38" t="s">
        <v>1324</v>
      </c>
      <c r="C278" s="38"/>
      <c r="D278" s="38"/>
      <c r="E278" s="38"/>
      <c r="F278" s="38"/>
      <c r="G278" s="38" t="s">
        <v>1325</v>
      </c>
      <c r="H278" s="38" t="s">
        <v>1325</v>
      </c>
      <c r="I278" s="38" t="s">
        <v>1325</v>
      </c>
      <c r="J278" s="38"/>
      <c r="K278" s="38"/>
      <c r="L278" s="42"/>
      <c r="M278" s="43"/>
      <c r="N278" s="43"/>
      <c r="O278" s="43"/>
      <c r="P278" s="43"/>
      <c r="Q278" s="43"/>
      <c r="R278" s="43"/>
    </row>
    <row r="279" spans="1:18">
      <c r="A279" s="44"/>
      <c r="B279" s="38" t="s">
        <v>1326</v>
      </c>
      <c r="C279" s="38"/>
      <c r="D279" s="38"/>
      <c r="E279" s="38"/>
      <c r="F279" s="38"/>
      <c r="G279" s="38" t="s">
        <v>1325</v>
      </c>
      <c r="H279" s="38" t="s">
        <v>1325</v>
      </c>
      <c r="I279" s="38" t="s">
        <v>1325</v>
      </c>
      <c r="J279" s="38"/>
      <c r="K279" s="38"/>
      <c r="L279" s="42"/>
      <c r="M279" s="43"/>
      <c r="N279" s="43"/>
      <c r="O279" s="43"/>
      <c r="P279" s="43"/>
      <c r="Q279" s="43"/>
      <c r="R279" s="43"/>
    </row>
    <row r="280" spans="1:18">
      <c r="A280" s="44"/>
      <c r="B280" s="38" t="s">
        <v>1327</v>
      </c>
      <c r="C280" s="38"/>
      <c r="D280" s="38"/>
      <c r="E280" s="38"/>
      <c r="F280" s="38"/>
      <c r="G280" s="38" t="s">
        <v>1328</v>
      </c>
      <c r="H280" s="38" t="s">
        <v>1328</v>
      </c>
      <c r="I280" s="38" t="s">
        <v>1328</v>
      </c>
      <c r="J280" s="38"/>
      <c r="K280" s="38"/>
      <c r="L280" s="42"/>
      <c r="M280" s="43"/>
      <c r="N280" s="43"/>
      <c r="O280" s="43"/>
      <c r="P280" s="43"/>
      <c r="Q280" s="43"/>
      <c r="R280" s="43"/>
    </row>
    <row r="281" spans="1:18">
      <c r="A281" s="44"/>
      <c r="B281" s="38" t="s">
        <v>1329</v>
      </c>
      <c r="C281" s="38"/>
      <c r="D281" s="38"/>
      <c r="E281" s="38"/>
      <c r="F281" s="38"/>
      <c r="G281" s="38" t="s">
        <v>1330</v>
      </c>
      <c r="H281" s="38" t="s">
        <v>1330</v>
      </c>
      <c r="I281" s="38" t="s">
        <v>1330</v>
      </c>
      <c r="J281" s="38"/>
      <c r="K281" s="38"/>
      <c r="L281" s="42"/>
      <c r="M281" s="43"/>
      <c r="N281" s="43"/>
      <c r="O281" s="43"/>
      <c r="P281" s="43"/>
      <c r="Q281" s="43"/>
      <c r="R281" s="43"/>
    </row>
    <row r="282" spans="1:18">
      <c r="A282" s="44"/>
      <c r="B282" s="38" t="s">
        <v>1331</v>
      </c>
      <c r="C282" s="38"/>
      <c r="D282" s="38"/>
      <c r="E282" s="38"/>
      <c r="F282" s="38"/>
      <c r="G282" s="38" t="s">
        <v>1332</v>
      </c>
      <c r="H282" s="38" t="s">
        <v>1332</v>
      </c>
      <c r="I282" s="38" t="s">
        <v>1332</v>
      </c>
      <c r="J282" s="38"/>
      <c r="K282" s="38"/>
      <c r="L282" s="42"/>
      <c r="M282" s="43"/>
      <c r="N282" s="43"/>
      <c r="O282" s="43"/>
      <c r="P282" s="43"/>
      <c r="Q282" s="43"/>
      <c r="R282" s="43"/>
    </row>
    <row r="283" spans="1:18">
      <c r="A283" s="44"/>
      <c r="B283" s="38" t="s">
        <v>1333</v>
      </c>
      <c r="C283" s="38"/>
      <c r="D283" s="38"/>
      <c r="E283" s="38"/>
      <c r="F283" s="38"/>
      <c r="G283" s="38" t="s">
        <v>1334</v>
      </c>
      <c r="H283" s="38" t="s">
        <v>1334</v>
      </c>
      <c r="I283" s="38" t="s">
        <v>1334</v>
      </c>
      <c r="J283" s="38"/>
      <c r="K283" s="38"/>
      <c r="L283" s="42"/>
      <c r="M283" s="43"/>
      <c r="N283" s="43"/>
      <c r="O283" s="43"/>
      <c r="P283" s="43"/>
      <c r="Q283" s="43"/>
      <c r="R283" s="43"/>
    </row>
    <row r="284" spans="1:18">
      <c r="A284" s="44"/>
      <c r="B284" s="38" t="s">
        <v>1335</v>
      </c>
      <c r="C284" s="38"/>
      <c r="D284" s="38"/>
      <c r="E284" s="38"/>
      <c r="F284" s="38"/>
      <c r="G284" s="38" t="s">
        <v>964</v>
      </c>
      <c r="H284" s="38" t="s">
        <v>964</v>
      </c>
      <c r="I284" s="38" t="s">
        <v>964</v>
      </c>
      <c r="J284" s="38"/>
      <c r="K284" s="38"/>
      <c r="L284" s="42"/>
      <c r="M284" s="43"/>
      <c r="N284" s="43"/>
      <c r="O284" s="43"/>
      <c r="P284" s="43"/>
      <c r="Q284" s="43"/>
      <c r="R284" s="43"/>
    </row>
    <row r="285" spans="1:18">
      <c r="A285" s="44"/>
      <c r="B285" s="38" t="s">
        <v>1336</v>
      </c>
      <c r="C285" s="38"/>
      <c r="D285" s="38"/>
      <c r="E285" s="38"/>
      <c r="F285" s="38"/>
      <c r="G285" s="38" t="s">
        <v>950</v>
      </c>
      <c r="H285" s="38" t="s">
        <v>950</v>
      </c>
      <c r="I285" s="38" t="s">
        <v>950</v>
      </c>
      <c r="J285" s="38"/>
      <c r="K285" s="38"/>
      <c r="L285" s="42"/>
      <c r="M285" s="43"/>
      <c r="N285" s="43"/>
      <c r="O285" s="43"/>
      <c r="P285" s="43"/>
      <c r="Q285" s="43"/>
      <c r="R285" s="43"/>
    </row>
    <row r="286" spans="1:18">
      <c r="A286" s="44"/>
      <c r="B286" s="38" t="s">
        <v>1337</v>
      </c>
      <c r="C286" s="38"/>
      <c r="D286" s="38"/>
      <c r="E286" s="38"/>
      <c r="F286" s="38"/>
      <c r="G286" s="38" t="s">
        <v>942</v>
      </c>
      <c r="H286" s="38" t="s">
        <v>942</v>
      </c>
      <c r="I286" s="38" t="s">
        <v>942</v>
      </c>
      <c r="J286" s="38"/>
      <c r="K286" s="38"/>
      <c r="L286" s="42"/>
      <c r="M286" s="43"/>
      <c r="N286" s="43"/>
      <c r="O286" s="43"/>
      <c r="P286" s="43"/>
      <c r="Q286" s="43"/>
      <c r="R286" s="43"/>
    </row>
    <row r="287" spans="1:18">
      <c r="A287" s="44"/>
      <c r="B287" s="38" t="s">
        <v>1338</v>
      </c>
      <c r="C287" s="38"/>
      <c r="D287" s="38"/>
      <c r="E287" s="38"/>
      <c r="F287" s="38"/>
      <c r="G287" s="38" t="s">
        <v>1339</v>
      </c>
      <c r="H287" s="38" t="s">
        <v>1339</v>
      </c>
      <c r="I287" s="38" t="s">
        <v>1339</v>
      </c>
      <c r="J287" s="38"/>
      <c r="K287" s="38"/>
      <c r="L287" s="42"/>
      <c r="M287" s="43"/>
      <c r="N287" s="43"/>
      <c r="O287" s="43"/>
      <c r="P287" s="43"/>
      <c r="Q287" s="43"/>
      <c r="R287" s="43"/>
    </row>
    <row r="288" spans="1:18">
      <c r="A288" s="44"/>
      <c r="B288" s="38" t="s">
        <v>1340</v>
      </c>
      <c r="C288" s="38"/>
      <c r="D288" s="38"/>
      <c r="E288" s="38"/>
      <c r="F288" s="38"/>
      <c r="G288" s="38" t="s">
        <v>1021</v>
      </c>
      <c r="H288" s="38" t="s">
        <v>1021</v>
      </c>
      <c r="I288" s="38" t="s">
        <v>1021</v>
      </c>
      <c r="J288" s="38"/>
      <c r="K288" s="38"/>
      <c r="L288" s="42"/>
      <c r="M288" s="43"/>
      <c r="N288" s="43"/>
      <c r="O288" s="43"/>
      <c r="P288" s="43"/>
      <c r="Q288" s="43"/>
      <c r="R288" s="43"/>
    </row>
    <row r="289" spans="1:18">
      <c r="A289" s="44"/>
      <c r="B289" s="38" t="s">
        <v>1341</v>
      </c>
      <c r="C289" s="38"/>
      <c r="D289" s="38"/>
      <c r="E289" s="38"/>
      <c r="F289" s="38"/>
      <c r="G289" s="38" t="s">
        <v>981</v>
      </c>
      <c r="H289" s="38" t="s">
        <v>981</v>
      </c>
      <c r="I289" s="38" t="s">
        <v>981</v>
      </c>
      <c r="J289" s="38"/>
      <c r="K289" s="38"/>
      <c r="L289" s="42"/>
      <c r="M289" s="43"/>
      <c r="N289" s="43"/>
      <c r="O289" s="43"/>
      <c r="P289" s="43"/>
      <c r="Q289" s="43"/>
      <c r="R289" s="43"/>
    </row>
    <row r="290" spans="1:18">
      <c r="A290" s="44"/>
      <c r="B290" s="38" t="s">
        <v>1342</v>
      </c>
      <c r="C290" s="38"/>
      <c r="D290" s="38"/>
      <c r="E290" s="38"/>
      <c r="F290" s="38"/>
      <c r="G290" s="38" t="s">
        <v>917</v>
      </c>
      <c r="H290" s="38" t="s">
        <v>917</v>
      </c>
      <c r="I290" s="38" t="s">
        <v>917</v>
      </c>
      <c r="J290" s="38"/>
      <c r="K290" s="38"/>
      <c r="L290" s="42"/>
      <c r="M290" s="43"/>
      <c r="N290" s="43"/>
      <c r="O290" s="43"/>
      <c r="P290" s="43"/>
      <c r="Q290" s="43"/>
      <c r="R290" s="43"/>
    </row>
    <row r="291" spans="1:18">
      <c r="A291" s="44"/>
      <c r="B291" s="38" t="s">
        <v>1343</v>
      </c>
      <c r="C291" s="38"/>
      <c r="D291" s="38"/>
      <c r="E291" s="38"/>
      <c r="F291" s="38"/>
      <c r="G291" s="38" t="s">
        <v>1244</v>
      </c>
      <c r="H291" s="38" t="s">
        <v>1244</v>
      </c>
      <c r="I291" s="38" t="s">
        <v>1244</v>
      </c>
      <c r="J291" s="38"/>
      <c r="K291" s="38"/>
      <c r="L291" s="42"/>
      <c r="M291" s="43"/>
      <c r="N291" s="43"/>
      <c r="O291" s="43"/>
      <c r="P291" s="43"/>
      <c r="Q291" s="43"/>
      <c r="R291" s="43"/>
    </row>
    <row r="292" spans="1:18">
      <c r="A292" s="44"/>
      <c r="B292" s="38" t="s">
        <v>1344</v>
      </c>
      <c r="C292" s="38"/>
      <c r="D292" s="38"/>
      <c r="E292" s="38"/>
      <c r="F292" s="38"/>
      <c r="G292" s="38" t="s">
        <v>1244</v>
      </c>
      <c r="H292" s="38" t="s">
        <v>1244</v>
      </c>
      <c r="I292" s="38" t="s">
        <v>1244</v>
      </c>
      <c r="J292" s="38"/>
      <c r="K292" s="38"/>
      <c r="L292" s="42"/>
      <c r="M292" s="43"/>
      <c r="N292" s="43"/>
      <c r="O292" s="43"/>
      <c r="P292" s="43"/>
      <c r="Q292" s="43"/>
      <c r="R292" s="43"/>
    </row>
    <row r="293" spans="1:18">
      <c r="A293" s="44"/>
      <c r="B293" s="38" t="s">
        <v>1345</v>
      </c>
      <c r="C293" s="38"/>
      <c r="D293" s="38"/>
      <c r="E293" s="38"/>
      <c r="F293" s="38"/>
      <c r="G293" s="38" t="s">
        <v>1112</v>
      </c>
      <c r="H293" s="38" t="s">
        <v>1158</v>
      </c>
      <c r="I293" s="38" t="s">
        <v>1112</v>
      </c>
      <c r="J293" s="38"/>
      <c r="K293" s="38"/>
      <c r="L293" s="42"/>
      <c r="M293" s="43"/>
      <c r="N293" s="43"/>
      <c r="O293" s="43"/>
      <c r="P293" s="43"/>
      <c r="Q293" s="43"/>
      <c r="R293" s="43"/>
    </row>
    <row r="294" spans="1:18">
      <c r="A294" s="44"/>
      <c r="B294" s="38" t="s">
        <v>1346</v>
      </c>
      <c r="C294" s="38"/>
      <c r="D294" s="38"/>
      <c r="E294" s="38"/>
      <c r="F294" s="38"/>
      <c r="G294" s="38" t="s">
        <v>1112</v>
      </c>
      <c r="H294" s="38" t="s">
        <v>1158</v>
      </c>
      <c r="I294" s="38" t="s">
        <v>1112</v>
      </c>
      <c r="J294" s="38"/>
      <c r="K294" s="38"/>
      <c r="L294" s="42"/>
      <c r="M294" s="43"/>
      <c r="N294" s="43"/>
      <c r="O294" s="43"/>
      <c r="P294" s="43"/>
      <c r="Q294" s="43"/>
      <c r="R294" s="43"/>
    </row>
    <row r="295" spans="1:18">
      <c r="A295" s="44"/>
      <c r="B295" s="38" t="s">
        <v>1347</v>
      </c>
      <c r="C295" s="38"/>
      <c r="D295" s="38"/>
      <c r="E295" s="38"/>
      <c r="F295" s="38"/>
      <c r="G295" s="38" t="s">
        <v>917</v>
      </c>
      <c r="H295" s="38" t="s">
        <v>972</v>
      </c>
      <c r="I295" s="38" t="s">
        <v>917</v>
      </c>
      <c r="J295" s="38"/>
      <c r="K295" s="38"/>
      <c r="L295" s="42"/>
      <c r="M295" s="43"/>
      <c r="N295" s="43"/>
      <c r="O295" s="43"/>
      <c r="P295" s="43"/>
      <c r="Q295" s="43"/>
      <c r="R295" s="43"/>
    </row>
    <row r="296" spans="1:18">
      <c r="A296" s="44"/>
      <c r="B296" s="38" t="s">
        <v>1348</v>
      </c>
      <c r="C296" s="38"/>
      <c r="D296" s="38"/>
      <c r="E296" s="38"/>
      <c r="F296" s="38"/>
      <c r="G296" s="38" t="s">
        <v>1349</v>
      </c>
      <c r="H296" s="38" t="s">
        <v>1350</v>
      </c>
      <c r="I296" s="38" t="s">
        <v>1349</v>
      </c>
      <c r="J296" s="38"/>
      <c r="K296" s="38"/>
      <c r="L296" s="42"/>
      <c r="M296" s="43"/>
      <c r="N296" s="43"/>
      <c r="O296" s="43"/>
      <c r="P296" s="43"/>
      <c r="Q296" s="43"/>
      <c r="R296" s="43"/>
    </row>
    <row r="297" spans="1:18">
      <c r="A297" s="44"/>
      <c r="B297" s="38" t="s">
        <v>1351</v>
      </c>
      <c r="C297" s="38"/>
      <c r="D297" s="38"/>
      <c r="E297" s="38"/>
      <c r="F297" s="38"/>
      <c r="G297" s="38" t="s">
        <v>1352</v>
      </c>
      <c r="H297" s="38" t="s">
        <v>1352</v>
      </c>
      <c r="I297" s="38" t="s">
        <v>1352</v>
      </c>
      <c r="J297" s="38"/>
      <c r="K297" s="38"/>
      <c r="L297" s="42"/>
      <c r="M297" s="43"/>
      <c r="N297" s="43"/>
      <c r="O297" s="43"/>
      <c r="P297" s="43"/>
      <c r="Q297" s="43"/>
      <c r="R297" s="43"/>
    </row>
    <row r="298" spans="1:18">
      <c r="A298" s="44"/>
      <c r="B298" s="38" t="s">
        <v>1353</v>
      </c>
      <c r="C298" s="38"/>
      <c r="D298" s="38"/>
      <c r="E298" s="38"/>
      <c r="F298" s="38"/>
      <c r="G298" s="38" t="s">
        <v>1352</v>
      </c>
      <c r="H298" s="38" t="s">
        <v>1352</v>
      </c>
      <c r="I298" s="38" t="s">
        <v>1352</v>
      </c>
      <c r="J298" s="38"/>
      <c r="K298" s="38"/>
      <c r="L298" s="42"/>
      <c r="M298" s="43"/>
      <c r="N298" s="43"/>
      <c r="O298" s="43"/>
      <c r="P298" s="43"/>
      <c r="Q298" s="43"/>
      <c r="R298" s="43"/>
    </row>
    <row r="299" spans="1:18">
      <c r="A299" s="44"/>
      <c r="B299" s="38" t="s">
        <v>1354</v>
      </c>
      <c r="C299" s="38"/>
      <c r="D299" s="38"/>
      <c r="E299" s="38"/>
      <c r="F299" s="38"/>
      <c r="G299" s="38" t="s">
        <v>1355</v>
      </c>
      <c r="H299" s="38" t="s">
        <v>1355</v>
      </c>
      <c r="I299" s="38" t="s">
        <v>1355</v>
      </c>
      <c r="J299" s="38"/>
      <c r="K299" s="38"/>
      <c r="L299" s="42"/>
      <c r="M299" s="43"/>
      <c r="N299" s="43"/>
      <c r="O299" s="43"/>
      <c r="P299" s="43"/>
      <c r="Q299" s="43"/>
      <c r="R299" s="43"/>
    </row>
    <row r="300" spans="1:18">
      <c r="A300" s="44"/>
      <c r="B300" s="38" t="s">
        <v>1356</v>
      </c>
      <c r="C300" s="38"/>
      <c r="D300" s="38"/>
      <c r="E300" s="38"/>
      <c r="F300" s="38"/>
      <c r="G300" s="38" t="s">
        <v>1355</v>
      </c>
      <c r="H300" s="38" t="s">
        <v>1355</v>
      </c>
      <c r="I300" s="38" t="s">
        <v>1355</v>
      </c>
      <c r="J300" s="38"/>
      <c r="K300" s="38"/>
      <c r="L300" s="42"/>
      <c r="M300" s="43"/>
      <c r="N300" s="43"/>
      <c r="O300" s="43"/>
      <c r="P300" s="43"/>
      <c r="Q300" s="43"/>
      <c r="R300" s="43"/>
    </row>
    <row r="301" spans="1:18">
      <c r="A301" s="44"/>
      <c r="B301" s="38" t="s">
        <v>1357</v>
      </c>
      <c r="C301" s="38"/>
      <c r="D301" s="38"/>
      <c r="E301" s="38"/>
      <c r="F301" s="38"/>
      <c r="G301" s="38" t="s">
        <v>1358</v>
      </c>
      <c r="H301" s="38" t="s">
        <v>1358</v>
      </c>
      <c r="I301" s="38" t="s">
        <v>1358</v>
      </c>
      <c r="J301" s="38"/>
      <c r="K301" s="38"/>
      <c r="L301" s="42"/>
      <c r="M301" s="43"/>
      <c r="N301" s="43"/>
      <c r="O301" s="43"/>
      <c r="P301" s="43"/>
      <c r="Q301" s="43"/>
      <c r="R301" s="43"/>
    </row>
    <row r="302" spans="1:18">
      <c r="A302" s="44"/>
      <c r="B302" s="38" t="s">
        <v>1359</v>
      </c>
      <c r="C302" s="38"/>
      <c r="D302" s="38"/>
      <c r="E302" s="38"/>
      <c r="F302" s="38"/>
      <c r="G302" s="38" t="s">
        <v>1360</v>
      </c>
      <c r="H302" s="38" t="s">
        <v>1360</v>
      </c>
      <c r="I302" s="38" t="s">
        <v>1360</v>
      </c>
      <c r="J302" s="38"/>
      <c r="K302" s="38"/>
      <c r="L302" s="42"/>
      <c r="M302" s="43"/>
      <c r="N302" s="43"/>
      <c r="O302" s="43"/>
      <c r="P302" s="43"/>
      <c r="Q302" s="43"/>
      <c r="R302" s="43"/>
    </row>
    <row r="303" spans="1:18">
      <c r="A303" s="44"/>
      <c r="B303" s="38" t="s">
        <v>1361</v>
      </c>
      <c r="C303" s="38"/>
      <c r="D303" s="38"/>
      <c r="E303" s="38"/>
      <c r="F303" s="38"/>
      <c r="G303" s="38" t="s">
        <v>1360</v>
      </c>
      <c r="H303" s="38" t="s">
        <v>1360</v>
      </c>
      <c r="I303" s="38" t="s">
        <v>1360</v>
      </c>
      <c r="J303" s="38"/>
      <c r="K303" s="38"/>
      <c r="L303" s="42"/>
      <c r="M303" s="43"/>
      <c r="N303" s="43"/>
      <c r="O303" s="43"/>
      <c r="P303" s="43"/>
      <c r="Q303" s="43"/>
      <c r="R303" s="43"/>
    </row>
    <row r="304" spans="1:18">
      <c r="A304" s="44"/>
      <c r="B304" s="38" t="s">
        <v>1362</v>
      </c>
      <c r="C304" s="38"/>
      <c r="D304" s="38"/>
      <c r="E304" s="38"/>
      <c r="F304" s="38"/>
      <c r="G304" s="38" t="s">
        <v>1363</v>
      </c>
      <c r="H304" s="38" t="s">
        <v>1363</v>
      </c>
      <c r="I304" s="38" t="s">
        <v>1363</v>
      </c>
      <c r="J304" s="38"/>
      <c r="K304" s="38"/>
      <c r="L304" s="42"/>
      <c r="M304" s="43"/>
      <c r="N304" s="43"/>
      <c r="O304" s="43"/>
      <c r="P304" s="43"/>
      <c r="Q304" s="43"/>
      <c r="R304" s="43"/>
    </row>
    <row r="305" spans="1:18">
      <c r="A305" s="44"/>
      <c r="B305" s="38" t="s">
        <v>1364</v>
      </c>
      <c r="C305" s="38"/>
      <c r="D305" s="38"/>
      <c r="E305" s="38"/>
      <c r="F305" s="38"/>
      <c r="G305" s="42" t="s">
        <v>1363</v>
      </c>
      <c r="H305" s="38" t="s">
        <v>1363</v>
      </c>
      <c r="I305" s="42" t="s">
        <v>1363</v>
      </c>
      <c r="J305" s="38"/>
      <c r="K305" s="38"/>
      <c r="L305" s="42"/>
      <c r="M305" s="43"/>
      <c r="N305" s="43"/>
      <c r="O305" s="43"/>
      <c r="P305" s="43"/>
      <c r="Q305" s="43"/>
      <c r="R305" s="43"/>
    </row>
    <row r="306" spans="1:18">
      <c r="A306" s="44"/>
      <c r="B306" s="38" t="s">
        <v>1365</v>
      </c>
      <c r="C306" s="38"/>
      <c r="D306" s="38"/>
      <c r="E306" s="38"/>
      <c r="F306" s="38"/>
      <c r="G306" s="42" t="s">
        <v>1363</v>
      </c>
      <c r="H306" s="38" t="s">
        <v>1363</v>
      </c>
      <c r="I306" s="42" t="s">
        <v>1363</v>
      </c>
      <c r="J306" s="38"/>
      <c r="K306" s="38"/>
      <c r="L306" s="42"/>
      <c r="M306" s="43"/>
      <c r="N306" s="43"/>
      <c r="O306" s="43"/>
      <c r="P306" s="43"/>
      <c r="Q306" s="43"/>
      <c r="R306" s="43"/>
    </row>
    <row r="307" spans="1:18">
      <c r="A307" s="44"/>
      <c r="B307" s="38" t="s">
        <v>1366</v>
      </c>
      <c r="C307" s="38"/>
      <c r="D307" s="38"/>
      <c r="E307" s="38"/>
      <c r="F307" s="38"/>
      <c r="G307" s="38" t="s">
        <v>1363</v>
      </c>
      <c r="H307" s="38" t="s">
        <v>1363</v>
      </c>
      <c r="I307" s="38" t="s">
        <v>1363</v>
      </c>
      <c r="J307" s="38"/>
      <c r="K307" s="38"/>
      <c r="L307" s="42"/>
      <c r="M307" s="43"/>
      <c r="N307" s="43"/>
      <c r="O307" s="43"/>
      <c r="P307" s="43"/>
      <c r="Q307" s="43"/>
      <c r="R307" s="43"/>
    </row>
    <row r="308" spans="1:18">
      <c r="A308" s="44"/>
      <c r="B308" s="38" t="s">
        <v>1367</v>
      </c>
      <c r="C308" s="38"/>
      <c r="D308" s="38"/>
      <c r="E308" s="38"/>
      <c r="F308" s="38"/>
      <c r="G308" s="38" t="s">
        <v>1325</v>
      </c>
      <c r="H308" s="38" t="s">
        <v>1325</v>
      </c>
      <c r="I308" s="38" t="s">
        <v>1325</v>
      </c>
      <c r="J308" s="38"/>
      <c r="K308" s="38"/>
      <c r="L308" s="42"/>
      <c r="M308" s="43"/>
      <c r="N308" s="43"/>
      <c r="O308" s="43"/>
      <c r="P308" s="43"/>
      <c r="Q308" s="43"/>
      <c r="R308" s="43"/>
    </row>
    <row r="309" spans="1:18">
      <c r="A309" s="44"/>
      <c r="B309" s="38" t="s">
        <v>1368</v>
      </c>
      <c r="C309" s="38"/>
      <c r="D309" s="38"/>
      <c r="E309" s="38"/>
      <c r="F309" s="38"/>
      <c r="G309" s="38" t="s">
        <v>1325</v>
      </c>
      <c r="H309" s="38" t="s">
        <v>1325</v>
      </c>
      <c r="I309" s="38" t="s">
        <v>1325</v>
      </c>
      <c r="J309" s="38"/>
      <c r="K309" s="38"/>
      <c r="L309" s="42"/>
      <c r="M309" s="43"/>
      <c r="N309" s="43"/>
      <c r="O309" s="43"/>
      <c r="P309" s="43"/>
      <c r="Q309" s="43"/>
      <c r="R309" s="43"/>
    </row>
    <row r="310" spans="1:18">
      <c r="A310" s="44"/>
      <c r="B310" s="38" t="s">
        <v>1369</v>
      </c>
      <c r="C310" s="38"/>
      <c r="D310" s="38"/>
      <c r="E310" s="38"/>
      <c r="F310" s="38"/>
      <c r="G310" s="38" t="s">
        <v>1370</v>
      </c>
      <c r="H310" s="38" t="s">
        <v>1370</v>
      </c>
      <c r="I310" s="38" t="s">
        <v>1370</v>
      </c>
      <c r="J310" s="38"/>
      <c r="K310" s="38"/>
      <c r="L310" s="42"/>
      <c r="M310" s="43"/>
      <c r="N310" s="43"/>
      <c r="O310" s="43"/>
      <c r="P310" s="43"/>
      <c r="Q310" s="43"/>
      <c r="R310" s="43"/>
    </row>
    <row r="311" spans="1:18">
      <c r="A311" s="44"/>
      <c r="B311" s="38" t="s">
        <v>1371</v>
      </c>
      <c r="C311" s="38"/>
      <c r="D311" s="38"/>
      <c r="E311" s="38"/>
      <c r="F311" s="38"/>
      <c r="G311" s="38" t="s">
        <v>966</v>
      </c>
      <c r="H311" s="38" t="s">
        <v>966</v>
      </c>
      <c r="I311" s="38" t="s">
        <v>966</v>
      </c>
      <c r="J311" s="38"/>
      <c r="K311" s="38"/>
      <c r="L311" s="42"/>
      <c r="M311" s="43"/>
      <c r="N311" s="43"/>
      <c r="O311" s="43"/>
      <c r="P311" s="43"/>
      <c r="Q311" s="43"/>
      <c r="R311" s="43"/>
    </row>
    <row r="312" spans="1:18">
      <c r="A312" s="44"/>
      <c r="B312" s="38" t="s">
        <v>1372</v>
      </c>
      <c r="C312" s="38"/>
      <c r="D312" s="38"/>
      <c r="E312" s="38"/>
      <c r="F312" s="38"/>
      <c r="G312" s="38" t="s">
        <v>968</v>
      </c>
      <c r="H312" s="38" t="s">
        <v>968</v>
      </c>
      <c r="I312" s="38" t="s">
        <v>968</v>
      </c>
      <c r="J312" s="38"/>
      <c r="K312" s="38"/>
      <c r="L312" s="42"/>
      <c r="M312" s="43"/>
      <c r="N312" s="43"/>
      <c r="O312" s="43"/>
      <c r="P312" s="43"/>
      <c r="Q312" s="43"/>
      <c r="R312" s="43"/>
    </row>
    <row r="313" spans="1:18">
      <c r="A313" s="44"/>
      <c r="B313" s="38" t="s">
        <v>1373</v>
      </c>
      <c r="C313" s="38"/>
      <c r="D313" s="38"/>
      <c r="E313" s="38"/>
      <c r="F313" s="38"/>
      <c r="G313" s="38" t="s">
        <v>1374</v>
      </c>
      <c r="H313" s="38" t="s">
        <v>1374</v>
      </c>
      <c r="I313" s="38" t="s">
        <v>1374</v>
      </c>
      <c r="J313" s="38"/>
      <c r="K313" s="38"/>
      <c r="L313" s="42"/>
      <c r="M313" s="43"/>
      <c r="N313" s="43"/>
      <c r="O313" s="43"/>
      <c r="P313" s="43"/>
      <c r="Q313" s="43"/>
      <c r="R313" s="43"/>
    </row>
    <row r="314" spans="1:18">
      <c r="A314" s="44"/>
      <c r="B314" s="38" t="s">
        <v>1375</v>
      </c>
      <c r="C314" s="38"/>
      <c r="D314" s="38"/>
      <c r="E314" s="38"/>
      <c r="F314" s="38"/>
      <c r="G314" s="38" t="s">
        <v>1374</v>
      </c>
      <c r="H314" s="38" t="s">
        <v>1374</v>
      </c>
      <c r="I314" s="38" t="s">
        <v>1374</v>
      </c>
      <c r="J314" s="38"/>
      <c r="K314" s="38"/>
      <c r="L314" s="42"/>
      <c r="M314" s="43"/>
      <c r="N314" s="43"/>
      <c r="O314" s="43"/>
      <c r="P314" s="43"/>
      <c r="Q314" s="43"/>
      <c r="R314" s="43"/>
    </row>
    <row r="315" spans="1:18">
      <c r="A315" s="44"/>
      <c r="B315" s="38" t="s">
        <v>1376</v>
      </c>
      <c r="C315" s="38"/>
      <c r="D315" s="38"/>
      <c r="E315" s="38"/>
      <c r="F315" s="38"/>
      <c r="G315" s="38" t="s">
        <v>1062</v>
      </c>
      <c r="H315" s="38" t="s">
        <v>1062</v>
      </c>
      <c r="I315" s="38" t="s">
        <v>1062</v>
      </c>
      <c r="J315" s="38"/>
      <c r="K315" s="38"/>
      <c r="L315" s="42"/>
      <c r="M315" s="43"/>
      <c r="N315" s="43"/>
      <c r="O315" s="43"/>
      <c r="P315" s="43"/>
      <c r="Q315" s="43"/>
      <c r="R315" s="43"/>
    </row>
    <row r="316" spans="1:18">
      <c r="A316" s="44"/>
      <c r="B316" s="38" t="s">
        <v>1377</v>
      </c>
      <c r="C316" s="38"/>
      <c r="D316" s="38"/>
      <c r="E316" s="38"/>
      <c r="F316" s="38"/>
      <c r="G316" s="38" t="s">
        <v>1360</v>
      </c>
      <c r="H316" s="38" t="s">
        <v>1360</v>
      </c>
      <c r="I316" s="38" t="s">
        <v>1360</v>
      </c>
      <c r="J316" s="38"/>
      <c r="K316" s="38"/>
      <c r="L316" s="42"/>
      <c r="M316" s="43"/>
      <c r="N316" s="43"/>
      <c r="O316" s="43"/>
      <c r="P316" s="43"/>
      <c r="Q316" s="43"/>
      <c r="R316" s="43"/>
    </row>
    <row r="317" spans="1:18">
      <c r="A317" s="44"/>
      <c r="B317" s="38" t="s">
        <v>1378</v>
      </c>
      <c r="C317" s="38"/>
      <c r="D317" s="38"/>
      <c r="E317" s="38"/>
      <c r="F317" s="38"/>
      <c r="G317" s="38" t="s">
        <v>1360</v>
      </c>
      <c r="H317" s="38" t="s">
        <v>1360</v>
      </c>
      <c r="I317" s="38" t="s">
        <v>1360</v>
      </c>
      <c r="J317" s="38"/>
      <c r="K317" s="38"/>
      <c r="L317" s="42"/>
      <c r="M317" s="43"/>
      <c r="N317" s="43"/>
      <c r="O317" s="43"/>
      <c r="P317" s="43"/>
      <c r="Q317" s="43"/>
      <c r="R317" s="43"/>
    </row>
    <row r="318" spans="1:18">
      <c r="A318" s="44"/>
      <c r="B318" s="38" t="s">
        <v>1379</v>
      </c>
      <c r="C318" s="38"/>
      <c r="D318" s="38"/>
      <c r="E318" s="38"/>
      <c r="F318" s="38"/>
      <c r="G318" s="38" t="s">
        <v>1358</v>
      </c>
      <c r="H318" s="38" t="s">
        <v>1358</v>
      </c>
      <c r="I318" s="38" t="s">
        <v>1358</v>
      </c>
      <c r="J318" s="38"/>
      <c r="K318" s="38"/>
      <c r="L318" s="42"/>
      <c r="M318" s="43"/>
      <c r="N318" s="43"/>
      <c r="O318" s="43"/>
      <c r="P318" s="43"/>
      <c r="Q318" s="43"/>
      <c r="R318" s="43"/>
    </row>
    <row r="319" spans="1:18">
      <c r="A319" s="44"/>
      <c r="B319" s="38" t="s">
        <v>1380</v>
      </c>
      <c r="C319" s="38"/>
      <c r="D319" s="38"/>
      <c r="E319" s="38"/>
      <c r="F319" s="38"/>
      <c r="G319" s="38" t="s">
        <v>950</v>
      </c>
      <c r="H319" s="38" t="s">
        <v>950</v>
      </c>
      <c r="I319" s="38" t="s">
        <v>950</v>
      </c>
      <c r="J319" s="38"/>
      <c r="K319" s="38"/>
      <c r="L319" s="42"/>
      <c r="M319" s="43"/>
      <c r="N319" s="43"/>
      <c r="O319" s="43"/>
      <c r="P319" s="43"/>
      <c r="Q319" s="43"/>
      <c r="R319" s="43"/>
    </row>
    <row r="320" spans="1:18">
      <c r="A320" s="44"/>
      <c r="B320" s="38" t="s">
        <v>1381</v>
      </c>
      <c r="C320" s="38"/>
      <c r="D320" s="38"/>
      <c r="E320" s="38"/>
      <c r="F320" s="38"/>
      <c r="G320" s="38" t="s">
        <v>911</v>
      </c>
      <c r="H320" s="38" t="s">
        <v>911</v>
      </c>
      <c r="I320" s="38" t="s">
        <v>911</v>
      </c>
      <c r="J320" s="38"/>
      <c r="K320" s="38"/>
      <c r="L320" s="42"/>
      <c r="M320" s="43"/>
      <c r="N320" s="43"/>
      <c r="O320" s="43"/>
      <c r="P320" s="43"/>
      <c r="Q320" s="43"/>
      <c r="R320" s="43"/>
    </row>
    <row r="321" spans="1:18">
      <c r="A321" s="44"/>
      <c r="B321" s="38" t="s">
        <v>1382</v>
      </c>
      <c r="C321" s="38"/>
      <c r="D321" s="38"/>
      <c r="E321" s="38"/>
      <c r="F321" s="38"/>
      <c r="G321" s="38" t="s">
        <v>1016</v>
      </c>
      <c r="H321" s="38" t="s">
        <v>1016</v>
      </c>
      <c r="I321" s="38" t="s">
        <v>1016</v>
      </c>
      <c r="J321" s="38"/>
      <c r="K321" s="38"/>
      <c r="L321" s="42"/>
      <c r="M321" s="43"/>
      <c r="N321" s="43"/>
      <c r="O321" s="43"/>
      <c r="P321" s="43"/>
      <c r="Q321" s="43"/>
      <c r="R321" s="43"/>
    </row>
    <row r="322" spans="1:18">
      <c r="A322" s="44"/>
      <c r="B322" s="38" t="s">
        <v>1383</v>
      </c>
      <c r="C322" s="38"/>
      <c r="D322" s="38"/>
      <c r="E322" s="38"/>
      <c r="F322" s="38"/>
      <c r="G322" s="38" t="s">
        <v>1384</v>
      </c>
      <c r="H322" s="38" t="s">
        <v>1384</v>
      </c>
      <c r="I322" s="38" t="s">
        <v>1384</v>
      </c>
      <c r="J322" s="38"/>
      <c r="K322" s="38"/>
      <c r="L322" s="42"/>
      <c r="M322" s="43"/>
      <c r="N322" s="43"/>
      <c r="O322" s="43"/>
      <c r="P322" s="43"/>
      <c r="Q322" s="43"/>
      <c r="R322" s="43"/>
    </row>
    <row r="323" spans="1:18">
      <c r="A323" s="44"/>
      <c r="B323" s="38" t="s">
        <v>1385</v>
      </c>
      <c r="C323" s="38"/>
      <c r="D323" s="38"/>
      <c r="E323" s="38"/>
      <c r="F323" s="38"/>
      <c r="G323" s="38" t="s">
        <v>1386</v>
      </c>
      <c r="H323" s="38" t="s">
        <v>1386</v>
      </c>
      <c r="I323" s="38" t="s">
        <v>1386</v>
      </c>
      <c r="J323" s="38"/>
      <c r="K323" s="38"/>
      <c r="L323" s="42"/>
      <c r="M323" s="43"/>
      <c r="N323" s="43"/>
      <c r="O323" s="43"/>
      <c r="P323" s="43"/>
      <c r="Q323" s="43"/>
      <c r="R323" s="43"/>
    </row>
    <row r="324" spans="1:18">
      <c r="A324" s="44"/>
      <c r="B324" s="38" t="s">
        <v>1387</v>
      </c>
      <c r="C324" s="38"/>
      <c r="D324" s="38"/>
      <c r="E324" s="38"/>
      <c r="F324" s="38"/>
      <c r="G324" s="38" t="s">
        <v>1388</v>
      </c>
      <c r="H324" s="38" t="s">
        <v>1388</v>
      </c>
      <c r="I324" s="38" t="s">
        <v>1388</v>
      </c>
      <c r="J324" s="38"/>
      <c r="K324" s="38"/>
      <c r="L324" s="42"/>
      <c r="M324" s="43"/>
      <c r="N324" s="43"/>
      <c r="O324" s="43"/>
      <c r="P324" s="43"/>
      <c r="Q324" s="43"/>
      <c r="R324" s="43"/>
    </row>
    <row r="325" spans="1:18">
      <c r="A325" s="44"/>
      <c r="B325" s="38" t="s">
        <v>1389</v>
      </c>
      <c r="C325" s="38"/>
      <c r="D325" s="38"/>
      <c r="E325" s="38"/>
      <c r="F325" s="38"/>
      <c r="G325" s="38" t="s">
        <v>1390</v>
      </c>
      <c r="H325" s="38" t="s">
        <v>1390</v>
      </c>
      <c r="I325" s="38" t="s">
        <v>1390</v>
      </c>
      <c r="J325" s="38"/>
      <c r="K325" s="38"/>
      <c r="L325" s="42"/>
      <c r="M325" s="43"/>
      <c r="N325" s="43"/>
      <c r="O325" s="43"/>
      <c r="P325" s="43"/>
      <c r="Q325" s="43"/>
      <c r="R325" s="43"/>
    </row>
    <row r="326" spans="1:18">
      <c r="A326" s="44"/>
      <c r="B326" s="38" t="s">
        <v>1391</v>
      </c>
      <c r="C326" s="38"/>
      <c r="D326" s="38"/>
      <c r="E326" s="38"/>
      <c r="F326" s="38"/>
      <c r="G326" s="38" t="s">
        <v>1390</v>
      </c>
      <c r="H326" s="38" t="s">
        <v>1390</v>
      </c>
      <c r="I326" s="38" t="s">
        <v>1390</v>
      </c>
      <c r="J326" s="38"/>
      <c r="K326" s="38"/>
      <c r="L326" s="42"/>
      <c r="M326" s="43"/>
      <c r="N326" s="43"/>
      <c r="O326" s="43"/>
      <c r="P326" s="43"/>
      <c r="Q326" s="43"/>
      <c r="R326" s="43"/>
    </row>
    <row r="327" spans="1:18">
      <c r="A327" s="44"/>
      <c r="B327" s="38" t="s">
        <v>1392</v>
      </c>
      <c r="C327" s="38"/>
      <c r="D327" s="38"/>
      <c r="E327" s="38"/>
      <c r="F327" s="38"/>
      <c r="G327" s="38" t="s">
        <v>1252</v>
      </c>
      <c r="H327" s="38" t="s">
        <v>1252</v>
      </c>
      <c r="I327" s="38" t="s">
        <v>1252</v>
      </c>
      <c r="J327" s="38"/>
      <c r="K327" s="38"/>
      <c r="L327" s="42"/>
      <c r="M327" s="43"/>
      <c r="N327" s="43"/>
      <c r="O327" s="43"/>
      <c r="P327" s="43"/>
      <c r="Q327" s="43"/>
      <c r="R327" s="43"/>
    </row>
    <row r="328" spans="1:18">
      <c r="A328" s="44"/>
      <c r="B328" s="38" t="s">
        <v>1393</v>
      </c>
      <c r="C328" s="38"/>
      <c r="D328" s="38"/>
      <c r="E328" s="38"/>
      <c r="F328" s="38"/>
      <c r="G328" s="38" t="s">
        <v>1252</v>
      </c>
      <c r="H328" s="38" t="s">
        <v>1252</v>
      </c>
      <c r="I328" s="38" t="s">
        <v>1252</v>
      </c>
      <c r="J328" s="38"/>
      <c r="K328" s="38"/>
      <c r="L328" s="42"/>
      <c r="M328" s="43"/>
      <c r="N328" s="43"/>
      <c r="O328" s="43"/>
      <c r="P328" s="43"/>
      <c r="Q328" s="43"/>
      <c r="R328" s="43"/>
    </row>
    <row r="329" spans="1:18">
      <c r="A329" s="44"/>
      <c r="B329" s="38" t="s">
        <v>1394</v>
      </c>
      <c r="C329" s="38"/>
      <c r="D329" s="38"/>
      <c r="E329" s="38"/>
      <c r="F329" s="38"/>
      <c r="G329" s="38" t="s">
        <v>1395</v>
      </c>
      <c r="H329" s="38" t="s">
        <v>1395</v>
      </c>
      <c r="I329" s="38" t="s">
        <v>1395</v>
      </c>
      <c r="J329" s="38"/>
      <c r="K329" s="38"/>
      <c r="L329" s="42"/>
      <c r="M329" s="43"/>
      <c r="N329" s="43"/>
      <c r="O329" s="43"/>
      <c r="P329" s="43"/>
      <c r="Q329" s="43"/>
      <c r="R329" s="43"/>
    </row>
    <row r="330" spans="1:18">
      <c r="A330" s="44"/>
      <c r="B330" s="38" t="s">
        <v>1396</v>
      </c>
      <c r="C330" s="38"/>
      <c r="D330" s="38"/>
      <c r="E330" s="38"/>
      <c r="F330" s="38"/>
      <c r="G330" s="38" t="s">
        <v>1016</v>
      </c>
      <c r="H330" s="38" t="s">
        <v>1016</v>
      </c>
      <c r="I330" s="38" t="s">
        <v>1016</v>
      </c>
      <c r="J330" s="38"/>
      <c r="K330" s="38"/>
      <c r="L330" s="42"/>
      <c r="M330" s="43"/>
      <c r="N330" s="43"/>
      <c r="O330" s="43"/>
      <c r="P330" s="43"/>
      <c r="Q330" s="43"/>
      <c r="R330" s="43"/>
    </row>
    <row r="331" spans="1:18">
      <c r="A331" s="44"/>
      <c r="B331" s="38" t="s">
        <v>1397</v>
      </c>
      <c r="C331" s="38"/>
      <c r="D331" s="38"/>
      <c r="E331" s="38"/>
      <c r="F331" s="38"/>
      <c r="G331" s="38" t="s">
        <v>981</v>
      </c>
      <c r="H331" s="38" t="s">
        <v>981</v>
      </c>
      <c r="I331" s="38" t="s">
        <v>981</v>
      </c>
      <c r="J331" s="38"/>
      <c r="K331" s="38"/>
      <c r="L331" s="42"/>
      <c r="M331" s="43"/>
      <c r="N331" s="43"/>
      <c r="O331" s="43"/>
      <c r="P331" s="43"/>
      <c r="Q331" s="43"/>
      <c r="R331" s="43"/>
    </row>
    <row r="332" spans="1:18">
      <c r="A332" s="44"/>
      <c r="B332" s="38" t="s">
        <v>1398</v>
      </c>
      <c r="C332" s="38"/>
      <c r="D332" s="38"/>
      <c r="E332" s="38"/>
      <c r="F332" s="38"/>
      <c r="G332" s="38" t="s">
        <v>1399</v>
      </c>
      <c r="H332" s="38" t="s">
        <v>1399</v>
      </c>
      <c r="I332" s="38" t="s">
        <v>1399</v>
      </c>
      <c r="J332" s="38"/>
      <c r="K332" s="38"/>
      <c r="L332" s="42"/>
      <c r="M332" s="43"/>
      <c r="N332" s="43"/>
      <c r="O332" s="43"/>
      <c r="P332" s="43"/>
      <c r="Q332" s="43"/>
      <c r="R332" s="43"/>
    </row>
    <row r="333" spans="1:18">
      <c r="A333" s="44"/>
      <c r="B333" s="38" t="s">
        <v>1400</v>
      </c>
      <c r="C333" s="38"/>
      <c r="D333" s="38"/>
      <c r="E333" s="38"/>
      <c r="F333" s="38"/>
      <c r="G333" s="38" t="s">
        <v>1401</v>
      </c>
      <c r="H333" s="38" t="s">
        <v>1401</v>
      </c>
      <c r="I333" s="38" t="s">
        <v>1401</v>
      </c>
      <c r="J333" s="38"/>
      <c r="K333" s="38"/>
      <c r="L333" s="42"/>
      <c r="M333" s="43"/>
      <c r="N333" s="43"/>
      <c r="O333" s="43"/>
      <c r="P333" s="43"/>
      <c r="Q333" s="43"/>
      <c r="R333" s="43"/>
    </row>
    <row r="334" spans="1:18">
      <c r="A334" s="44"/>
      <c r="B334" s="38" t="s">
        <v>1402</v>
      </c>
      <c r="C334" s="38"/>
      <c r="D334" s="38"/>
      <c r="E334" s="38"/>
      <c r="F334" s="38"/>
      <c r="G334" s="38" t="s">
        <v>1401</v>
      </c>
      <c r="H334" s="38" t="s">
        <v>1401</v>
      </c>
      <c r="I334" s="38" t="s">
        <v>1401</v>
      </c>
      <c r="J334" s="38"/>
      <c r="K334" s="38"/>
      <c r="L334" s="42"/>
      <c r="M334" s="43"/>
      <c r="N334" s="43"/>
      <c r="O334" s="43"/>
      <c r="P334" s="43"/>
      <c r="Q334" s="43"/>
      <c r="R334" s="43"/>
    </row>
    <row r="335" spans="1:18">
      <c r="A335" s="44"/>
      <c r="B335" s="38" t="s">
        <v>1403</v>
      </c>
      <c r="C335" s="38"/>
      <c r="D335" s="38"/>
      <c r="E335" s="38"/>
      <c r="F335" s="38"/>
      <c r="G335" s="38" t="s">
        <v>1233</v>
      </c>
      <c r="H335" s="38" t="s">
        <v>1233</v>
      </c>
      <c r="I335" s="38" t="s">
        <v>1233</v>
      </c>
      <c r="J335" s="38"/>
      <c r="K335" s="38"/>
      <c r="L335" s="42"/>
      <c r="M335" s="43"/>
      <c r="N335" s="43"/>
      <c r="O335" s="43"/>
      <c r="P335" s="43"/>
      <c r="Q335" s="43"/>
      <c r="R335" s="43"/>
    </row>
    <row r="336" spans="1:18">
      <c r="A336" s="44"/>
      <c r="B336" s="38" t="s">
        <v>1404</v>
      </c>
      <c r="C336" s="38"/>
      <c r="D336" s="38"/>
      <c r="E336" s="38"/>
      <c r="F336" s="38"/>
      <c r="G336" s="38" t="s">
        <v>1233</v>
      </c>
      <c r="H336" s="38" t="s">
        <v>1233</v>
      </c>
      <c r="I336" s="38" t="s">
        <v>1233</v>
      </c>
      <c r="J336" s="38"/>
      <c r="K336" s="38"/>
      <c r="L336" s="42"/>
      <c r="M336" s="43"/>
      <c r="N336" s="43"/>
      <c r="O336" s="43"/>
      <c r="P336" s="43"/>
      <c r="Q336" s="43"/>
      <c r="R336" s="43"/>
    </row>
    <row r="337" spans="1:18">
      <c r="A337" s="44"/>
      <c r="B337" s="38" t="s">
        <v>1405</v>
      </c>
      <c r="C337" s="38"/>
      <c r="D337" s="38"/>
      <c r="E337" s="38"/>
      <c r="F337" s="38"/>
      <c r="G337" s="38" t="s">
        <v>1233</v>
      </c>
      <c r="H337" s="38" t="s">
        <v>1233</v>
      </c>
      <c r="I337" s="38" t="s">
        <v>1233</v>
      </c>
      <c r="J337" s="38"/>
      <c r="K337" s="38"/>
      <c r="L337" s="42"/>
      <c r="M337" s="43"/>
      <c r="N337" s="43"/>
      <c r="O337" s="43"/>
      <c r="P337" s="43"/>
      <c r="Q337" s="43"/>
      <c r="R337" s="43"/>
    </row>
    <row r="338" spans="1:18">
      <c r="A338" s="44"/>
      <c r="B338" s="38" t="s">
        <v>1406</v>
      </c>
      <c r="C338" s="38"/>
      <c r="D338" s="38"/>
      <c r="E338" s="38"/>
      <c r="F338" s="38"/>
      <c r="G338" s="38" t="s">
        <v>1233</v>
      </c>
      <c r="H338" s="38" t="s">
        <v>1233</v>
      </c>
      <c r="I338" s="38" t="s">
        <v>1233</v>
      </c>
      <c r="J338" s="38"/>
      <c r="K338" s="38"/>
      <c r="L338" s="42"/>
      <c r="M338" s="43"/>
      <c r="N338" s="43"/>
      <c r="O338" s="43"/>
      <c r="P338" s="43"/>
      <c r="Q338" s="43"/>
      <c r="R338" s="43"/>
    </row>
    <row r="339" spans="1:18">
      <c r="A339" s="44"/>
      <c r="B339" s="38" t="s">
        <v>1407</v>
      </c>
      <c r="C339" s="38"/>
      <c r="D339" s="38"/>
      <c r="E339" s="38"/>
      <c r="F339" s="38"/>
      <c r="G339" s="38" t="s">
        <v>1233</v>
      </c>
      <c r="H339" s="38" t="s">
        <v>1233</v>
      </c>
      <c r="I339" s="38" t="s">
        <v>1233</v>
      </c>
      <c r="J339" s="38"/>
      <c r="K339" s="38"/>
      <c r="L339" s="42"/>
      <c r="M339" s="43"/>
      <c r="N339" s="43"/>
      <c r="O339" s="43"/>
      <c r="P339" s="43"/>
      <c r="Q339" s="43"/>
      <c r="R339" s="43"/>
    </row>
    <row r="340" spans="1:18">
      <c r="A340" s="44"/>
      <c r="B340" s="38" t="s">
        <v>1408</v>
      </c>
      <c r="C340" s="38"/>
      <c r="D340" s="38"/>
      <c r="E340" s="38"/>
      <c r="F340" s="38"/>
      <c r="G340" s="38" t="s">
        <v>1233</v>
      </c>
      <c r="H340" s="38" t="s">
        <v>1233</v>
      </c>
      <c r="I340" s="38" t="s">
        <v>1233</v>
      </c>
      <c r="J340" s="38"/>
      <c r="K340" s="38"/>
      <c r="L340" s="42"/>
      <c r="M340" s="43"/>
      <c r="N340" s="43"/>
      <c r="O340" s="43"/>
      <c r="P340" s="43"/>
      <c r="Q340" s="43"/>
      <c r="R340" s="43"/>
    </row>
    <row r="341" spans="1:18">
      <c r="A341" s="44"/>
      <c r="B341" s="38" t="s">
        <v>1409</v>
      </c>
      <c r="C341" s="38"/>
      <c r="D341" s="38"/>
      <c r="E341" s="38"/>
      <c r="F341" s="38"/>
      <c r="G341" s="38" t="s">
        <v>1151</v>
      </c>
      <c r="H341" s="38" t="s">
        <v>1151</v>
      </c>
      <c r="I341" s="38" t="s">
        <v>1151</v>
      </c>
      <c r="J341" s="38"/>
      <c r="K341" s="38"/>
      <c r="L341" s="42"/>
      <c r="M341" s="43"/>
      <c r="N341" s="43"/>
      <c r="O341" s="43"/>
      <c r="P341" s="43"/>
      <c r="Q341" s="43"/>
      <c r="R341" s="43"/>
    </row>
    <row r="342" spans="1:18">
      <c r="A342" s="44"/>
      <c r="B342" s="38" t="s">
        <v>1410</v>
      </c>
      <c r="C342" s="38"/>
      <c r="D342" s="38"/>
      <c r="E342" s="38"/>
      <c r="F342" s="38"/>
      <c r="G342" s="38" t="s">
        <v>1151</v>
      </c>
      <c r="H342" s="38" t="s">
        <v>1151</v>
      </c>
      <c r="I342" s="38" t="s">
        <v>1151</v>
      </c>
      <c r="J342" s="38"/>
      <c r="K342" s="38"/>
      <c r="L342" s="42"/>
      <c r="M342" s="43"/>
      <c r="N342" s="43"/>
      <c r="O342" s="43"/>
      <c r="P342" s="43"/>
      <c r="Q342" s="43"/>
      <c r="R342" s="43"/>
    </row>
    <row r="343" spans="1:18">
      <c r="A343" s="44"/>
      <c r="B343" s="38" t="s">
        <v>1411</v>
      </c>
      <c r="C343" s="38"/>
      <c r="D343" s="38"/>
      <c r="E343" s="38"/>
      <c r="F343" s="38"/>
      <c r="G343" s="38" t="s">
        <v>1412</v>
      </c>
      <c r="H343" s="38" t="s">
        <v>1412</v>
      </c>
      <c r="I343" s="38" t="s">
        <v>1412</v>
      </c>
      <c r="J343" s="38"/>
      <c r="K343" s="38"/>
      <c r="L343" s="42"/>
      <c r="M343" s="43"/>
      <c r="N343" s="43"/>
      <c r="O343" s="43"/>
      <c r="P343" s="43"/>
      <c r="Q343" s="43"/>
      <c r="R343" s="43"/>
    </row>
    <row r="344" spans="1:18">
      <c r="A344" s="44"/>
      <c r="B344" s="38" t="s">
        <v>1413</v>
      </c>
      <c r="C344" s="38"/>
      <c r="D344" s="38"/>
      <c r="E344" s="38"/>
      <c r="F344" s="38"/>
      <c r="G344" s="38" t="s">
        <v>1182</v>
      </c>
      <c r="H344" s="38" t="s">
        <v>960</v>
      </c>
      <c r="I344" s="38" t="s">
        <v>1182</v>
      </c>
      <c r="J344" s="38"/>
      <c r="K344" s="38"/>
      <c r="L344" s="42"/>
      <c r="M344" s="43"/>
      <c r="N344" s="43"/>
      <c r="O344" s="43"/>
      <c r="P344" s="43"/>
      <c r="Q344" s="43"/>
      <c r="R344" s="43"/>
    </row>
    <row r="345" spans="1:18">
      <c r="A345" s="44"/>
      <c r="B345" s="38" t="s">
        <v>1414</v>
      </c>
      <c r="C345" s="38"/>
      <c r="D345" s="38"/>
      <c r="E345" s="38"/>
      <c r="F345" s="38"/>
      <c r="G345" s="38" t="s">
        <v>1184</v>
      </c>
      <c r="H345" s="38" t="s">
        <v>960</v>
      </c>
      <c r="I345" s="38" t="s">
        <v>1184</v>
      </c>
      <c r="J345" s="38"/>
      <c r="K345" s="38"/>
      <c r="L345" s="42"/>
      <c r="M345" s="43"/>
      <c r="N345" s="43"/>
      <c r="O345" s="43"/>
      <c r="P345" s="43"/>
      <c r="Q345" s="43"/>
      <c r="R345" s="43"/>
    </row>
    <row r="346" spans="1:18">
      <c r="A346" s="44"/>
      <c r="B346" s="38" t="s">
        <v>1415</v>
      </c>
      <c r="C346" s="38"/>
      <c r="D346" s="38"/>
      <c r="E346" s="38"/>
      <c r="F346" s="38"/>
      <c r="G346" s="38" t="s">
        <v>1416</v>
      </c>
      <c r="H346" s="38" t="s">
        <v>919</v>
      </c>
      <c r="I346" s="38" t="s">
        <v>1416</v>
      </c>
      <c r="J346" s="38"/>
      <c r="K346" s="38"/>
      <c r="L346" s="42"/>
      <c r="M346" s="43"/>
      <c r="N346" s="43"/>
      <c r="O346" s="43"/>
      <c r="P346" s="43"/>
      <c r="Q346" s="43"/>
      <c r="R346" s="43"/>
    </row>
    <row r="347" spans="1:18">
      <c r="A347" s="44"/>
      <c r="B347" s="38" t="s">
        <v>1417</v>
      </c>
      <c r="C347" s="38"/>
      <c r="D347" s="38"/>
      <c r="E347" s="38"/>
      <c r="F347" s="38"/>
      <c r="G347" s="38" t="s">
        <v>1052</v>
      </c>
      <c r="H347" s="38" t="s">
        <v>972</v>
      </c>
      <c r="I347" s="38" t="s">
        <v>1052</v>
      </c>
      <c r="J347" s="38"/>
      <c r="K347" s="38"/>
      <c r="L347" s="42"/>
      <c r="M347" s="43"/>
      <c r="N347" s="43"/>
      <c r="O347" s="43"/>
      <c r="P347" s="43"/>
      <c r="Q347" s="43"/>
      <c r="R347" s="43"/>
    </row>
    <row r="348" spans="1:18">
      <c r="A348" s="44"/>
      <c r="B348" s="38" t="s">
        <v>1418</v>
      </c>
      <c r="C348" s="38"/>
      <c r="D348" s="38"/>
      <c r="E348" s="38"/>
      <c r="F348" s="38"/>
      <c r="G348" s="38" t="s">
        <v>1201</v>
      </c>
      <c r="H348" s="38" t="s">
        <v>1117</v>
      </c>
      <c r="I348" s="38" t="s">
        <v>1201</v>
      </c>
      <c r="J348" s="38"/>
      <c r="K348" s="38"/>
      <c r="L348" s="42"/>
      <c r="M348" s="43"/>
      <c r="N348" s="43"/>
      <c r="O348" s="43"/>
      <c r="P348" s="43"/>
      <c r="Q348" s="43"/>
      <c r="R348" s="43"/>
    </row>
    <row r="349" spans="1:18">
      <c r="A349" s="44"/>
      <c r="B349" s="38" t="s">
        <v>1419</v>
      </c>
      <c r="C349" s="38"/>
      <c r="D349" s="38"/>
      <c r="E349" s="38"/>
      <c r="F349" s="38"/>
      <c r="G349" s="38" t="s">
        <v>966</v>
      </c>
      <c r="H349" s="38" t="s">
        <v>966</v>
      </c>
      <c r="I349" s="38" t="s">
        <v>966</v>
      </c>
      <c r="J349" s="38"/>
      <c r="K349" s="38"/>
      <c r="L349" s="42"/>
      <c r="M349" s="43"/>
      <c r="N349" s="43"/>
      <c r="O349" s="43"/>
      <c r="P349" s="43"/>
      <c r="Q349" s="43"/>
      <c r="R349" s="43"/>
    </row>
    <row r="350" spans="1:18">
      <c r="A350" s="44"/>
      <c r="B350" s="38" t="s">
        <v>1420</v>
      </c>
      <c r="C350" s="38"/>
      <c r="D350" s="38"/>
      <c r="E350" s="38"/>
      <c r="F350" s="38"/>
      <c r="G350" s="38" t="s">
        <v>968</v>
      </c>
      <c r="H350" s="38" t="s">
        <v>968</v>
      </c>
      <c r="I350" s="38" t="s">
        <v>968</v>
      </c>
      <c r="J350" s="38"/>
      <c r="K350" s="38"/>
      <c r="L350" s="42"/>
      <c r="M350" s="43"/>
      <c r="N350" s="43"/>
      <c r="O350" s="43"/>
      <c r="P350" s="43"/>
      <c r="Q350" s="43"/>
      <c r="R350" s="43"/>
    </row>
    <row r="351" spans="1:18">
      <c r="A351" s="44"/>
      <c r="B351" s="38" t="s">
        <v>1421</v>
      </c>
      <c r="C351" s="38"/>
      <c r="D351" s="38"/>
      <c r="E351" s="38"/>
      <c r="F351" s="38"/>
      <c r="G351" s="38" t="s">
        <v>1422</v>
      </c>
      <c r="H351" s="38" t="s">
        <v>1422</v>
      </c>
      <c r="I351" s="38" t="s">
        <v>1422</v>
      </c>
      <c r="J351" s="38"/>
      <c r="K351" s="38"/>
      <c r="L351" s="42"/>
      <c r="M351" s="43"/>
      <c r="N351" s="43"/>
      <c r="O351" s="43"/>
      <c r="P351" s="43"/>
      <c r="Q351" s="43"/>
      <c r="R351" s="43"/>
    </row>
    <row r="352" spans="1:18">
      <c r="A352" s="44"/>
      <c r="B352" s="38" t="s">
        <v>1423</v>
      </c>
      <c r="C352" s="38"/>
      <c r="D352" s="38"/>
      <c r="E352" s="38"/>
      <c r="F352" s="38"/>
      <c r="G352" s="38" t="s">
        <v>1424</v>
      </c>
      <c r="H352" s="38" t="s">
        <v>1424</v>
      </c>
      <c r="I352" s="38" t="s">
        <v>1424</v>
      </c>
      <c r="J352" s="38"/>
      <c r="K352" s="38"/>
      <c r="L352" s="42"/>
      <c r="M352" s="43"/>
      <c r="N352" s="43"/>
      <c r="O352" s="43"/>
      <c r="P352" s="43"/>
      <c r="Q352" s="43"/>
      <c r="R352" s="43"/>
    </row>
    <row r="353" spans="1:18">
      <c r="A353" s="44"/>
      <c r="B353" s="38" t="s">
        <v>1425</v>
      </c>
      <c r="C353" s="38"/>
      <c r="D353" s="38"/>
      <c r="E353" s="38"/>
      <c r="F353" s="38"/>
      <c r="G353" s="38" t="s">
        <v>1401</v>
      </c>
      <c r="H353" s="38" t="s">
        <v>1401</v>
      </c>
      <c r="I353" s="38" t="s">
        <v>1401</v>
      </c>
      <c r="J353" s="38"/>
      <c r="K353" s="38"/>
      <c r="L353" s="42"/>
      <c r="M353" s="43"/>
      <c r="N353" s="43"/>
      <c r="O353" s="43"/>
      <c r="P353" s="43"/>
      <c r="Q353" s="43"/>
      <c r="R353" s="43"/>
    </row>
    <row r="354" spans="1:18">
      <c r="A354" s="44"/>
      <c r="B354" s="38" t="s">
        <v>1426</v>
      </c>
      <c r="C354" s="38"/>
      <c r="D354" s="38"/>
      <c r="E354" s="38"/>
      <c r="F354" s="38"/>
      <c r="G354" s="38" t="s">
        <v>966</v>
      </c>
      <c r="H354" s="38" t="s">
        <v>966</v>
      </c>
      <c r="I354" s="38" t="s">
        <v>966</v>
      </c>
      <c r="J354" s="38"/>
      <c r="K354" s="38"/>
      <c r="L354" s="42"/>
      <c r="M354" s="43"/>
      <c r="N354" s="43"/>
      <c r="O354" s="43"/>
      <c r="P354" s="43"/>
      <c r="Q354" s="43"/>
      <c r="R354" s="43"/>
    </row>
    <row r="355" spans="1:18">
      <c r="A355" s="44"/>
      <c r="B355" s="38" t="s">
        <v>1427</v>
      </c>
      <c r="C355" s="38"/>
      <c r="D355" s="38"/>
      <c r="E355" s="38"/>
      <c r="F355" s="38"/>
      <c r="G355" s="38" t="s">
        <v>968</v>
      </c>
      <c r="H355" s="38" t="s">
        <v>968</v>
      </c>
      <c r="I355" s="38" t="s">
        <v>968</v>
      </c>
      <c r="J355" s="38"/>
      <c r="K355" s="38"/>
      <c r="L355" s="42"/>
      <c r="M355" s="43"/>
      <c r="N355" s="43"/>
      <c r="O355" s="43"/>
      <c r="P355" s="43"/>
      <c r="Q355" s="43"/>
      <c r="R355" s="43"/>
    </row>
    <row r="356" spans="1:18">
      <c r="A356" s="44"/>
      <c r="B356" s="38" t="s">
        <v>1428</v>
      </c>
      <c r="C356" s="38"/>
      <c r="D356" s="38"/>
      <c r="E356" s="38"/>
      <c r="F356" s="38"/>
      <c r="G356" s="38" t="s">
        <v>911</v>
      </c>
      <c r="H356" s="38" t="s">
        <v>911</v>
      </c>
      <c r="I356" s="38" t="s">
        <v>911</v>
      </c>
      <c r="J356" s="38"/>
      <c r="K356" s="38"/>
      <c r="L356" s="42"/>
      <c r="M356" s="43"/>
      <c r="N356" s="43"/>
      <c r="O356" s="43"/>
      <c r="P356" s="43"/>
      <c r="Q356" s="43"/>
      <c r="R356" s="43"/>
    </row>
    <row r="357" spans="1:18">
      <c r="A357" s="44"/>
      <c r="B357" s="38" t="s">
        <v>1429</v>
      </c>
      <c r="C357" s="38"/>
      <c r="D357" s="38"/>
      <c r="E357" s="38"/>
      <c r="F357" s="38"/>
      <c r="G357" s="38" t="s">
        <v>913</v>
      </c>
      <c r="H357" s="38" t="s">
        <v>913</v>
      </c>
      <c r="I357" s="38" t="s">
        <v>913</v>
      </c>
      <c r="J357" s="38"/>
      <c r="K357" s="38"/>
      <c r="L357" s="42"/>
      <c r="M357" s="43"/>
      <c r="N357" s="43"/>
      <c r="O357" s="43"/>
      <c r="P357" s="43"/>
      <c r="Q357" s="43"/>
      <c r="R357" s="43"/>
    </row>
    <row r="358" spans="1:18">
      <c r="A358" s="44"/>
      <c r="B358" s="38" t="s">
        <v>1430</v>
      </c>
      <c r="C358" s="38"/>
      <c r="D358" s="38"/>
      <c r="E358" s="38"/>
      <c r="F358" s="38"/>
      <c r="G358" s="38" t="s">
        <v>1016</v>
      </c>
      <c r="H358" s="38" t="s">
        <v>1016</v>
      </c>
      <c r="I358" s="38" t="s">
        <v>1016</v>
      </c>
      <c r="J358" s="38"/>
      <c r="K358" s="38"/>
      <c r="L358" s="42"/>
      <c r="M358" s="43"/>
      <c r="N358" s="43"/>
      <c r="O358" s="43"/>
      <c r="P358" s="43"/>
      <c r="Q358" s="43"/>
      <c r="R358" s="43"/>
    </row>
    <row r="359" spans="1:18">
      <c r="A359" s="44"/>
      <c r="B359" s="38" t="s">
        <v>1431</v>
      </c>
      <c r="C359" s="38"/>
      <c r="D359" s="38"/>
      <c r="E359" s="38"/>
      <c r="F359" s="38"/>
      <c r="G359" s="38" t="s">
        <v>1360</v>
      </c>
      <c r="H359" s="38" t="s">
        <v>1360</v>
      </c>
      <c r="I359" s="38" t="s">
        <v>1360</v>
      </c>
      <c r="J359" s="38"/>
      <c r="K359" s="38"/>
      <c r="L359" s="42"/>
      <c r="M359" s="43"/>
      <c r="N359" s="43"/>
      <c r="O359" s="43"/>
      <c r="P359" s="43"/>
      <c r="Q359" s="43"/>
      <c r="R359" s="43"/>
    </row>
    <row r="360" spans="1:18">
      <c r="A360" s="44"/>
      <c r="B360" s="38" t="s">
        <v>1432</v>
      </c>
      <c r="C360" s="38"/>
      <c r="D360" s="38"/>
      <c r="E360" s="38"/>
      <c r="F360" s="38"/>
      <c r="G360" s="38" t="s">
        <v>1360</v>
      </c>
      <c r="H360" s="38" t="s">
        <v>1360</v>
      </c>
      <c r="I360" s="38" t="s">
        <v>1360</v>
      </c>
      <c r="J360" s="38"/>
      <c r="K360" s="38"/>
      <c r="L360" s="42"/>
      <c r="M360" s="43"/>
      <c r="N360" s="43"/>
      <c r="O360" s="43"/>
      <c r="P360" s="43"/>
      <c r="Q360" s="43"/>
      <c r="R360" s="43"/>
    </row>
    <row r="361" spans="1:18">
      <c r="A361" s="44"/>
      <c r="B361" s="38" t="s">
        <v>1433</v>
      </c>
      <c r="C361" s="38"/>
      <c r="D361" s="38"/>
      <c r="E361" s="38"/>
      <c r="F361" s="38"/>
      <c r="G361" s="38" t="s">
        <v>1390</v>
      </c>
      <c r="H361" s="38" t="s">
        <v>1390</v>
      </c>
      <c r="I361" s="38" t="s">
        <v>1390</v>
      </c>
      <c r="J361" s="38"/>
      <c r="K361" s="38"/>
      <c r="L361" s="42"/>
      <c r="M361" s="43"/>
      <c r="N361" s="43"/>
      <c r="O361" s="43"/>
      <c r="P361" s="43"/>
      <c r="Q361" s="43"/>
      <c r="R361" s="43"/>
    </row>
    <row r="362" spans="1:18">
      <c r="A362" s="44"/>
      <c r="B362" s="38" t="s">
        <v>1434</v>
      </c>
      <c r="C362" s="38"/>
      <c r="D362" s="38"/>
      <c r="E362" s="38"/>
      <c r="F362" s="38"/>
      <c r="G362" s="38" t="s">
        <v>1435</v>
      </c>
      <c r="H362" s="38" t="s">
        <v>1435</v>
      </c>
      <c r="I362" s="38" t="s">
        <v>1435</v>
      </c>
      <c r="J362" s="38"/>
      <c r="K362" s="38"/>
      <c r="L362" s="42"/>
      <c r="M362" s="43"/>
      <c r="N362" s="43"/>
      <c r="O362" s="43"/>
      <c r="P362" s="43"/>
      <c r="Q362" s="43"/>
      <c r="R362" s="43"/>
    </row>
    <row r="363" spans="1:18">
      <c r="A363" s="44"/>
      <c r="B363" s="38" t="s">
        <v>1436</v>
      </c>
      <c r="C363" s="38"/>
      <c r="D363" s="38"/>
      <c r="E363" s="38"/>
      <c r="F363" s="38"/>
      <c r="G363" s="38" t="s">
        <v>1437</v>
      </c>
      <c r="H363" s="38" t="s">
        <v>1437</v>
      </c>
      <c r="I363" s="38" t="s">
        <v>1437</v>
      </c>
      <c r="J363" s="38"/>
      <c r="K363" s="38"/>
      <c r="L363" s="42"/>
      <c r="M363" s="43"/>
      <c r="N363" s="43"/>
      <c r="O363" s="43"/>
      <c r="P363" s="43"/>
      <c r="Q363" s="43"/>
      <c r="R363" s="43"/>
    </row>
    <row r="364" spans="1:18">
      <c r="A364" s="44"/>
      <c r="B364" s="38" t="s">
        <v>1438</v>
      </c>
      <c r="C364" s="38"/>
      <c r="D364" s="38"/>
      <c r="E364" s="38"/>
      <c r="F364" s="38"/>
      <c r="G364" s="38" t="s">
        <v>927</v>
      </c>
      <c r="H364" s="38" t="s">
        <v>927</v>
      </c>
      <c r="I364" s="38" t="s">
        <v>927</v>
      </c>
      <c r="J364" s="38"/>
      <c r="K364" s="38"/>
      <c r="L364" s="42"/>
      <c r="M364" s="43"/>
      <c r="N364" s="43"/>
      <c r="O364" s="43"/>
      <c r="P364" s="43"/>
      <c r="Q364" s="43"/>
      <c r="R364" s="43"/>
    </row>
    <row r="365" spans="1:18">
      <c r="A365" s="44"/>
      <c r="B365" s="38" t="s">
        <v>1439</v>
      </c>
      <c r="C365" s="38"/>
      <c r="D365" s="38"/>
      <c r="E365" s="38"/>
      <c r="F365" s="38"/>
      <c r="G365" s="38" t="s">
        <v>927</v>
      </c>
      <c r="H365" s="38" t="s">
        <v>927</v>
      </c>
      <c r="I365" s="38" t="s">
        <v>927</v>
      </c>
      <c r="J365" s="38"/>
      <c r="K365" s="38"/>
      <c r="L365" s="42"/>
      <c r="M365" s="43"/>
      <c r="N365" s="43"/>
      <c r="O365" s="43"/>
      <c r="P365" s="43"/>
      <c r="Q365" s="43"/>
      <c r="R365" s="43"/>
    </row>
    <row r="366" spans="1:18">
      <c r="A366" s="44"/>
      <c r="B366" s="38" t="s">
        <v>1440</v>
      </c>
      <c r="C366" s="38"/>
      <c r="D366" s="38"/>
      <c r="E366" s="38"/>
      <c r="F366" s="38"/>
      <c r="G366" s="38" t="s">
        <v>927</v>
      </c>
      <c r="H366" s="38" t="s">
        <v>927</v>
      </c>
      <c r="I366" s="38" t="s">
        <v>927</v>
      </c>
      <c r="J366" s="38"/>
      <c r="K366" s="38"/>
      <c r="L366" s="42"/>
      <c r="M366" s="43"/>
      <c r="N366" s="43"/>
      <c r="O366" s="43"/>
      <c r="P366" s="43"/>
      <c r="Q366" s="43"/>
      <c r="R366" s="43"/>
    </row>
    <row r="367" spans="1:18">
      <c r="A367" s="44"/>
      <c r="B367" s="38" t="s">
        <v>1441</v>
      </c>
      <c r="C367" s="38"/>
      <c r="D367" s="38"/>
      <c r="E367" s="38"/>
      <c r="F367" s="38"/>
      <c r="G367" s="38" t="s">
        <v>927</v>
      </c>
      <c r="H367" s="38" t="s">
        <v>927</v>
      </c>
      <c r="I367" s="38" t="s">
        <v>927</v>
      </c>
      <c r="J367" s="38"/>
      <c r="K367" s="38"/>
      <c r="L367" s="42"/>
      <c r="M367" s="43"/>
      <c r="N367" s="43"/>
      <c r="O367" s="43"/>
      <c r="P367" s="43"/>
      <c r="Q367" s="43"/>
      <c r="R367" s="43"/>
    </row>
    <row r="368" spans="1:18">
      <c r="A368" s="44"/>
      <c r="B368" s="38" t="s">
        <v>1442</v>
      </c>
      <c r="C368" s="38"/>
      <c r="D368" s="38"/>
      <c r="E368" s="38"/>
      <c r="F368" s="38"/>
      <c r="G368" s="38" t="s">
        <v>911</v>
      </c>
      <c r="H368" s="38" t="s">
        <v>911</v>
      </c>
      <c r="I368" s="38" t="s">
        <v>911</v>
      </c>
      <c r="J368" s="38"/>
      <c r="K368" s="38"/>
      <c r="L368" s="42"/>
      <c r="M368" s="43"/>
      <c r="N368" s="43"/>
      <c r="O368" s="43"/>
      <c r="P368" s="43"/>
      <c r="Q368" s="43"/>
      <c r="R368" s="43"/>
    </row>
    <row r="369" spans="1:18">
      <c r="A369" s="44"/>
      <c r="B369" s="38" t="s">
        <v>1443</v>
      </c>
      <c r="C369" s="38"/>
      <c r="D369" s="38"/>
      <c r="E369" s="38"/>
      <c r="F369" s="38"/>
      <c r="G369" s="38" t="s">
        <v>913</v>
      </c>
      <c r="H369" s="38" t="s">
        <v>913</v>
      </c>
      <c r="I369" s="38" t="s">
        <v>913</v>
      </c>
      <c r="J369" s="38"/>
      <c r="K369" s="38"/>
      <c r="L369" s="42"/>
      <c r="M369" s="43"/>
      <c r="N369" s="43"/>
      <c r="O369" s="43"/>
      <c r="P369" s="43"/>
      <c r="Q369" s="43"/>
      <c r="R369" s="43"/>
    </row>
    <row r="370" spans="1:18">
      <c r="A370" s="44"/>
      <c r="B370" s="38" t="s">
        <v>1444</v>
      </c>
      <c r="C370" s="38"/>
      <c r="D370" s="38"/>
      <c r="E370" s="38"/>
      <c r="F370" s="38"/>
      <c r="G370" s="38" t="s">
        <v>983</v>
      </c>
      <c r="H370" s="38" t="s">
        <v>983</v>
      </c>
      <c r="I370" s="38" t="s">
        <v>983</v>
      </c>
      <c r="J370" s="38"/>
      <c r="K370" s="38"/>
      <c r="L370" s="42"/>
      <c r="M370" s="43"/>
      <c r="N370" s="43"/>
      <c r="O370" s="43"/>
      <c r="P370" s="43"/>
      <c r="Q370" s="43"/>
      <c r="R370" s="43"/>
    </row>
    <row r="371" spans="1:18">
      <c r="A371" s="44"/>
      <c r="B371" s="38" t="s">
        <v>1445</v>
      </c>
      <c r="C371" s="38"/>
      <c r="D371" s="38"/>
      <c r="E371" s="38"/>
      <c r="F371" s="38"/>
      <c r="G371" s="38" t="s">
        <v>1050</v>
      </c>
      <c r="H371" s="38" t="s">
        <v>1050</v>
      </c>
      <c r="I371" s="38" t="s">
        <v>1050</v>
      </c>
      <c r="J371" s="38"/>
      <c r="K371" s="38"/>
      <c r="L371" s="42"/>
      <c r="M371" s="43"/>
      <c r="N371" s="43"/>
      <c r="O371" s="43"/>
      <c r="P371" s="43"/>
      <c r="Q371" s="43"/>
      <c r="R371" s="43"/>
    </row>
    <row r="372" spans="1:18">
      <c r="A372" s="44"/>
      <c r="B372" s="38" t="s">
        <v>1446</v>
      </c>
      <c r="C372" s="38"/>
      <c r="D372" s="38"/>
      <c r="E372" s="38"/>
      <c r="F372" s="38"/>
      <c r="G372" s="38" t="s">
        <v>1447</v>
      </c>
      <c r="H372" s="38" t="s">
        <v>1447</v>
      </c>
      <c r="I372" s="38" t="s">
        <v>1447</v>
      </c>
      <c r="J372" s="38"/>
      <c r="K372" s="38"/>
      <c r="L372" s="42"/>
      <c r="M372" s="43"/>
      <c r="N372" s="43"/>
      <c r="O372" s="43"/>
      <c r="P372" s="43"/>
      <c r="Q372" s="43"/>
      <c r="R372" s="43"/>
    </row>
    <row r="373" spans="1:18">
      <c r="A373" s="44"/>
      <c r="B373" s="38" t="s">
        <v>1448</v>
      </c>
      <c r="C373" s="38"/>
      <c r="D373" s="38"/>
      <c r="E373" s="38"/>
      <c r="F373" s="38"/>
      <c r="G373" s="38" t="s">
        <v>960</v>
      </c>
      <c r="H373" s="38" t="s">
        <v>960</v>
      </c>
      <c r="I373" s="38" t="s">
        <v>960</v>
      </c>
      <c r="J373" s="38"/>
      <c r="K373" s="38"/>
      <c r="L373" s="42"/>
      <c r="M373" s="43"/>
      <c r="N373" s="43"/>
      <c r="O373" s="43"/>
      <c r="P373" s="43"/>
      <c r="Q373" s="43"/>
      <c r="R373" s="43"/>
    </row>
    <row r="374" spans="1:18">
      <c r="A374" s="44"/>
      <c r="B374" s="38" t="s">
        <v>1449</v>
      </c>
      <c r="C374" s="38"/>
      <c r="D374" s="38"/>
      <c r="E374" s="38"/>
      <c r="F374" s="38"/>
      <c r="G374" s="38" t="s">
        <v>1328</v>
      </c>
      <c r="H374" s="38" t="s">
        <v>1328</v>
      </c>
      <c r="I374" s="38" t="s">
        <v>1328</v>
      </c>
      <c r="J374" s="38"/>
      <c r="K374" s="38"/>
      <c r="L374" s="42"/>
      <c r="M374" s="43"/>
      <c r="N374" s="43"/>
      <c r="O374" s="43"/>
      <c r="P374" s="43"/>
      <c r="Q374" s="43"/>
      <c r="R374" s="43"/>
    </row>
    <row r="375" spans="1:18">
      <c r="A375" s="44"/>
      <c r="B375" s="38" t="s">
        <v>1450</v>
      </c>
      <c r="C375" s="38"/>
      <c r="D375" s="38"/>
      <c r="E375" s="38"/>
      <c r="F375" s="38"/>
      <c r="G375" s="38" t="s">
        <v>1328</v>
      </c>
      <c r="H375" s="38" t="s">
        <v>1451</v>
      </c>
      <c r="I375" s="38" t="s">
        <v>1328</v>
      </c>
      <c r="J375" s="38"/>
      <c r="K375" s="38"/>
      <c r="L375" s="42"/>
      <c r="M375" s="43"/>
      <c r="N375" s="43"/>
      <c r="O375" s="43"/>
      <c r="P375" s="43"/>
      <c r="Q375" s="43"/>
      <c r="R375" s="43"/>
    </row>
    <row r="376" spans="1:18">
      <c r="A376" s="44"/>
      <c r="B376" s="38" t="s">
        <v>1452</v>
      </c>
      <c r="C376" s="38"/>
      <c r="D376" s="38"/>
      <c r="E376" s="38"/>
      <c r="F376" s="38"/>
      <c r="G376" s="38" t="s">
        <v>1453</v>
      </c>
      <c r="H376" s="38" t="s">
        <v>1453</v>
      </c>
      <c r="I376" s="38" t="s">
        <v>1453</v>
      </c>
      <c r="J376" s="38"/>
      <c r="K376" s="38"/>
      <c r="L376" s="42"/>
      <c r="M376" s="43"/>
      <c r="N376" s="43"/>
      <c r="O376" s="43"/>
      <c r="P376" s="43"/>
      <c r="Q376" s="43"/>
      <c r="R376" s="43"/>
    </row>
    <row r="377" spans="1:18">
      <c r="A377" s="44"/>
      <c r="B377" s="38" t="s">
        <v>1454</v>
      </c>
      <c r="C377" s="38"/>
      <c r="D377" s="38"/>
      <c r="E377" s="38"/>
      <c r="F377" s="38"/>
      <c r="G377" s="38" t="s">
        <v>921</v>
      </c>
      <c r="H377" s="38" t="s">
        <v>921</v>
      </c>
      <c r="I377" s="38" t="s">
        <v>921</v>
      </c>
      <c r="J377" s="38"/>
      <c r="K377" s="38"/>
      <c r="L377" s="42"/>
      <c r="M377" s="43"/>
      <c r="N377" s="43"/>
      <c r="O377" s="43"/>
      <c r="P377" s="43"/>
      <c r="Q377" s="43"/>
      <c r="R377" s="43"/>
    </row>
    <row r="378" spans="1:18">
      <c r="A378" s="44"/>
      <c r="B378" s="38" t="s">
        <v>1455</v>
      </c>
      <c r="C378" s="38"/>
      <c r="D378" s="38"/>
      <c r="E378" s="38"/>
      <c r="F378" s="38"/>
      <c r="G378" s="38" t="s">
        <v>921</v>
      </c>
      <c r="H378" s="38" t="s">
        <v>921</v>
      </c>
      <c r="I378" s="38" t="s">
        <v>921</v>
      </c>
      <c r="J378" s="38"/>
      <c r="K378" s="38"/>
      <c r="L378" s="42"/>
      <c r="M378" s="43"/>
      <c r="N378" s="43"/>
      <c r="O378" s="43"/>
      <c r="P378" s="43"/>
      <c r="Q378" s="43"/>
      <c r="R378" s="43"/>
    </row>
    <row r="379" spans="1:18">
      <c r="A379" s="44"/>
      <c r="B379" s="38" t="s">
        <v>1456</v>
      </c>
      <c r="C379" s="38"/>
      <c r="D379" s="38"/>
      <c r="E379" s="38"/>
      <c r="F379" s="38"/>
      <c r="G379" s="38" t="s">
        <v>1457</v>
      </c>
      <c r="H379" s="38" t="s">
        <v>1457</v>
      </c>
      <c r="I379" s="38" t="s">
        <v>1457</v>
      </c>
      <c r="J379" s="38"/>
      <c r="K379" s="38"/>
      <c r="L379" s="42"/>
      <c r="M379" s="43"/>
      <c r="N379" s="43"/>
      <c r="O379" s="43"/>
      <c r="P379" s="43"/>
      <c r="Q379" s="43"/>
      <c r="R379" s="43"/>
    </row>
    <row r="380" spans="1:18">
      <c r="A380" s="44"/>
      <c r="B380" s="38" t="s">
        <v>1458</v>
      </c>
      <c r="C380" s="38"/>
      <c r="D380" s="38"/>
      <c r="E380" s="38"/>
      <c r="F380" s="38"/>
      <c r="G380" s="38" t="s">
        <v>1158</v>
      </c>
      <c r="H380" s="38" t="s">
        <v>1158</v>
      </c>
      <c r="I380" s="38" t="s">
        <v>1158</v>
      </c>
      <c r="J380" s="38"/>
      <c r="K380" s="38"/>
      <c r="L380" s="42"/>
      <c r="M380" s="43"/>
      <c r="N380" s="43"/>
      <c r="O380" s="43"/>
      <c r="P380" s="43"/>
      <c r="Q380" s="43"/>
      <c r="R380" s="43"/>
    </row>
    <row r="381" spans="1:18">
      <c r="A381" s="44"/>
      <c r="B381" s="38" t="s">
        <v>1459</v>
      </c>
      <c r="C381" s="38"/>
      <c r="D381" s="38"/>
      <c r="E381" s="38"/>
      <c r="F381" s="38"/>
      <c r="G381" s="38" t="s">
        <v>1158</v>
      </c>
      <c r="H381" s="38" t="s">
        <v>1158</v>
      </c>
      <c r="I381" s="38" t="s">
        <v>1158</v>
      </c>
      <c r="J381" s="38"/>
      <c r="K381" s="38"/>
      <c r="L381" s="42"/>
      <c r="M381" s="43"/>
      <c r="N381" s="43"/>
      <c r="O381" s="43"/>
      <c r="P381" s="43"/>
      <c r="Q381" s="43"/>
      <c r="R381" s="43"/>
    </row>
    <row r="382" spans="1:18">
      <c r="A382" s="44"/>
      <c r="B382" s="38" t="s">
        <v>1460</v>
      </c>
      <c r="C382" s="38"/>
      <c r="D382" s="38"/>
      <c r="E382" s="38"/>
      <c r="F382" s="38"/>
      <c r="G382" s="38" t="s">
        <v>1233</v>
      </c>
      <c r="H382" s="38" t="s">
        <v>1233</v>
      </c>
      <c r="I382" s="38" t="s">
        <v>1233</v>
      </c>
      <c r="J382" s="38"/>
      <c r="K382" s="38"/>
      <c r="L382" s="42"/>
      <c r="M382" s="43"/>
      <c r="N382" s="43"/>
      <c r="O382" s="43"/>
      <c r="P382" s="43"/>
      <c r="Q382" s="43"/>
      <c r="R382" s="43"/>
    </row>
    <row r="383" spans="1:18">
      <c r="A383" s="44"/>
      <c r="B383" s="38" t="s">
        <v>1461</v>
      </c>
      <c r="C383" s="38"/>
      <c r="D383" s="38"/>
      <c r="E383" s="38"/>
      <c r="F383" s="38"/>
      <c r="G383" s="38" t="s">
        <v>1240</v>
      </c>
      <c r="H383" s="38" t="s">
        <v>1240</v>
      </c>
      <c r="I383" s="38" t="s">
        <v>1240</v>
      </c>
      <c r="J383" s="38"/>
      <c r="K383" s="38"/>
      <c r="L383" s="42"/>
      <c r="M383" s="43"/>
      <c r="N383" s="43"/>
      <c r="O383" s="43"/>
      <c r="P383" s="43"/>
      <c r="Q383" s="43"/>
      <c r="R383" s="43"/>
    </row>
    <row r="384" spans="1:18">
      <c r="A384" s="44"/>
      <c r="B384" s="38" t="s">
        <v>1462</v>
      </c>
      <c r="C384" s="38"/>
      <c r="D384" s="38"/>
      <c r="E384" s="38"/>
      <c r="F384" s="38"/>
      <c r="G384" s="38" t="s">
        <v>1240</v>
      </c>
      <c r="H384" s="38" t="s">
        <v>1240</v>
      </c>
      <c r="I384" s="38" t="s">
        <v>1240</v>
      </c>
      <c r="J384" s="38"/>
      <c r="K384" s="38"/>
      <c r="L384" s="42"/>
      <c r="M384" s="43"/>
      <c r="N384" s="43"/>
      <c r="O384" s="43"/>
      <c r="P384" s="43"/>
      <c r="Q384" s="43"/>
      <c r="R384" s="43"/>
    </row>
    <row r="385" spans="1:18">
      <c r="A385" s="44"/>
      <c r="B385" s="38" t="s">
        <v>1463</v>
      </c>
      <c r="C385" s="38"/>
      <c r="D385" s="38"/>
      <c r="E385" s="38"/>
      <c r="F385" s="38"/>
      <c r="G385" s="38" t="s">
        <v>1453</v>
      </c>
      <c r="H385" s="38" t="s">
        <v>1453</v>
      </c>
      <c r="I385" s="38" t="s">
        <v>1453</v>
      </c>
      <c r="J385" s="38"/>
      <c r="K385" s="38"/>
      <c r="L385" s="42"/>
      <c r="M385" s="43"/>
      <c r="N385" s="43"/>
      <c r="O385" s="43"/>
      <c r="P385" s="43"/>
      <c r="Q385" s="43"/>
      <c r="R385" s="43"/>
    </row>
    <row r="386" spans="1:18">
      <c r="A386" s="44"/>
      <c r="B386" s="38" t="s">
        <v>1464</v>
      </c>
      <c r="C386" s="38"/>
      <c r="D386" s="38"/>
      <c r="E386" s="38"/>
      <c r="F386" s="38"/>
      <c r="G386" s="38" t="s">
        <v>1465</v>
      </c>
      <c r="H386" s="38" t="s">
        <v>1465</v>
      </c>
      <c r="I386" s="38" t="s">
        <v>1465</v>
      </c>
      <c r="J386" s="38"/>
      <c r="K386" s="38"/>
      <c r="L386" s="42"/>
      <c r="M386" s="43"/>
      <c r="N386" s="43"/>
      <c r="O386" s="43"/>
      <c r="P386" s="43"/>
      <c r="Q386" s="43"/>
      <c r="R386" s="43"/>
    </row>
    <row r="387" spans="1:18">
      <c r="A387" s="44"/>
      <c r="B387" s="38" t="s">
        <v>1466</v>
      </c>
      <c r="C387" s="38"/>
      <c r="D387" s="38"/>
      <c r="E387" s="38"/>
      <c r="F387" s="38"/>
      <c r="G387" s="38" t="s">
        <v>1465</v>
      </c>
      <c r="H387" s="38" t="s">
        <v>1465</v>
      </c>
      <c r="I387" s="38" t="s">
        <v>1465</v>
      </c>
      <c r="J387" s="38"/>
      <c r="K387" s="38"/>
      <c r="L387" s="42"/>
      <c r="M387" s="43"/>
      <c r="N387" s="43"/>
      <c r="O387" s="43"/>
      <c r="P387" s="43"/>
      <c r="Q387" s="43"/>
      <c r="R387" s="43"/>
    </row>
    <row r="388" spans="1:18">
      <c r="A388" s="44"/>
      <c r="B388" s="38" t="s">
        <v>1467</v>
      </c>
      <c r="C388" s="38"/>
      <c r="D388" s="38"/>
      <c r="E388" s="38"/>
      <c r="F388" s="38"/>
      <c r="G388" s="38" t="s">
        <v>1317</v>
      </c>
      <c r="H388" s="38" t="s">
        <v>1317</v>
      </c>
      <c r="I388" s="38" t="s">
        <v>1317</v>
      </c>
      <c r="J388" s="38"/>
      <c r="K388" s="38"/>
      <c r="L388" s="42"/>
      <c r="M388" s="43"/>
      <c r="N388" s="43"/>
      <c r="O388" s="43"/>
      <c r="P388" s="43"/>
      <c r="Q388" s="43"/>
      <c r="R388" s="43"/>
    </row>
    <row r="389" spans="1:18">
      <c r="A389" s="44"/>
      <c r="B389" s="38" t="s">
        <v>1468</v>
      </c>
      <c r="C389" s="38"/>
      <c r="D389" s="38"/>
      <c r="E389" s="38"/>
      <c r="F389" s="38"/>
      <c r="G389" s="38" t="s">
        <v>1317</v>
      </c>
      <c r="H389" s="38" t="s">
        <v>1317</v>
      </c>
      <c r="I389" s="38" t="s">
        <v>1317</v>
      </c>
      <c r="J389" s="38"/>
      <c r="K389" s="38"/>
      <c r="L389" s="42"/>
      <c r="M389" s="43"/>
      <c r="N389" s="43"/>
      <c r="O389" s="43"/>
      <c r="P389" s="43"/>
      <c r="Q389" s="43"/>
      <c r="R389" s="43"/>
    </row>
    <row r="390" spans="1:18">
      <c r="A390" s="44"/>
      <c r="B390" s="38" t="s">
        <v>1469</v>
      </c>
      <c r="C390" s="38"/>
      <c r="D390" s="38"/>
      <c r="E390" s="38"/>
      <c r="F390" s="38"/>
      <c r="G390" s="38" t="s">
        <v>1317</v>
      </c>
      <c r="H390" s="38" t="s">
        <v>1317</v>
      </c>
      <c r="I390" s="38" t="s">
        <v>1317</v>
      </c>
      <c r="J390" s="38"/>
      <c r="K390" s="38"/>
      <c r="L390" s="42"/>
      <c r="M390" s="43"/>
      <c r="N390" s="43"/>
      <c r="O390" s="43"/>
      <c r="P390" s="43"/>
      <c r="Q390" s="43"/>
      <c r="R390" s="43"/>
    </row>
    <row r="391" spans="1:18">
      <c r="A391" s="44"/>
      <c r="B391" s="38" t="s">
        <v>1470</v>
      </c>
      <c r="C391" s="38"/>
      <c r="D391" s="38"/>
      <c r="E391" s="38"/>
      <c r="F391" s="38"/>
      <c r="G391" s="38" t="s">
        <v>1317</v>
      </c>
      <c r="H391" s="38" t="s">
        <v>1317</v>
      </c>
      <c r="I391" s="38" t="s">
        <v>1317</v>
      </c>
      <c r="J391" s="38"/>
      <c r="K391" s="38"/>
      <c r="L391" s="42"/>
      <c r="M391" s="43"/>
      <c r="N391" s="43"/>
      <c r="O391" s="43"/>
      <c r="P391" s="43"/>
      <c r="Q391" s="43"/>
      <c r="R391" s="43"/>
    </row>
    <row r="392" spans="1:18">
      <c r="A392" s="44"/>
      <c r="B392" s="38" t="s">
        <v>1471</v>
      </c>
      <c r="C392" s="38"/>
      <c r="D392" s="38"/>
      <c r="E392" s="38"/>
      <c r="F392" s="38"/>
      <c r="G392" s="38" t="s">
        <v>1472</v>
      </c>
      <c r="H392" s="38" t="s">
        <v>1472</v>
      </c>
      <c r="I392" s="38" t="s">
        <v>1472</v>
      </c>
      <c r="J392" s="38"/>
      <c r="K392" s="38"/>
      <c r="L392" s="42"/>
      <c r="M392" s="43"/>
      <c r="N392" s="43"/>
      <c r="O392" s="43"/>
      <c r="P392" s="43"/>
      <c r="Q392" s="43"/>
      <c r="R392" s="43"/>
    </row>
    <row r="393" spans="1:18">
      <c r="A393" s="44"/>
      <c r="B393" s="38" t="s">
        <v>1473</v>
      </c>
      <c r="C393" s="38"/>
      <c r="D393" s="38"/>
      <c r="E393" s="38"/>
      <c r="F393" s="38"/>
      <c r="G393" s="38" t="s">
        <v>1472</v>
      </c>
      <c r="H393" s="38" t="s">
        <v>1472</v>
      </c>
      <c r="I393" s="38" t="s">
        <v>1472</v>
      </c>
      <c r="J393" s="38"/>
      <c r="K393" s="38"/>
      <c r="L393" s="42"/>
      <c r="M393" s="43"/>
      <c r="N393" s="43"/>
      <c r="O393" s="43"/>
      <c r="P393" s="43"/>
      <c r="Q393" s="43"/>
      <c r="R393" s="43"/>
    </row>
    <row r="394" spans="1:18">
      <c r="A394" s="44"/>
      <c r="B394" s="38" t="s">
        <v>1474</v>
      </c>
      <c r="C394" s="38"/>
      <c r="D394" s="38"/>
      <c r="E394" s="38"/>
      <c r="F394" s="38"/>
      <c r="G394" s="38" t="s">
        <v>1472</v>
      </c>
      <c r="H394" s="38" t="s">
        <v>1472</v>
      </c>
      <c r="I394" s="38" t="s">
        <v>1472</v>
      </c>
      <c r="J394" s="38"/>
      <c r="K394" s="38"/>
      <c r="L394" s="42"/>
      <c r="M394" s="43"/>
      <c r="N394" s="43"/>
      <c r="O394" s="43"/>
      <c r="P394" s="43"/>
      <c r="Q394" s="43"/>
      <c r="R394" s="43"/>
    </row>
    <row r="395" spans="1:18">
      <c r="A395" s="44"/>
      <c r="B395" s="38" t="s">
        <v>1475</v>
      </c>
      <c r="C395" s="38"/>
      <c r="D395" s="38"/>
      <c r="E395" s="38"/>
      <c r="F395" s="38"/>
      <c r="G395" s="38" t="s">
        <v>1472</v>
      </c>
      <c r="H395" s="38" t="s">
        <v>1472</v>
      </c>
      <c r="I395" s="38" t="s">
        <v>1472</v>
      </c>
      <c r="J395" s="38"/>
      <c r="K395" s="38"/>
      <c r="L395" s="42"/>
      <c r="M395" s="43"/>
      <c r="N395" s="43"/>
      <c r="O395" s="43"/>
      <c r="P395" s="43"/>
      <c r="Q395" s="43"/>
      <c r="R395" s="43"/>
    </row>
    <row r="396" spans="1:18">
      <c r="A396" s="44"/>
      <c r="B396" s="38" t="s">
        <v>1476</v>
      </c>
      <c r="C396" s="38"/>
      <c r="D396" s="38"/>
      <c r="E396" s="38"/>
      <c r="F396" s="38"/>
      <c r="G396" s="38" t="s">
        <v>1477</v>
      </c>
      <c r="H396" s="38" t="s">
        <v>1477</v>
      </c>
      <c r="I396" s="38" t="s">
        <v>1477</v>
      </c>
      <c r="J396" s="38"/>
      <c r="K396" s="38"/>
      <c r="L396" s="42"/>
      <c r="M396" s="43"/>
      <c r="N396" s="43"/>
      <c r="O396" s="43"/>
      <c r="P396" s="43"/>
      <c r="Q396" s="43"/>
      <c r="R396" s="43"/>
    </row>
    <row r="397" spans="1:18">
      <c r="A397" s="44"/>
      <c r="B397" s="38" t="s">
        <v>1478</v>
      </c>
      <c r="C397" s="38"/>
      <c r="D397" s="38"/>
      <c r="E397" s="38"/>
      <c r="F397" s="38"/>
      <c r="G397" s="38" t="s">
        <v>1479</v>
      </c>
      <c r="H397" s="38" t="s">
        <v>1480</v>
      </c>
      <c r="I397" s="38" t="s">
        <v>1479</v>
      </c>
      <c r="J397" s="38"/>
      <c r="K397" s="38"/>
      <c r="L397" s="42"/>
      <c r="M397" s="43"/>
      <c r="N397" s="43"/>
      <c r="O397" s="43"/>
      <c r="P397" s="43"/>
      <c r="Q397" s="43"/>
      <c r="R397" s="43"/>
    </row>
    <row r="398" spans="1:18">
      <c r="A398" s="44"/>
      <c r="B398" s="38" t="s">
        <v>1481</v>
      </c>
      <c r="C398" s="38"/>
      <c r="D398" s="38"/>
      <c r="E398" s="38"/>
      <c r="F398" s="38"/>
      <c r="G398" s="38" t="s">
        <v>1479</v>
      </c>
      <c r="H398" s="38" t="s">
        <v>1480</v>
      </c>
      <c r="I398" s="38" t="s">
        <v>1479</v>
      </c>
      <c r="J398" s="38"/>
      <c r="K398" s="38"/>
      <c r="L398" s="42"/>
      <c r="M398" s="43"/>
      <c r="N398" s="43"/>
      <c r="O398" s="43"/>
      <c r="P398" s="43"/>
      <c r="Q398" s="43"/>
      <c r="R398" s="43"/>
    </row>
    <row r="399" spans="1:18">
      <c r="A399" s="44"/>
      <c r="B399" s="38" t="s">
        <v>1482</v>
      </c>
      <c r="C399" s="38"/>
      <c r="D399" s="38"/>
      <c r="E399" s="38"/>
      <c r="F399" s="38"/>
      <c r="G399" s="38" t="s">
        <v>1483</v>
      </c>
      <c r="H399" s="38" t="s">
        <v>1484</v>
      </c>
      <c r="I399" s="38" t="s">
        <v>1483</v>
      </c>
      <c r="J399" s="38"/>
      <c r="K399" s="38"/>
      <c r="L399" s="42"/>
      <c r="M399" s="43"/>
      <c r="N399" s="43"/>
      <c r="O399" s="43"/>
      <c r="P399" s="43"/>
      <c r="Q399" s="43"/>
      <c r="R399" s="43"/>
    </row>
    <row r="400" spans="1:18">
      <c r="A400" s="44"/>
      <c r="B400" s="38" t="s">
        <v>1485</v>
      </c>
      <c r="C400" s="38"/>
      <c r="D400" s="38"/>
      <c r="E400" s="38"/>
      <c r="F400" s="38"/>
      <c r="G400" s="38" t="s">
        <v>1483</v>
      </c>
      <c r="H400" s="38" t="s">
        <v>1484</v>
      </c>
      <c r="I400" s="38" t="s">
        <v>1483</v>
      </c>
      <c r="J400" s="38"/>
      <c r="K400" s="38"/>
      <c r="L400" s="42"/>
      <c r="M400" s="43"/>
      <c r="N400" s="43"/>
      <c r="O400" s="43"/>
      <c r="P400" s="43"/>
      <c r="Q400" s="43"/>
      <c r="R400" s="43"/>
    </row>
    <row r="401" spans="1:18">
      <c r="A401" s="44"/>
      <c r="B401" s="38" t="s">
        <v>1486</v>
      </c>
      <c r="C401" s="38"/>
      <c r="D401" s="38"/>
      <c r="E401" s="38"/>
      <c r="F401" s="38"/>
      <c r="G401" s="38" t="s">
        <v>1487</v>
      </c>
      <c r="H401" s="38" t="s">
        <v>1488</v>
      </c>
      <c r="I401" s="38" t="s">
        <v>1487</v>
      </c>
      <c r="J401" s="38"/>
      <c r="K401" s="38"/>
      <c r="L401" s="42"/>
      <c r="M401" s="43"/>
      <c r="N401" s="43"/>
      <c r="O401" s="43"/>
      <c r="P401" s="43"/>
      <c r="Q401" s="43"/>
      <c r="R401" s="43"/>
    </row>
    <row r="402" spans="1:18">
      <c r="A402" s="44"/>
      <c r="B402" s="38" t="s">
        <v>1489</v>
      </c>
      <c r="C402" s="38"/>
      <c r="D402" s="38"/>
      <c r="E402" s="38"/>
      <c r="F402" s="38"/>
      <c r="G402" s="38" t="s">
        <v>1490</v>
      </c>
      <c r="H402" s="38" t="s">
        <v>948</v>
      </c>
      <c r="I402" s="38" t="s">
        <v>1490</v>
      </c>
      <c r="J402" s="38"/>
      <c r="K402" s="38"/>
      <c r="L402" s="42"/>
      <c r="M402" s="43"/>
      <c r="N402" s="43"/>
      <c r="O402" s="43"/>
      <c r="P402" s="43"/>
      <c r="Q402" s="43"/>
      <c r="R402" s="43"/>
    </row>
    <row r="403" spans="1:18">
      <c r="A403" s="44"/>
      <c r="B403" s="38" t="s">
        <v>1491</v>
      </c>
      <c r="C403" s="38"/>
      <c r="D403" s="38"/>
      <c r="E403" s="38"/>
      <c r="F403" s="38"/>
      <c r="G403" s="38" t="s">
        <v>1492</v>
      </c>
      <c r="H403" s="38" t="s">
        <v>948</v>
      </c>
      <c r="I403" s="38" t="s">
        <v>1492</v>
      </c>
      <c r="J403" s="38"/>
      <c r="K403" s="38"/>
      <c r="L403" s="42"/>
      <c r="M403" s="43"/>
      <c r="N403" s="43"/>
      <c r="O403" s="43"/>
      <c r="P403" s="43"/>
      <c r="Q403" s="43"/>
      <c r="R403" s="43"/>
    </row>
    <row r="404" spans="1:18">
      <c r="A404" s="44"/>
      <c r="B404" s="38" t="s">
        <v>1493</v>
      </c>
      <c r="C404" s="38"/>
      <c r="D404" s="38"/>
      <c r="E404" s="38"/>
      <c r="F404" s="38"/>
      <c r="G404" s="38" t="s">
        <v>917</v>
      </c>
      <c r="H404" s="38" t="s">
        <v>917</v>
      </c>
      <c r="I404" s="38" t="s">
        <v>917</v>
      </c>
      <c r="J404" s="38"/>
      <c r="K404" s="38"/>
      <c r="L404" s="42"/>
      <c r="M404" s="43"/>
      <c r="N404" s="43"/>
      <c r="O404" s="43"/>
      <c r="P404" s="43"/>
      <c r="Q404" s="43"/>
      <c r="R404" s="43"/>
    </row>
    <row r="405" spans="1:18">
      <c r="A405" s="44"/>
      <c r="B405" s="38" t="s">
        <v>1494</v>
      </c>
      <c r="C405" s="38"/>
      <c r="D405" s="38"/>
      <c r="E405" s="38"/>
      <c r="F405" s="38"/>
      <c r="G405" s="38" t="s">
        <v>919</v>
      </c>
      <c r="H405" s="38" t="s">
        <v>919</v>
      </c>
      <c r="I405" s="38" t="s">
        <v>919</v>
      </c>
      <c r="J405" s="38"/>
      <c r="K405" s="38"/>
      <c r="L405" s="42"/>
      <c r="M405" s="43"/>
      <c r="N405" s="43"/>
      <c r="O405" s="43"/>
      <c r="P405" s="43"/>
      <c r="Q405" s="43"/>
      <c r="R405" s="43"/>
    </row>
    <row r="406" spans="1:18">
      <c r="A406" s="44"/>
      <c r="B406" s="38" t="s">
        <v>1495</v>
      </c>
      <c r="C406" s="38"/>
      <c r="D406" s="38"/>
      <c r="E406" s="38"/>
      <c r="F406" s="38"/>
      <c r="G406" s="38" t="s">
        <v>1370</v>
      </c>
      <c r="H406" s="38" t="s">
        <v>1299</v>
      </c>
      <c r="I406" s="38" t="s">
        <v>1370</v>
      </c>
      <c r="J406" s="38"/>
      <c r="K406" s="38"/>
      <c r="L406" s="42"/>
      <c r="M406" s="43"/>
      <c r="N406" s="43"/>
      <c r="O406" s="43"/>
      <c r="P406" s="43"/>
      <c r="Q406" s="43"/>
      <c r="R406" s="43"/>
    </row>
    <row r="407" spans="1:18">
      <c r="A407" s="44"/>
      <c r="B407" s="38" t="s">
        <v>1496</v>
      </c>
      <c r="C407" s="38"/>
      <c r="D407" s="38"/>
      <c r="E407" s="38"/>
      <c r="F407" s="38"/>
      <c r="G407" s="38" t="s">
        <v>1328</v>
      </c>
      <c r="H407" s="38" t="s">
        <v>1240</v>
      </c>
      <c r="I407" s="38" t="s">
        <v>1328</v>
      </c>
      <c r="J407" s="38"/>
      <c r="K407" s="38"/>
      <c r="L407" s="42"/>
      <c r="M407" s="43"/>
      <c r="N407" s="43"/>
      <c r="O407" s="43"/>
      <c r="P407" s="43"/>
      <c r="Q407" s="43"/>
      <c r="R407" s="43"/>
    </row>
    <row r="408" spans="1:18">
      <c r="A408" s="44"/>
      <c r="B408" s="38" t="s">
        <v>1497</v>
      </c>
      <c r="C408" s="38"/>
      <c r="D408" s="38"/>
      <c r="E408" s="38"/>
      <c r="F408" s="38"/>
      <c r="G408" s="38" t="s">
        <v>1328</v>
      </c>
      <c r="H408" s="38" t="s">
        <v>1240</v>
      </c>
      <c r="I408" s="38" t="s">
        <v>1328</v>
      </c>
      <c r="J408" s="38"/>
      <c r="K408" s="38"/>
      <c r="L408" s="42"/>
      <c r="M408" s="43"/>
      <c r="N408" s="43"/>
      <c r="O408" s="43"/>
      <c r="P408" s="43"/>
      <c r="Q408" s="43"/>
      <c r="R408" s="43"/>
    </row>
    <row r="409" spans="1:18">
      <c r="A409" s="44"/>
      <c r="B409" s="38" t="s">
        <v>1498</v>
      </c>
      <c r="C409" s="38"/>
      <c r="D409" s="38"/>
      <c r="E409" s="38"/>
      <c r="F409" s="38"/>
      <c r="G409" s="38" t="s">
        <v>1453</v>
      </c>
      <c r="H409" s="38" t="s">
        <v>1358</v>
      </c>
      <c r="I409" s="38" t="s">
        <v>1453</v>
      </c>
      <c r="J409" s="38"/>
      <c r="K409" s="38"/>
      <c r="L409" s="42"/>
      <c r="M409" s="43"/>
      <c r="N409" s="43"/>
      <c r="O409" s="43"/>
      <c r="P409" s="43"/>
      <c r="Q409" s="43"/>
      <c r="R409" s="43"/>
    </row>
    <row r="410" spans="1:18">
      <c r="A410" s="44"/>
      <c r="B410" s="38" t="s">
        <v>1499</v>
      </c>
      <c r="C410" s="38"/>
      <c r="D410" s="38"/>
      <c r="E410" s="38"/>
      <c r="F410" s="38"/>
      <c r="G410" s="38" t="s">
        <v>1500</v>
      </c>
      <c r="H410" s="38" t="s">
        <v>1500</v>
      </c>
      <c r="I410" s="38" t="s">
        <v>1500</v>
      </c>
      <c r="J410" s="38"/>
      <c r="K410" s="38"/>
      <c r="L410" s="42"/>
      <c r="M410" s="43"/>
      <c r="N410" s="43"/>
      <c r="O410" s="43"/>
      <c r="P410" s="43"/>
      <c r="Q410" s="43"/>
      <c r="R410" s="43"/>
    </row>
    <row r="411" spans="1:18">
      <c r="A411" s="44"/>
      <c r="B411" s="38" t="s">
        <v>1501</v>
      </c>
      <c r="C411" s="38"/>
      <c r="D411" s="38"/>
      <c r="E411" s="38"/>
      <c r="F411" s="38"/>
      <c r="G411" s="38" t="s">
        <v>1011</v>
      </c>
      <c r="H411" s="38" t="s">
        <v>1011</v>
      </c>
      <c r="I411" s="38" t="s">
        <v>1011</v>
      </c>
      <c r="J411" s="38"/>
      <c r="K411" s="38"/>
      <c r="L411" s="42"/>
      <c r="M411" s="43"/>
      <c r="N411" s="43"/>
      <c r="O411" s="43"/>
      <c r="P411" s="43"/>
      <c r="Q411" s="43"/>
      <c r="R411" s="43"/>
    </row>
    <row r="412" spans="1:18">
      <c r="A412" s="44"/>
      <c r="B412" s="38" t="s">
        <v>1502</v>
      </c>
      <c r="C412" s="38"/>
      <c r="D412" s="38"/>
      <c r="E412" s="38"/>
      <c r="F412" s="38"/>
      <c r="G412" s="38" t="s">
        <v>1144</v>
      </c>
      <c r="H412" s="38" t="s">
        <v>1144</v>
      </c>
      <c r="I412" s="38" t="s">
        <v>1144</v>
      </c>
      <c r="J412" s="38"/>
      <c r="K412" s="38"/>
      <c r="L412" s="42"/>
      <c r="M412" s="43"/>
      <c r="N412" s="43"/>
      <c r="O412" s="43"/>
      <c r="P412" s="43"/>
      <c r="Q412" s="43"/>
      <c r="R412" s="43"/>
    </row>
    <row r="413" spans="1:18">
      <c r="A413" s="44"/>
      <c r="B413" s="38" t="s">
        <v>1503</v>
      </c>
      <c r="C413" s="38"/>
      <c r="D413" s="38"/>
      <c r="E413" s="38"/>
      <c r="F413" s="38"/>
      <c r="G413" s="38" t="s">
        <v>1504</v>
      </c>
      <c r="H413" s="38" t="s">
        <v>1505</v>
      </c>
      <c r="I413" s="38" t="s">
        <v>1504</v>
      </c>
      <c r="J413" s="38"/>
      <c r="K413" s="38"/>
      <c r="L413" s="42"/>
      <c r="M413" s="43"/>
      <c r="N413" s="43"/>
      <c r="O413" s="43"/>
      <c r="P413" s="43"/>
      <c r="Q413" s="43"/>
      <c r="R413" s="43"/>
    </row>
    <row r="414" spans="1:18">
      <c r="A414" s="44"/>
      <c r="B414" s="38" t="s">
        <v>1506</v>
      </c>
      <c r="C414" s="38"/>
      <c r="D414" s="38"/>
      <c r="E414" s="38"/>
      <c r="F414" s="38"/>
      <c r="G414" s="38" t="s">
        <v>1504</v>
      </c>
      <c r="H414" s="38" t="s">
        <v>1505</v>
      </c>
      <c r="I414" s="38" t="s">
        <v>1504</v>
      </c>
      <c r="J414" s="38"/>
      <c r="K414" s="38"/>
      <c r="L414" s="42"/>
      <c r="M414" s="43"/>
      <c r="N414" s="43"/>
      <c r="O414" s="43"/>
      <c r="P414" s="43"/>
      <c r="Q414" s="43"/>
      <c r="R414" s="43"/>
    </row>
    <row r="415" spans="1:18">
      <c r="A415" s="44"/>
      <c r="B415" s="38" t="s">
        <v>1507</v>
      </c>
      <c r="C415" s="38"/>
      <c r="D415" s="38"/>
      <c r="E415" s="38"/>
      <c r="F415" s="38"/>
      <c r="G415" s="38" t="s">
        <v>1508</v>
      </c>
      <c r="H415" s="38" t="s">
        <v>1508</v>
      </c>
      <c r="I415" s="38" t="s">
        <v>1508</v>
      </c>
      <c r="J415" s="38"/>
      <c r="K415" s="38"/>
      <c r="L415" s="42"/>
      <c r="M415" s="43"/>
      <c r="N415" s="43"/>
      <c r="O415" s="43"/>
      <c r="P415" s="43"/>
      <c r="Q415" s="43"/>
      <c r="R415" s="43"/>
    </row>
    <row r="416" spans="1:18">
      <c r="A416" s="44"/>
      <c r="B416" s="38" t="s">
        <v>1509</v>
      </c>
      <c r="C416" s="38"/>
      <c r="D416" s="38"/>
      <c r="E416" s="38"/>
      <c r="F416" s="38"/>
      <c r="G416" s="38" t="s">
        <v>1508</v>
      </c>
      <c r="H416" s="38" t="s">
        <v>1508</v>
      </c>
      <c r="I416" s="38" t="s">
        <v>1508</v>
      </c>
      <c r="J416" s="38"/>
      <c r="K416" s="38"/>
      <c r="L416" s="42"/>
      <c r="M416" s="43"/>
      <c r="N416" s="43"/>
      <c r="O416" s="43"/>
      <c r="P416" s="43"/>
      <c r="Q416" s="43"/>
      <c r="R416" s="43"/>
    </row>
    <row r="417" spans="1:18">
      <c r="A417" s="44"/>
      <c r="B417" s="38" t="s">
        <v>1510</v>
      </c>
      <c r="C417" s="38"/>
      <c r="D417" s="38"/>
      <c r="E417" s="38"/>
      <c r="F417" s="38"/>
      <c r="G417" s="38" t="s">
        <v>1508</v>
      </c>
      <c r="H417" s="38" t="s">
        <v>1508</v>
      </c>
      <c r="I417" s="38" t="s">
        <v>1508</v>
      </c>
      <c r="J417" s="38"/>
      <c r="K417" s="38"/>
      <c r="L417" s="42"/>
      <c r="M417" s="43"/>
      <c r="N417" s="43"/>
      <c r="O417" s="43"/>
      <c r="P417" s="43"/>
      <c r="Q417" s="43"/>
      <c r="R417" s="43"/>
    </row>
    <row r="418" spans="1:18">
      <c r="A418" s="44"/>
      <c r="B418" s="38" t="s">
        <v>1511</v>
      </c>
      <c r="C418" s="38"/>
      <c r="D418" s="38"/>
      <c r="E418" s="38"/>
      <c r="F418" s="38"/>
      <c r="G418" s="38" t="s">
        <v>1508</v>
      </c>
      <c r="H418" s="38" t="s">
        <v>1508</v>
      </c>
      <c r="I418" s="38" t="s">
        <v>1508</v>
      </c>
      <c r="J418" s="38"/>
      <c r="K418" s="38"/>
      <c r="L418" s="42"/>
      <c r="M418" s="43"/>
      <c r="N418" s="43"/>
      <c r="O418" s="43"/>
      <c r="P418" s="43"/>
      <c r="Q418" s="43"/>
      <c r="R418" s="43"/>
    </row>
    <row r="419" spans="1:18">
      <c r="A419" s="44"/>
      <c r="B419" s="38" t="s">
        <v>1512</v>
      </c>
      <c r="C419" s="38"/>
      <c r="D419" s="38"/>
      <c r="E419" s="38"/>
      <c r="F419" s="38"/>
      <c r="G419" s="38" t="s">
        <v>1508</v>
      </c>
      <c r="H419" s="38" t="s">
        <v>1508</v>
      </c>
      <c r="I419" s="38" t="s">
        <v>1508</v>
      </c>
      <c r="J419" s="38"/>
      <c r="K419" s="38"/>
      <c r="L419" s="42"/>
      <c r="M419" s="43"/>
      <c r="N419" s="43"/>
      <c r="O419" s="43"/>
      <c r="P419" s="43"/>
      <c r="Q419" s="43"/>
      <c r="R419" s="43"/>
    </row>
    <row r="420" spans="1:18">
      <c r="A420" s="44"/>
      <c r="B420" s="38" t="s">
        <v>1513</v>
      </c>
      <c r="C420" s="38"/>
      <c r="D420" s="38"/>
      <c r="E420" s="38"/>
      <c r="F420" s="38"/>
      <c r="G420" s="38" t="s">
        <v>1508</v>
      </c>
      <c r="H420" s="38" t="s">
        <v>1508</v>
      </c>
      <c r="I420" s="38" t="s">
        <v>1508</v>
      </c>
      <c r="J420" s="38"/>
      <c r="K420" s="38"/>
      <c r="L420" s="42"/>
      <c r="M420" s="43"/>
      <c r="N420" s="43"/>
      <c r="O420" s="43"/>
      <c r="P420" s="43"/>
      <c r="Q420" s="43"/>
      <c r="R420" s="43"/>
    </row>
    <row r="421" spans="1:18">
      <c r="A421" s="44"/>
      <c r="B421" s="38" t="s">
        <v>1514</v>
      </c>
      <c r="C421" s="38"/>
      <c r="D421" s="38"/>
      <c r="E421" s="38"/>
      <c r="F421" s="38"/>
      <c r="G421" s="38" t="s">
        <v>1328</v>
      </c>
      <c r="H421" s="38" t="s">
        <v>1328</v>
      </c>
      <c r="I421" s="38" t="s">
        <v>1328</v>
      </c>
      <c r="J421" s="38"/>
      <c r="K421" s="38"/>
      <c r="L421" s="42"/>
      <c r="M421" s="43"/>
      <c r="N421" s="43"/>
      <c r="O421" s="43"/>
      <c r="P421" s="43"/>
      <c r="Q421" s="43"/>
      <c r="R421" s="43"/>
    </row>
    <row r="422" spans="1:18">
      <c r="A422" s="44"/>
      <c r="B422" s="38" t="s">
        <v>1515</v>
      </c>
      <c r="C422" s="38"/>
      <c r="D422" s="38"/>
      <c r="E422" s="38"/>
      <c r="F422" s="38"/>
      <c r="G422" s="38" t="s">
        <v>1328</v>
      </c>
      <c r="H422" s="38" t="s">
        <v>1328</v>
      </c>
      <c r="I422" s="38" t="s">
        <v>1328</v>
      </c>
      <c r="J422" s="38"/>
      <c r="K422" s="38"/>
      <c r="L422" s="42"/>
      <c r="M422" s="43"/>
      <c r="N422" s="43"/>
      <c r="O422" s="43"/>
      <c r="P422" s="43"/>
      <c r="Q422" s="43"/>
      <c r="R422" s="43"/>
    </row>
    <row r="423" spans="1:18">
      <c r="A423" s="44"/>
      <c r="B423" s="38" t="s">
        <v>1516</v>
      </c>
      <c r="C423" s="38"/>
      <c r="D423" s="38"/>
      <c r="E423" s="38"/>
      <c r="F423" s="38"/>
      <c r="G423" s="38" t="s">
        <v>1517</v>
      </c>
      <c r="H423" s="38" t="s">
        <v>1517</v>
      </c>
      <c r="I423" s="38" t="s">
        <v>1517</v>
      </c>
      <c r="J423" s="38"/>
      <c r="K423" s="38"/>
      <c r="L423" s="42"/>
      <c r="M423" s="43"/>
      <c r="N423" s="43"/>
      <c r="O423" s="43"/>
      <c r="P423" s="43"/>
      <c r="Q423" s="43"/>
      <c r="R423" s="43"/>
    </row>
    <row r="424" spans="1:18">
      <c r="A424" s="44"/>
      <c r="B424" s="38" t="s">
        <v>1518</v>
      </c>
      <c r="C424" s="38"/>
      <c r="D424" s="38"/>
      <c r="E424" s="38"/>
      <c r="F424" s="38"/>
      <c r="G424" s="38" t="s">
        <v>942</v>
      </c>
      <c r="H424" s="38" t="s">
        <v>942</v>
      </c>
      <c r="I424" s="38" t="s">
        <v>942</v>
      </c>
      <c r="J424" s="38"/>
      <c r="K424" s="38"/>
      <c r="L424" s="42"/>
      <c r="M424" s="43"/>
      <c r="N424" s="43"/>
      <c r="O424" s="43"/>
      <c r="P424" s="43"/>
      <c r="Q424" s="43"/>
      <c r="R424" s="43"/>
    </row>
    <row r="425" spans="1:18">
      <c r="A425" s="44"/>
      <c r="B425" s="38" t="s">
        <v>1519</v>
      </c>
      <c r="C425" s="38"/>
      <c r="D425" s="38"/>
      <c r="E425" s="38"/>
      <c r="F425" s="38"/>
      <c r="G425" s="38" t="s">
        <v>1148</v>
      </c>
      <c r="H425" s="38" t="s">
        <v>1148</v>
      </c>
      <c r="I425" s="38" t="s">
        <v>1148</v>
      </c>
      <c r="J425" s="38"/>
      <c r="K425" s="38"/>
      <c r="L425" s="42"/>
      <c r="M425" s="43"/>
      <c r="N425" s="43"/>
      <c r="O425" s="43"/>
      <c r="P425" s="43"/>
      <c r="Q425" s="43"/>
      <c r="R425" s="43"/>
    </row>
    <row r="426" spans="1:18">
      <c r="A426" s="44"/>
      <c r="B426" s="38" t="s">
        <v>1520</v>
      </c>
      <c r="C426" s="38"/>
      <c r="D426" s="38"/>
      <c r="E426" s="38"/>
      <c r="F426" s="38"/>
      <c r="G426" s="38" t="s">
        <v>1007</v>
      </c>
      <c r="H426" s="38" t="s">
        <v>1007</v>
      </c>
      <c r="I426" s="38" t="s">
        <v>1007</v>
      </c>
      <c r="J426" s="38"/>
      <c r="K426" s="38"/>
      <c r="L426" s="42"/>
      <c r="M426" s="43"/>
      <c r="N426" s="43"/>
      <c r="O426" s="43"/>
      <c r="P426" s="43"/>
      <c r="Q426" s="43"/>
      <c r="R426" s="43"/>
    </row>
    <row r="427" spans="1:18">
      <c r="A427" s="44"/>
      <c r="B427" s="38" t="s">
        <v>1521</v>
      </c>
      <c r="C427" s="38"/>
      <c r="D427" s="38"/>
      <c r="E427" s="38"/>
      <c r="F427" s="38"/>
      <c r="G427" s="38" t="s">
        <v>1505</v>
      </c>
      <c r="H427" s="38" t="s">
        <v>1522</v>
      </c>
      <c r="I427" s="38" t="s">
        <v>1505</v>
      </c>
      <c r="J427" s="38"/>
      <c r="K427" s="38"/>
      <c r="L427" s="42"/>
      <c r="M427" s="43"/>
      <c r="N427" s="43"/>
      <c r="O427" s="43"/>
      <c r="P427" s="43"/>
      <c r="Q427" s="43"/>
      <c r="R427" s="43"/>
    </row>
    <row r="428" spans="1:18">
      <c r="A428" s="44"/>
      <c r="B428" s="38" t="s">
        <v>1523</v>
      </c>
      <c r="C428" s="38"/>
      <c r="D428" s="38"/>
      <c r="E428" s="38"/>
      <c r="F428" s="38"/>
      <c r="G428" s="38" t="s">
        <v>1505</v>
      </c>
      <c r="H428" s="38" t="s">
        <v>1522</v>
      </c>
      <c r="I428" s="38" t="s">
        <v>1505</v>
      </c>
      <c r="J428" s="38"/>
      <c r="K428" s="38"/>
      <c r="L428" s="42"/>
      <c r="M428" s="43"/>
      <c r="N428" s="43"/>
      <c r="O428" s="43"/>
      <c r="P428" s="43"/>
      <c r="Q428" s="43"/>
      <c r="R428" s="43"/>
    </row>
    <row r="429" spans="1:18">
      <c r="A429" s="44"/>
      <c r="B429" s="38" t="s">
        <v>1524</v>
      </c>
      <c r="C429" s="38"/>
      <c r="D429" s="38"/>
      <c r="E429" s="38"/>
      <c r="F429" s="38"/>
      <c r="G429" s="38" t="s">
        <v>1390</v>
      </c>
      <c r="H429" s="38" t="s">
        <v>1117</v>
      </c>
      <c r="I429" s="38" t="s">
        <v>1390</v>
      </c>
      <c r="J429" s="38"/>
      <c r="K429" s="38"/>
      <c r="L429" s="42"/>
      <c r="M429" s="43"/>
      <c r="N429" s="43"/>
      <c r="O429" s="43"/>
      <c r="P429" s="43"/>
      <c r="Q429" s="43"/>
      <c r="R429" s="43"/>
    </row>
    <row r="430" spans="1:18">
      <c r="A430" s="44"/>
      <c r="B430" s="38" t="s">
        <v>1525</v>
      </c>
      <c r="C430" s="38"/>
      <c r="D430" s="38"/>
      <c r="E430" s="38"/>
      <c r="F430" s="38"/>
      <c r="G430" s="38" t="s">
        <v>1186</v>
      </c>
      <c r="H430" s="38" t="s">
        <v>1186</v>
      </c>
      <c r="I430" s="38" t="s">
        <v>1186</v>
      </c>
      <c r="J430" s="38"/>
      <c r="K430" s="38"/>
      <c r="L430" s="42"/>
      <c r="M430" s="43"/>
      <c r="N430" s="43"/>
      <c r="O430" s="43"/>
      <c r="P430" s="43"/>
      <c r="Q430" s="43"/>
      <c r="R430" s="43"/>
    </row>
    <row r="431" spans="1:18">
      <c r="A431" s="44"/>
      <c r="B431" s="38" t="s">
        <v>1526</v>
      </c>
      <c r="C431" s="38"/>
      <c r="D431" s="38"/>
      <c r="E431" s="38"/>
      <c r="F431" s="38"/>
      <c r="G431" s="38" t="s">
        <v>1186</v>
      </c>
      <c r="H431" s="38" t="s">
        <v>1186</v>
      </c>
      <c r="I431" s="38" t="s">
        <v>1186</v>
      </c>
      <c r="J431" s="38"/>
      <c r="K431" s="38"/>
      <c r="L431" s="42"/>
      <c r="M431" s="43"/>
      <c r="N431" s="43"/>
      <c r="O431" s="43"/>
      <c r="P431" s="43"/>
      <c r="Q431" s="43"/>
      <c r="R431" s="43"/>
    </row>
    <row r="432" spans="1:18">
      <c r="A432" s="44"/>
      <c r="B432" s="38" t="s">
        <v>1527</v>
      </c>
      <c r="C432" s="38"/>
      <c r="D432" s="38"/>
      <c r="E432" s="38"/>
      <c r="F432" s="38"/>
      <c r="G432" s="38" t="s">
        <v>1528</v>
      </c>
      <c r="H432" s="38" t="s">
        <v>1528</v>
      </c>
      <c r="I432" s="38" t="s">
        <v>1528</v>
      </c>
      <c r="J432" s="38"/>
      <c r="K432" s="38"/>
      <c r="L432" s="42"/>
      <c r="M432" s="43"/>
      <c r="N432" s="43"/>
      <c r="O432" s="43"/>
      <c r="P432" s="43"/>
      <c r="Q432" s="43"/>
      <c r="R432" s="43"/>
    </row>
    <row r="433" spans="1:18">
      <c r="A433" s="44"/>
      <c r="B433" s="38" t="s">
        <v>1529</v>
      </c>
      <c r="C433" s="38"/>
      <c r="D433" s="38"/>
      <c r="E433" s="38"/>
      <c r="F433" s="38"/>
      <c r="G433" s="38" t="s">
        <v>1259</v>
      </c>
      <c r="H433" s="38" t="s">
        <v>1259</v>
      </c>
      <c r="I433" s="38" t="s">
        <v>1259</v>
      </c>
      <c r="J433" s="38"/>
      <c r="K433" s="38"/>
      <c r="L433" s="42"/>
      <c r="M433" s="43"/>
      <c r="N433" s="43"/>
      <c r="O433" s="43"/>
      <c r="P433" s="43"/>
      <c r="Q433" s="43"/>
      <c r="R433" s="43"/>
    </row>
    <row r="434" spans="1:18">
      <c r="A434" s="44"/>
      <c r="B434" s="38" t="s">
        <v>1530</v>
      </c>
      <c r="C434" s="38"/>
      <c r="D434" s="38"/>
      <c r="E434" s="38"/>
      <c r="F434" s="38"/>
      <c r="G434" s="38" t="s">
        <v>1259</v>
      </c>
      <c r="H434" s="38" t="s">
        <v>1259</v>
      </c>
      <c r="I434" s="38" t="s">
        <v>1259</v>
      </c>
      <c r="J434" s="38"/>
      <c r="K434" s="38"/>
      <c r="L434" s="42"/>
      <c r="M434" s="43"/>
      <c r="N434" s="43"/>
      <c r="O434" s="43"/>
      <c r="P434" s="43"/>
      <c r="Q434" s="43"/>
      <c r="R434" s="43"/>
    </row>
    <row r="435" spans="1:18">
      <c r="A435" s="44"/>
      <c r="B435" s="38" t="s">
        <v>1531</v>
      </c>
      <c r="C435" s="38"/>
      <c r="D435" s="38"/>
      <c r="E435" s="38"/>
      <c r="F435" s="38"/>
      <c r="G435" s="38" t="s">
        <v>1177</v>
      </c>
      <c r="H435" s="38" t="s">
        <v>1177</v>
      </c>
      <c r="I435" s="38" t="s">
        <v>1177</v>
      </c>
      <c r="J435" s="38"/>
      <c r="K435" s="38"/>
      <c r="L435" s="42"/>
      <c r="M435" s="43"/>
      <c r="N435" s="43"/>
      <c r="O435" s="43"/>
      <c r="P435" s="43"/>
      <c r="Q435" s="43"/>
      <c r="R435" s="43"/>
    </row>
    <row r="436" spans="1:18">
      <c r="A436" s="44"/>
      <c r="B436" s="38" t="s">
        <v>1532</v>
      </c>
      <c r="C436" s="38"/>
      <c r="D436" s="38"/>
      <c r="E436" s="38"/>
      <c r="F436" s="38"/>
      <c r="G436" s="38" t="s">
        <v>1177</v>
      </c>
      <c r="H436" s="38" t="s">
        <v>1177</v>
      </c>
      <c r="I436" s="38" t="s">
        <v>1177</v>
      </c>
      <c r="J436" s="38"/>
      <c r="K436" s="38"/>
      <c r="L436" s="42"/>
      <c r="M436" s="43"/>
      <c r="N436" s="43"/>
      <c r="O436" s="43"/>
      <c r="P436" s="43"/>
      <c r="Q436" s="43"/>
      <c r="R436" s="43"/>
    </row>
    <row r="437" spans="1:18">
      <c r="A437" s="44"/>
      <c r="B437" s="38" t="s">
        <v>1533</v>
      </c>
      <c r="C437" s="38"/>
      <c r="D437" s="38"/>
      <c r="E437" s="38"/>
      <c r="F437" s="38"/>
      <c r="G437" s="38" t="s">
        <v>1508</v>
      </c>
      <c r="H437" s="38" t="s">
        <v>1508</v>
      </c>
      <c r="I437" s="38" t="s">
        <v>1508</v>
      </c>
      <c r="J437" s="38"/>
      <c r="K437" s="38"/>
      <c r="L437" s="42"/>
      <c r="M437" s="43"/>
      <c r="N437" s="43"/>
      <c r="O437" s="43"/>
      <c r="P437" s="43"/>
      <c r="Q437" s="43"/>
      <c r="R437" s="43"/>
    </row>
    <row r="438" spans="1:18">
      <c r="A438" s="44"/>
      <c r="B438" s="38" t="s">
        <v>1534</v>
      </c>
      <c r="C438" s="38"/>
      <c r="D438" s="38"/>
      <c r="E438" s="38"/>
      <c r="F438" s="38"/>
      <c r="G438" s="38" t="s">
        <v>1233</v>
      </c>
      <c r="H438" s="38" t="s">
        <v>1233</v>
      </c>
      <c r="I438" s="38" t="s">
        <v>1233</v>
      </c>
      <c r="J438" s="38"/>
      <c r="K438" s="38"/>
      <c r="L438" s="42"/>
      <c r="M438" s="43"/>
      <c r="N438" s="43"/>
      <c r="O438" s="43"/>
      <c r="P438" s="43"/>
      <c r="Q438" s="43"/>
      <c r="R438" s="43"/>
    </row>
    <row r="439" spans="1:18">
      <c r="A439" s="44"/>
      <c r="B439" s="38" t="s">
        <v>1535</v>
      </c>
      <c r="C439" s="38"/>
      <c r="D439" s="38"/>
      <c r="E439" s="38"/>
      <c r="F439" s="38"/>
      <c r="G439" s="38" t="s">
        <v>1233</v>
      </c>
      <c r="H439" s="38" t="s">
        <v>1233</v>
      </c>
      <c r="I439" s="38" t="s">
        <v>1233</v>
      </c>
      <c r="J439" s="38"/>
      <c r="K439" s="38"/>
      <c r="L439" s="42"/>
      <c r="M439" s="43"/>
      <c r="N439" s="43"/>
      <c r="O439" s="43"/>
      <c r="P439" s="43"/>
      <c r="Q439" s="43"/>
      <c r="R439" s="43"/>
    </row>
    <row r="440" spans="1:18">
      <c r="A440" s="44"/>
      <c r="B440" s="38" t="s">
        <v>1536</v>
      </c>
      <c r="C440" s="38"/>
      <c r="D440" s="38"/>
      <c r="E440" s="38"/>
      <c r="F440" s="38"/>
      <c r="G440" s="38" t="s">
        <v>1505</v>
      </c>
      <c r="H440" s="38" t="s">
        <v>1505</v>
      </c>
      <c r="I440" s="38" t="s">
        <v>1505</v>
      </c>
      <c r="J440" s="38"/>
      <c r="K440" s="38"/>
      <c r="L440" s="42"/>
      <c r="M440" s="43"/>
      <c r="N440" s="43"/>
      <c r="O440" s="43"/>
      <c r="P440" s="43"/>
      <c r="Q440" s="43"/>
      <c r="R440" s="43"/>
    </row>
    <row r="441" spans="1:18">
      <c r="A441" s="44"/>
      <c r="B441" s="38" t="s">
        <v>1537</v>
      </c>
      <c r="C441" s="38"/>
      <c r="D441" s="38"/>
      <c r="E441" s="38"/>
      <c r="F441" s="38"/>
      <c r="G441" s="38" t="s">
        <v>981</v>
      </c>
      <c r="H441" s="38" t="s">
        <v>981</v>
      </c>
      <c r="I441" s="38" t="s">
        <v>981</v>
      </c>
      <c r="J441" s="38"/>
      <c r="K441" s="38"/>
      <c r="L441" s="42"/>
      <c r="M441" s="43"/>
      <c r="N441" s="43"/>
      <c r="O441" s="43"/>
      <c r="P441" s="43"/>
      <c r="Q441" s="43"/>
      <c r="R441" s="43"/>
    </row>
    <row r="442" spans="1:18">
      <c r="A442" s="44"/>
      <c r="B442" s="38" t="s">
        <v>1538</v>
      </c>
      <c r="C442" s="38"/>
      <c r="D442" s="38"/>
      <c r="E442" s="38"/>
      <c r="F442" s="38"/>
      <c r="G442" s="38" t="s">
        <v>917</v>
      </c>
      <c r="H442" s="38" t="s">
        <v>917</v>
      </c>
      <c r="I442" s="38" t="s">
        <v>917</v>
      </c>
      <c r="J442" s="38"/>
      <c r="K442" s="38"/>
      <c r="L442" s="42"/>
      <c r="M442" s="43"/>
      <c r="N442" s="43"/>
      <c r="O442" s="43"/>
      <c r="P442" s="43"/>
      <c r="Q442" s="43"/>
      <c r="R442" s="43"/>
    </row>
    <row r="443" spans="1:18">
      <c r="A443" s="44"/>
      <c r="B443" s="38" t="s">
        <v>1539</v>
      </c>
      <c r="C443" s="38"/>
      <c r="D443" s="38"/>
      <c r="E443" s="38"/>
      <c r="F443" s="38"/>
      <c r="G443" s="38" t="s">
        <v>1052</v>
      </c>
      <c r="H443" s="38" t="s">
        <v>1052</v>
      </c>
      <c r="I443" s="38" t="s">
        <v>1052</v>
      </c>
      <c r="J443" s="38"/>
      <c r="K443" s="38"/>
      <c r="L443" s="42"/>
      <c r="M443" s="43"/>
      <c r="N443" s="43"/>
      <c r="O443" s="43"/>
      <c r="P443" s="43"/>
      <c r="Q443" s="43"/>
      <c r="R443" s="43"/>
    </row>
    <row r="444" spans="1:18">
      <c r="A444" s="44"/>
      <c r="B444" s="38" t="s">
        <v>1540</v>
      </c>
      <c r="C444" s="38"/>
      <c r="D444" s="38"/>
      <c r="E444" s="38"/>
      <c r="F444" s="38"/>
      <c r="G444" s="38" t="s">
        <v>911</v>
      </c>
      <c r="H444" s="38" t="s">
        <v>911</v>
      </c>
      <c r="I444" s="38" t="s">
        <v>911</v>
      </c>
      <c r="J444" s="38"/>
      <c r="K444" s="38"/>
      <c r="L444" s="42"/>
      <c r="M444" s="43"/>
      <c r="N444" s="43"/>
      <c r="O444" s="43"/>
      <c r="P444" s="43"/>
      <c r="Q444" s="43"/>
      <c r="R444" s="43"/>
    </row>
    <row r="445" spans="1:18">
      <c r="A445" s="44"/>
      <c r="B445" s="38" t="s">
        <v>1541</v>
      </c>
      <c r="C445" s="38"/>
      <c r="D445" s="38"/>
      <c r="E445" s="38"/>
      <c r="F445" s="38"/>
      <c r="G445" s="38" t="s">
        <v>913</v>
      </c>
      <c r="H445" s="38" t="s">
        <v>913</v>
      </c>
      <c r="I445" s="38" t="s">
        <v>913</v>
      </c>
      <c r="J445" s="38"/>
      <c r="K445" s="38"/>
      <c r="L445" s="42"/>
      <c r="M445" s="43"/>
      <c r="N445" s="43"/>
      <c r="O445" s="43"/>
      <c r="P445" s="43"/>
      <c r="Q445" s="43"/>
      <c r="R445" s="43"/>
    </row>
    <row r="446" spans="1:18">
      <c r="A446" s="44"/>
      <c r="B446" s="38" t="s">
        <v>1542</v>
      </c>
      <c r="C446" s="38"/>
      <c r="D446" s="38"/>
      <c r="E446" s="38"/>
      <c r="F446" s="38"/>
      <c r="G446" s="38" t="s">
        <v>985</v>
      </c>
      <c r="H446" s="38" t="s">
        <v>985</v>
      </c>
      <c r="I446" s="38" t="s">
        <v>985</v>
      </c>
      <c r="J446" s="38"/>
      <c r="K446" s="38"/>
      <c r="L446" s="42"/>
      <c r="M446" s="43"/>
      <c r="N446" s="43"/>
      <c r="O446" s="43"/>
      <c r="P446" s="43"/>
      <c r="Q446" s="43"/>
      <c r="R446" s="43"/>
    </row>
    <row r="447" spans="1:18">
      <c r="A447" s="44"/>
      <c r="B447" s="38" t="s">
        <v>1543</v>
      </c>
      <c r="C447" s="38"/>
      <c r="D447" s="38"/>
      <c r="E447" s="38"/>
      <c r="F447" s="38"/>
      <c r="G447" s="38" t="s">
        <v>1148</v>
      </c>
      <c r="H447" s="38" t="s">
        <v>1148</v>
      </c>
      <c r="I447" s="38" t="s">
        <v>1148</v>
      </c>
      <c r="J447" s="38"/>
      <c r="K447" s="38"/>
      <c r="L447" s="42"/>
      <c r="M447" s="43"/>
      <c r="N447" s="43"/>
      <c r="O447" s="43"/>
      <c r="P447" s="43"/>
      <c r="Q447" s="43"/>
      <c r="R447" s="43"/>
    </row>
    <row r="448" spans="1:18">
      <c r="A448" s="44"/>
      <c r="B448" s="38" t="s">
        <v>1544</v>
      </c>
      <c r="C448" s="38"/>
      <c r="D448" s="38"/>
      <c r="E448" s="38"/>
      <c r="F448" s="38"/>
      <c r="G448" s="38" t="s">
        <v>983</v>
      </c>
      <c r="H448" s="38" t="s">
        <v>983</v>
      </c>
      <c r="I448" s="38" t="s">
        <v>983</v>
      </c>
      <c r="J448" s="38"/>
      <c r="K448" s="38"/>
      <c r="L448" s="42"/>
      <c r="M448" s="43"/>
      <c r="N448" s="43"/>
      <c r="O448" s="43"/>
      <c r="P448" s="43"/>
      <c r="Q448" s="43"/>
      <c r="R448" s="43"/>
    </row>
    <row r="449" spans="1:18">
      <c r="A449" s="44"/>
      <c r="B449" s="38" t="s">
        <v>1545</v>
      </c>
      <c r="C449" s="38"/>
      <c r="D449" s="38"/>
      <c r="E449" s="38"/>
      <c r="F449" s="38"/>
      <c r="G449" s="38" t="s">
        <v>1500</v>
      </c>
      <c r="H449" s="38" t="s">
        <v>1500</v>
      </c>
      <c r="I449" s="38" t="s">
        <v>1500</v>
      </c>
      <c r="J449" s="38"/>
      <c r="K449" s="38"/>
      <c r="L449" s="42"/>
      <c r="M449" s="43"/>
      <c r="N449" s="43"/>
      <c r="O449" s="43"/>
      <c r="P449" s="43"/>
      <c r="Q449" s="43"/>
      <c r="R449" s="43"/>
    </row>
    <row r="450" spans="1:18">
      <c r="A450" s="44"/>
      <c r="B450" s="38" t="s">
        <v>1546</v>
      </c>
      <c r="C450" s="38"/>
      <c r="D450" s="38"/>
      <c r="E450" s="38"/>
      <c r="F450" s="38"/>
      <c r="G450" s="38" t="s">
        <v>1148</v>
      </c>
      <c r="H450" s="38" t="s">
        <v>1148</v>
      </c>
      <c r="I450" s="38" t="s">
        <v>1148</v>
      </c>
      <c r="J450" s="38"/>
      <c r="K450" s="38"/>
      <c r="L450" s="42"/>
      <c r="M450" s="43"/>
      <c r="N450" s="43"/>
      <c r="O450" s="43"/>
      <c r="P450" s="43"/>
      <c r="Q450" s="43"/>
      <c r="R450" s="43"/>
    </row>
    <row r="451" spans="1:18">
      <c r="A451" s="44"/>
      <c r="B451" s="38" t="s">
        <v>1547</v>
      </c>
      <c r="C451" s="38"/>
      <c r="D451" s="38"/>
      <c r="E451" s="38"/>
      <c r="F451" s="38"/>
      <c r="G451" s="38" t="s">
        <v>983</v>
      </c>
      <c r="H451" s="38" t="s">
        <v>983</v>
      </c>
      <c r="I451" s="38" t="s">
        <v>983</v>
      </c>
      <c r="J451" s="38"/>
      <c r="K451" s="38"/>
      <c r="L451" s="42"/>
      <c r="M451" s="43"/>
      <c r="N451" s="43"/>
      <c r="O451" s="43"/>
      <c r="P451" s="43"/>
      <c r="Q451" s="43"/>
      <c r="R451" s="43"/>
    </row>
    <row r="452" spans="1:18">
      <c r="A452" s="44"/>
      <c r="B452" s="38" t="s">
        <v>1548</v>
      </c>
      <c r="C452" s="38"/>
      <c r="D452" s="38"/>
      <c r="E452" s="38"/>
      <c r="F452" s="38"/>
      <c r="G452" s="38" t="s">
        <v>919</v>
      </c>
      <c r="H452" s="38" t="s">
        <v>919</v>
      </c>
      <c r="I452" s="38" t="s">
        <v>919</v>
      </c>
      <c r="J452" s="38"/>
      <c r="K452" s="38"/>
      <c r="L452" s="42"/>
      <c r="M452" s="43"/>
      <c r="N452" s="43"/>
      <c r="O452" s="43"/>
      <c r="P452" s="43"/>
      <c r="Q452" s="43"/>
      <c r="R452" s="43"/>
    </row>
    <row r="453" spans="1:18">
      <c r="A453" s="44"/>
      <c r="B453" s="38" t="s">
        <v>1549</v>
      </c>
      <c r="C453" s="38"/>
      <c r="D453" s="38"/>
      <c r="E453" s="38"/>
      <c r="F453" s="38"/>
      <c r="G453" s="38" t="s">
        <v>1550</v>
      </c>
      <c r="H453" s="38" t="s">
        <v>1550</v>
      </c>
      <c r="I453" s="38" t="s">
        <v>1550</v>
      </c>
      <c r="J453" s="38"/>
      <c r="K453" s="38"/>
      <c r="L453" s="42"/>
      <c r="M453" s="43"/>
      <c r="N453" s="43"/>
      <c r="O453" s="43"/>
      <c r="P453" s="43"/>
      <c r="Q453" s="43"/>
      <c r="R453" s="43"/>
    </row>
    <row r="454" spans="1:18">
      <c r="A454" s="44"/>
      <c r="B454" s="38" t="s">
        <v>1551</v>
      </c>
      <c r="C454" s="38"/>
      <c r="D454" s="38"/>
      <c r="E454" s="38"/>
      <c r="F454" s="38"/>
      <c r="G454" s="38" t="s">
        <v>1550</v>
      </c>
      <c r="H454" s="38" t="s">
        <v>1550</v>
      </c>
      <c r="I454" s="38" t="s">
        <v>1550</v>
      </c>
      <c r="J454" s="38"/>
      <c r="K454" s="38"/>
      <c r="L454" s="42"/>
      <c r="M454" s="43"/>
      <c r="N454" s="43"/>
      <c r="O454" s="43"/>
      <c r="P454" s="43"/>
      <c r="Q454" s="43"/>
      <c r="R454" s="43"/>
    </row>
    <row r="455" spans="1:18">
      <c r="A455" s="44"/>
      <c r="B455" s="38" t="s">
        <v>1552</v>
      </c>
      <c r="C455" s="38"/>
      <c r="D455" s="38"/>
      <c r="E455" s="38"/>
      <c r="F455" s="38"/>
      <c r="G455" s="38" t="s">
        <v>1265</v>
      </c>
      <c r="H455" s="38" t="s">
        <v>1265</v>
      </c>
      <c r="I455" s="38" t="s">
        <v>1265</v>
      </c>
      <c r="J455" s="38"/>
      <c r="K455" s="38"/>
      <c r="L455" s="42"/>
      <c r="M455" s="43"/>
      <c r="N455" s="43"/>
      <c r="O455" s="43"/>
      <c r="P455" s="43"/>
      <c r="Q455" s="43"/>
      <c r="R455" s="43"/>
    </row>
    <row r="456" spans="1:18">
      <c r="A456" s="44"/>
      <c r="B456" s="38" t="s">
        <v>1553</v>
      </c>
      <c r="C456" s="38"/>
      <c r="D456" s="38"/>
      <c r="E456" s="38"/>
      <c r="F456" s="38"/>
      <c r="G456" s="38" t="s">
        <v>1265</v>
      </c>
      <c r="H456" s="38" t="s">
        <v>1265</v>
      </c>
      <c r="I456" s="38" t="s">
        <v>1265</v>
      </c>
      <c r="J456" s="38"/>
      <c r="K456" s="38"/>
      <c r="L456" s="42"/>
      <c r="M456" s="43"/>
      <c r="N456" s="43"/>
      <c r="O456" s="43"/>
      <c r="P456" s="43"/>
      <c r="Q456" s="43"/>
      <c r="R456" s="43"/>
    </row>
    <row r="457" spans="1:18">
      <c r="A457" s="44"/>
      <c r="B457" s="38" t="s">
        <v>1554</v>
      </c>
      <c r="C457" s="38"/>
      <c r="D457" s="38"/>
      <c r="E457" s="38"/>
      <c r="F457" s="38"/>
      <c r="G457" s="38" t="s">
        <v>1555</v>
      </c>
      <c r="H457" s="38" t="s">
        <v>1555</v>
      </c>
      <c r="I457" s="38" t="s">
        <v>1555</v>
      </c>
      <c r="J457" s="38"/>
      <c r="K457" s="38"/>
      <c r="L457" s="42"/>
      <c r="M457" s="43"/>
      <c r="N457" s="43"/>
      <c r="O457" s="43"/>
      <c r="P457" s="43"/>
      <c r="Q457" s="43"/>
      <c r="R457" s="43"/>
    </row>
    <row r="458" spans="1:18">
      <c r="A458" s="44"/>
      <c r="B458" s="38" t="s">
        <v>1556</v>
      </c>
      <c r="C458" s="38"/>
      <c r="D458" s="38"/>
      <c r="E458" s="38"/>
      <c r="F458" s="38"/>
      <c r="G458" s="38" t="s">
        <v>1240</v>
      </c>
      <c r="H458" s="38" t="s">
        <v>1240</v>
      </c>
      <c r="I458" s="38" t="s">
        <v>1240</v>
      </c>
      <c r="J458" s="38"/>
      <c r="K458" s="38"/>
      <c r="L458" s="42"/>
      <c r="M458" s="43"/>
      <c r="N458" s="43"/>
      <c r="O458" s="43"/>
      <c r="P458" s="43"/>
      <c r="Q458" s="43"/>
      <c r="R458" s="43"/>
    </row>
    <row r="459" spans="1:18">
      <c r="A459" s="44"/>
      <c r="B459" s="38" t="s">
        <v>1557</v>
      </c>
      <c r="C459" s="38"/>
      <c r="D459" s="38"/>
      <c r="E459" s="38"/>
      <c r="F459" s="38"/>
      <c r="G459" s="38" t="s">
        <v>1240</v>
      </c>
      <c r="H459" s="38" t="s">
        <v>1240</v>
      </c>
      <c r="I459" s="38" t="s">
        <v>1240</v>
      </c>
      <c r="J459" s="38"/>
      <c r="K459" s="38"/>
      <c r="L459" s="42"/>
      <c r="M459" s="43"/>
      <c r="N459" s="43"/>
      <c r="O459" s="43"/>
      <c r="P459" s="43"/>
      <c r="Q459" s="43"/>
      <c r="R459" s="43"/>
    </row>
    <row r="460" spans="1:18">
      <c r="A460" s="44"/>
      <c r="B460" s="38" t="s">
        <v>1558</v>
      </c>
      <c r="C460" s="38"/>
      <c r="D460" s="38"/>
      <c r="E460" s="38"/>
      <c r="F460" s="38"/>
      <c r="G460" s="38" t="s">
        <v>1559</v>
      </c>
      <c r="H460" s="38" t="s">
        <v>1559</v>
      </c>
      <c r="I460" s="38" t="s">
        <v>1559</v>
      </c>
      <c r="J460" s="38"/>
      <c r="K460" s="38"/>
      <c r="L460" s="42"/>
      <c r="M460" s="43"/>
      <c r="N460" s="43"/>
      <c r="O460" s="43"/>
      <c r="P460" s="43"/>
      <c r="Q460" s="43"/>
      <c r="R460" s="43"/>
    </row>
    <row r="461" spans="1:18">
      <c r="A461" s="44"/>
      <c r="B461" s="38" t="s">
        <v>1560</v>
      </c>
      <c r="C461" s="38"/>
      <c r="D461" s="38"/>
      <c r="E461" s="38"/>
      <c r="F461" s="38"/>
      <c r="G461" s="38" t="s">
        <v>1240</v>
      </c>
      <c r="H461" s="38" t="s">
        <v>1240</v>
      </c>
      <c r="I461" s="38" t="s">
        <v>1240</v>
      </c>
      <c r="J461" s="38"/>
      <c r="K461" s="38"/>
      <c r="L461" s="42"/>
      <c r="M461" s="43"/>
      <c r="N461" s="43"/>
      <c r="O461" s="43"/>
      <c r="P461" s="43"/>
      <c r="Q461" s="43"/>
      <c r="R461" s="43"/>
    </row>
    <row r="462" spans="1:18">
      <c r="A462" s="44"/>
      <c r="B462" s="38" t="s">
        <v>1561</v>
      </c>
      <c r="C462" s="38"/>
      <c r="D462" s="38"/>
      <c r="E462" s="38"/>
      <c r="F462" s="38"/>
      <c r="G462" s="38" t="s">
        <v>1240</v>
      </c>
      <c r="H462" s="38" t="s">
        <v>1240</v>
      </c>
      <c r="I462" s="38" t="s">
        <v>1240</v>
      </c>
      <c r="J462" s="38"/>
      <c r="K462" s="38"/>
      <c r="L462" s="42"/>
      <c r="M462" s="43"/>
      <c r="N462" s="43"/>
      <c r="O462" s="43"/>
      <c r="P462" s="43"/>
      <c r="Q462" s="43"/>
      <c r="R462" s="43"/>
    </row>
    <row r="463" spans="1:18">
      <c r="A463" s="44"/>
      <c r="B463" s="38" t="s">
        <v>1562</v>
      </c>
      <c r="C463" s="38"/>
      <c r="D463" s="38"/>
      <c r="E463" s="38"/>
      <c r="F463" s="38"/>
      <c r="G463" s="38" t="s">
        <v>1358</v>
      </c>
      <c r="H463" s="38" t="s">
        <v>1358</v>
      </c>
      <c r="I463" s="38" t="s">
        <v>1358</v>
      </c>
      <c r="J463" s="38"/>
      <c r="K463" s="38"/>
      <c r="L463" s="42"/>
      <c r="M463" s="43"/>
      <c r="N463" s="43"/>
      <c r="O463" s="43"/>
      <c r="P463" s="43"/>
      <c r="Q463" s="43"/>
      <c r="R463" s="43"/>
    </row>
    <row r="464" spans="1:18">
      <c r="A464" s="44"/>
      <c r="B464" s="38" t="s">
        <v>1563</v>
      </c>
      <c r="C464" s="38"/>
      <c r="D464" s="38"/>
      <c r="E464" s="38"/>
      <c r="F464" s="38"/>
      <c r="G464" s="38" t="s">
        <v>1009</v>
      </c>
      <c r="H464" s="38" t="s">
        <v>1009</v>
      </c>
      <c r="I464" s="38" t="s">
        <v>1009</v>
      </c>
      <c r="J464" s="38"/>
      <c r="K464" s="38"/>
      <c r="L464" s="42"/>
      <c r="M464" s="43"/>
      <c r="N464" s="43"/>
      <c r="O464" s="43"/>
      <c r="P464" s="43"/>
      <c r="Q464" s="43"/>
      <c r="R464" s="43"/>
    </row>
    <row r="465" spans="1:18">
      <c r="A465" s="44"/>
      <c r="B465" s="38" t="s">
        <v>1564</v>
      </c>
      <c r="C465" s="38"/>
      <c r="D465" s="38"/>
      <c r="E465" s="38"/>
      <c r="F465" s="38"/>
      <c r="G465" s="38" t="s">
        <v>1019</v>
      </c>
      <c r="H465" s="38" t="s">
        <v>1019</v>
      </c>
      <c r="I465" s="38" t="s">
        <v>1019</v>
      </c>
      <c r="J465" s="38"/>
      <c r="K465" s="38"/>
      <c r="L465" s="42"/>
      <c r="M465" s="43"/>
      <c r="N465" s="43"/>
      <c r="O465" s="43"/>
      <c r="P465" s="43"/>
      <c r="Q465" s="43"/>
      <c r="R465" s="43"/>
    </row>
    <row r="466" spans="1:18">
      <c r="A466" s="44"/>
      <c r="B466" s="38" t="s">
        <v>1565</v>
      </c>
      <c r="C466" s="38"/>
      <c r="D466" s="38"/>
      <c r="E466" s="38"/>
      <c r="F466" s="38"/>
      <c r="G466" s="38" t="s">
        <v>1437</v>
      </c>
      <c r="H466" s="38" t="s">
        <v>1437</v>
      </c>
      <c r="I466" s="38" t="s">
        <v>1437</v>
      </c>
      <c r="J466" s="38"/>
      <c r="K466" s="38"/>
      <c r="L466" s="42"/>
      <c r="M466" s="43"/>
      <c r="N466" s="43"/>
      <c r="O466" s="43"/>
      <c r="P466" s="43"/>
      <c r="Q466" s="43"/>
      <c r="R466" s="43"/>
    </row>
    <row r="467" spans="1:18">
      <c r="A467" s="44"/>
      <c r="B467" s="38" t="s">
        <v>1566</v>
      </c>
      <c r="C467" s="38"/>
      <c r="D467" s="38"/>
      <c r="E467" s="38"/>
      <c r="F467" s="38"/>
      <c r="G467" s="38" t="s">
        <v>1007</v>
      </c>
      <c r="H467" s="38" t="s">
        <v>1007</v>
      </c>
      <c r="I467" s="38" t="s">
        <v>1007</v>
      </c>
      <c r="J467" s="38"/>
      <c r="K467" s="38"/>
      <c r="L467" s="42"/>
      <c r="M467" s="43"/>
      <c r="N467" s="43"/>
      <c r="O467" s="43"/>
      <c r="P467" s="43"/>
      <c r="Q467" s="43"/>
      <c r="R467" s="43"/>
    </row>
    <row r="468" spans="1:18">
      <c r="A468" s="44"/>
      <c r="B468" s="38" t="s">
        <v>1567</v>
      </c>
      <c r="C468" s="38"/>
      <c r="D468" s="38"/>
      <c r="E468" s="38"/>
      <c r="F468" s="38"/>
      <c r="G468" s="38" t="s">
        <v>1009</v>
      </c>
      <c r="H468" s="38" t="s">
        <v>1009</v>
      </c>
      <c r="I468" s="38" t="s">
        <v>1009</v>
      </c>
      <c r="J468" s="38"/>
      <c r="K468" s="38"/>
      <c r="L468" s="42"/>
      <c r="M468" s="43"/>
      <c r="N468" s="43"/>
      <c r="O468" s="43"/>
      <c r="P468" s="43"/>
      <c r="Q468" s="43"/>
      <c r="R468" s="43"/>
    </row>
    <row r="469" spans="1:18">
      <c r="A469" s="44"/>
      <c r="B469" s="38" t="s">
        <v>1568</v>
      </c>
      <c r="C469" s="38"/>
      <c r="D469" s="38"/>
      <c r="E469" s="38"/>
      <c r="F469" s="38"/>
      <c r="G469" s="38" t="s">
        <v>1569</v>
      </c>
      <c r="H469" s="38" t="s">
        <v>1569</v>
      </c>
      <c r="I469" s="38" t="s">
        <v>1569</v>
      </c>
      <c r="J469" s="38"/>
      <c r="K469" s="38"/>
      <c r="L469" s="42"/>
      <c r="M469" s="43"/>
      <c r="N469" s="43"/>
      <c r="O469" s="43"/>
      <c r="P469" s="43"/>
      <c r="Q469" s="43"/>
      <c r="R469" s="43"/>
    </row>
    <row r="470" spans="1:18">
      <c r="A470" s="44"/>
      <c r="B470" s="38" t="s">
        <v>1570</v>
      </c>
      <c r="C470" s="38"/>
      <c r="D470" s="38"/>
      <c r="E470" s="38"/>
      <c r="F470" s="38"/>
      <c r="G470" s="38" t="s">
        <v>1339</v>
      </c>
      <c r="H470" s="38" t="s">
        <v>1339</v>
      </c>
      <c r="I470" s="38" t="s">
        <v>1339</v>
      </c>
      <c r="J470" s="38"/>
      <c r="K470" s="38"/>
      <c r="L470" s="42"/>
      <c r="M470" s="43"/>
      <c r="N470" s="43"/>
      <c r="O470" s="43"/>
      <c r="P470" s="43"/>
      <c r="Q470" s="43"/>
      <c r="R470" s="43"/>
    </row>
    <row r="471" spans="1:18">
      <c r="A471" s="44"/>
      <c r="B471" s="38" t="s">
        <v>1571</v>
      </c>
      <c r="C471" s="38"/>
      <c r="D471" s="38"/>
      <c r="E471" s="38"/>
      <c r="F471" s="38"/>
      <c r="G471" s="38" t="s">
        <v>1339</v>
      </c>
      <c r="H471" s="38" t="s">
        <v>1339</v>
      </c>
      <c r="I471" s="38" t="s">
        <v>1339</v>
      </c>
      <c r="J471" s="38"/>
      <c r="K471" s="38"/>
      <c r="L471" s="42"/>
      <c r="M471" s="43"/>
      <c r="N471" s="43"/>
      <c r="O471" s="43"/>
      <c r="P471" s="43"/>
      <c r="Q471" s="43"/>
      <c r="R471" s="43"/>
    </row>
    <row r="472" spans="1:18">
      <c r="A472" s="44"/>
      <c r="B472" s="38" t="s">
        <v>1572</v>
      </c>
      <c r="C472" s="38"/>
      <c r="D472" s="38"/>
      <c r="E472" s="38"/>
      <c r="F472" s="38"/>
      <c r="G472" s="38" t="s">
        <v>1573</v>
      </c>
      <c r="H472" s="38" t="s">
        <v>1573</v>
      </c>
      <c r="I472" s="38" t="s">
        <v>1573</v>
      </c>
      <c r="J472" s="38"/>
      <c r="K472" s="38"/>
      <c r="L472" s="42"/>
      <c r="M472" s="43"/>
      <c r="N472" s="43"/>
      <c r="O472" s="43"/>
      <c r="P472" s="43"/>
      <c r="Q472" s="43"/>
      <c r="R472" s="43"/>
    </row>
    <row r="473" spans="1:18">
      <c r="A473" s="44"/>
      <c r="B473" s="38" t="s">
        <v>1574</v>
      </c>
      <c r="C473" s="38"/>
      <c r="D473" s="38"/>
      <c r="E473" s="38"/>
      <c r="F473" s="38"/>
      <c r="G473" s="38" t="s">
        <v>1575</v>
      </c>
      <c r="H473" s="38" t="s">
        <v>1575</v>
      </c>
      <c r="I473" s="38" t="s">
        <v>1575</v>
      </c>
      <c r="J473" s="38"/>
      <c r="K473" s="38"/>
      <c r="L473" s="42"/>
      <c r="M473" s="43"/>
      <c r="N473" s="43"/>
      <c r="O473" s="43"/>
      <c r="P473" s="43"/>
      <c r="Q473" s="43"/>
      <c r="R473" s="43"/>
    </row>
    <row r="474" spans="1:18">
      <c r="A474" s="44" t="s">
        <v>1576</v>
      </c>
      <c r="B474" s="38" t="s">
        <v>1577</v>
      </c>
      <c r="C474" s="38"/>
      <c r="D474" s="38"/>
      <c r="E474" s="38"/>
      <c r="F474" s="38"/>
      <c r="G474" s="38" t="s">
        <v>1578</v>
      </c>
      <c r="H474" s="38" t="s">
        <v>1578</v>
      </c>
      <c r="I474" s="38" t="s">
        <v>1578</v>
      </c>
      <c r="J474" s="38"/>
      <c r="K474" s="38"/>
      <c r="L474" s="42"/>
      <c r="M474" s="43"/>
      <c r="N474" s="43"/>
      <c r="O474" s="43"/>
      <c r="P474" s="43"/>
      <c r="Q474" s="43"/>
      <c r="R474" s="43"/>
    </row>
    <row r="475" spans="1:18">
      <c r="A475" s="44"/>
      <c r="B475" s="38" t="s">
        <v>1579</v>
      </c>
      <c r="C475" s="38"/>
      <c r="D475" s="38"/>
      <c r="E475" s="38"/>
      <c r="F475" s="38"/>
      <c r="G475" s="38" t="s">
        <v>1580</v>
      </c>
      <c r="H475" s="38" t="s">
        <v>1580</v>
      </c>
      <c r="I475" s="38" t="s">
        <v>1580</v>
      </c>
      <c r="J475" s="38"/>
      <c r="K475" s="38"/>
      <c r="L475" s="42"/>
      <c r="M475" s="43"/>
      <c r="N475" s="43"/>
      <c r="O475" s="43"/>
      <c r="P475" s="43"/>
      <c r="Q475" s="43"/>
      <c r="R475" s="43"/>
    </row>
    <row r="476" spans="1:18">
      <c r="A476" s="44"/>
      <c r="B476" s="38" t="s">
        <v>1581</v>
      </c>
      <c r="C476" s="38"/>
      <c r="D476" s="38"/>
      <c r="E476" s="38"/>
      <c r="F476" s="38"/>
      <c r="G476" s="38" t="s">
        <v>1112</v>
      </c>
      <c r="H476" s="38" t="s">
        <v>1112</v>
      </c>
      <c r="I476" s="38" t="s">
        <v>1112</v>
      </c>
      <c r="J476" s="38"/>
      <c r="K476" s="38"/>
      <c r="L476" s="42"/>
      <c r="M476" s="43"/>
      <c r="N476" s="43"/>
      <c r="O476" s="43"/>
      <c r="P476" s="43"/>
      <c r="Q476" s="43"/>
      <c r="R476" s="43"/>
    </row>
    <row r="477" spans="1:18">
      <c r="A477" s="44" t="s">
        <v>1576</v>
      </c>
      <c r="B477" s="38" t="s">
        <v>1582</v>
      </c>
      <c r="C477" s="38"/>
      <c r="D477" s="38"/>
      <c r="E477" s="38"/>
      <c r="F477" s="38"/>
      <c r="G477" s="38" t="s">
        <v>942</v>
      </c>
      <c r="H477" s="38" t="s">
        <v>942</v>
      </c>
      <c r="I477" s="38" t="s">
        <v>942</v>
      </c>
      <c r="J477" s="38"/>
      <c r="K477" s="38"/>
      <c r="L477" s="42"/>
      <c r="M477" s="43"/>
      <c r="N477" s="43"/>
      <c r="O477" s="43"/>
      <c r="P477" s="43"/>
      <c r="Q477" s="43"/>
      <c r="R477" s="43"/>
    </row>
    <row r="478" spans="1:18">
      <c r="A478" s="44"/>
      <c r="B478" s="38" t="s">
        <v>1583</v>
      </c>
      <c r="C478" s="38"/>
      <c r="D478" s="38"/>
      <c r="E478" s="38"/>
      <c r="F478" s="38"/>
      <c r="G478" s="38" t="s">
        <v>1148</v>
      </c>
      <c r="H478" s="38" t="s">
        <v>1148</v>
      </c>
      <c r="I478" s="38" t="s">
        <v>1148</v>
      </c>
      <c r="J478" s="38"/>
      <c r="K478" s="38"/>
      <c r="L478" s="42"/>
      <c r="M478" s="43"/>
      <c r="N478" s="43"/>
      <c r="O478" s="43"/>
      <c r="P478" s="43"/>
      <c r="Q478" s="43"/>
      <c r="R478" s="43"/>
    </row>
    <row r="479" spans="1:18">
      <c r="A479" s="44"/>
      <c r="B479" s="38" t="s">
        <v>1584</v>
      </c>
      <c r="C479" s="38"/>
      <c r="D479" s="38"/>
      <c r="E479" s="38"/>
      <c r="F479" s="38"/>
      <c r="G479" s="38" t="s">
        <v>1055</v>
      </c>
      <c r="H479" s="38" t="s">
        <v>1055</v>
      </c>
      <c r="I479" s="38" t="s">
        <v>1055</v>
      </c>
      <c r="J479" s="38"/>
      <c r="K479" s="38"/>
      <c r="L479" s="42"/>
      <c r="M479" s="43"/>
      <c r="N479" s="43"/>
      <c r="O479" s="43"/>
      <c r="P479" s="43"/>
      <c r="Q479" s="43"/>
      <c r="R479" s="43"/>
    </row>
    <row r="480" spans="1:18">
      <c r="A480" s="44"/>
      <c r="B480" s="38" t="s">
        <v>1585</v>
      </c>
      <c r="C480" s="38"/>
      <c r="D480" s="38"/>
      <c r="E480" s="38"/>
      <c r="F480" s="38"/>
      <c r="G480" s="38" t="s">
        <v>1586</v>
      </c>
      <c r="H480" s="38" t="s">
        <v>1586</v>
      </c>
      <c r="I480" s="38" t="s">
        <v>1586</v>
      </c>
      <c r="J480" s="38"/>
      <c r="K480" s="38"/>
      <c r="L480" s="42"/>
      <c r="M480" s="43"/>
      <c r="N480" s="43"/>
      <c r="O480" s="43"/>
      <c r="P480" s="43"/>
      <c r="Q480" s="43"/>
      <c r="R480" s="43"/>
    </row>
    <row r="481" spans="1:18">
      <c r="A481" s="44"/>
      <c r="B481" s="38" t="s">
        <v>1587</v>
      </c>
      <c r="C481" s="38"/>
      <c r="D481" s="38"/>
      <c r="E481" s="38"/>
      <c r="F481" s="38"/>
      <c r="G481" s="38" t="s">
        <v>1586</v>
      </c>
      <c r="H481" s="38" t="s">
        <v>1586</v>
      </c>
      <c r="I481" s="38" t="s">
        <v>1586</v>
      </c>
      <c r="J481" s="38"/>
      <c r="K481" s="38"/>
      <c r="L481" s="42"/>
      <c r="M481" s="43"/>
      <c r="N481" s="43"/>
      <c r="O481" s="43"/>
      <c r="P481" s="43"/>
      <c r="Q481" s="43"/>
      <c r="R481" s="43"/>
    </row>
    <row r="482" spans="1:18">
      <c r="A482" s="44"/>
      <c r="B482" s="38" t="s">
        <v>1588</v>
      </c>
      <c r="C482" s="38"/>
      <c r="D482" s="38"/>
      <c r="E482" s="38"/>
      <c r="F482" s="38"/>
      <c r="G482" s="38" t="s">
        <v>1589</v>
      </c>
      <c r="H482" s="38" t="s">
        <v>1589</v>
      </c>
      <c r="I482" s="38" t="s">
        <v>1589</v>
      </c>
      <c r="J482" s="38"/>
      <c r="K482" s="38"/>
      <c r="L482" s="42"/>
      <c r="M482" s="43"/>
      <c r="N482" s="43"/>
      <c r="O482" s="43"/>
      <c r="P482" s="43"/>
      <c r="Q482" s="43"/>
      <c r="R482" s="43"/>
    </row>
    <row r="483" spans="1:18">
      <c r="A483" s="44"/>
      <c r="B483" s="38" t="s">
        <v>1590</v>
      </c>
      <c r="C483" s="38"/>
      <c r="D483" s="38"/>
      <c r="E483" s="38"/>
      <c r="F483" s="38"/>
      <c r="G483" s="38" t="s">
        <v>1186</v>
      </c>
      <c r="H483" s="38" t="s">
        <v>1186</v>
      </c>
      <c r="I483" s="38" t="s">
        <v>1186</v>
      </c>
      <c r="J483" s="38"/>
      <c r="K483" s="38"/>
      <c r="L483" s="42"/>
      <c r="M483" s="43"/>
      <c r="N483" s="43"/>
      <c r="O483" s="43"/>
      <c r="P483" s="43"/>
      <c r="Q483" s="43"/>
      <c r="R483" s="43"/>
    </row>
    <row r="484" spans="1:18">
      <c r="A484" s="44"/>
      <c r="B484" s="38" t="s">
        <v>1591</v>
      </c>
      <c r="C484" s="38"/>
      <c r="D484" s="38"/>
      <c r="E484" s="38"/>
      <c r="F484" s="38"/>
      <c r="G484" s="38" t="s">
        <v>1186</v>
      </c>
      <c r="H484" s="38" t="s">
        <v>1186</v>
      </c>
      <c r="I484" s="38" t="s">
        <v>1186</v>
      </c>
      <c r="J484" s="38"/>
      <c r="K484" s="38"/>
      <c r="L484" s="42"/>
      <c r="M484" s="43"/>
      <c r="N484" s="43"/>
      <c r="O484" s="43"/>
      <c r="P484" s="43"/>
      <c r="Q484" s="43"/>
      <c r="R484" s="43"/>
    </row>
    <row r="485" spans="1:18">
      <c r="A485" s="44"/>
      <c r="B485" s="38" t="s">
        <v>1592</v>
      </c>
      <c r="C485" s="38"/>
      <c r="D485" s="38"/>
      <c r="E485" s="38"/>
      <c r="F485" s="38"/>
      <c r="G485" s="38" t="s">
        <v>1156</v>
      </c>
      <c r="H485" s="38" t="s">
        <v>1412</v>
      </c>
      <c r="I485" s="38" t="s">
        <v>1156</v>
      </c>
      <c r="J485" s="38"/>
      <c r="K485" s="38"/>
      <c r="L485" s="42"/>
      <c r="M485" s="43"/>
      <c r="N485" s="43"/>
      <c r="O485" s="43"/>
      <c r="P485" s="43"/>
      <c r="Q485" s="43"/>
      <c r="R485" s="43"/>
    </row>
    <row r="486" spans="1:18">
      <c r="A486" s="44"/>
      <c r="B486" s="38" t="s">
        <v>1593</v>
      </c>
      <c r="C486" s="38"/>
      <c r="D486" s="38"/>
      <c r="E486" s="38"/>
      <c r="F486" s="38"/>
      <c r="G486" s="38" t="s">
        <v>1416</v>
      </c>
      <c r="H486" s="38" t="s">
        <v>1416</v>
      </c>
      <c r="I486" s="38" t="s">
        <v>1416</v>
      </c>
      <c r="J486" s="38"/>
      <c r="K486" s="38"/>
      <c r="L486" s="42"/>
      <c r="M486" s="43"/>
      <c r="N486" s="43"/>
      <c r="O486" s="43"/>
      <c r="P486" s="43"/>
      <c r="Q486" s="43"/>
      <c r="R486" s="43"/>
    </row>
    <row r="487" spans="1:18">
      <c r="A487" s="44"/>
      <c r="B487" s="38" t="s">
        <v>1594</v>
      </c>
      <c r="C487" s="38"/>
      <c r="D487" s="38"/>
      <c r="E487" s="38"/>
      <c r="F487" s="38"/>
      <c r="G487" s="38" t="s">
        <v>1052</v>
      </c>
      <c r="H487" s="38" t="s">
        <v>1052</v>
      </c>
      <c r="I487" s="38" t="s">
        <v>1052</v>
      </c>
      <c r="J487" s="38"/>
      <c r="K487" s="38"/>
      <c r="L487" s="42"/>
      <c r="M487" s="43"/>
      <c r="N487" s="43"/>
      <c r="O487" s="43"/>
      <c r="P487" s="43"/>
      <c r="Q487" s="43"/>
      <c r="R487" s="43"/>
    </row>
    <row r="488" spans="1:18">
      <c r="A488" s="44"/>
      <c r="B488" s="38" t="s">
        <v>1595</v>
      </c>
      <c r="C488" s="38"/>
      <c r="D488" s="38"/>
      <c r="E488" s="38"/>
      <c r="F488" s="38"/>
      <c r="G488" s="38" t="s">
        <v>1596</v>
      </c>
      <c r="H488" s="38" t="s">
        <v>1596</v>
      </c>
      <c r="I488" s="38" t="s">
        <v>1596</v>
      </c>
      <c r="J488" s="38"/>
      <c r="K488" s="38"/>
      <c r="L488" s="42"/>
      <c r="M488" s="43"/>
      <c r="N488" s="43"/>
      <c r="O488" s="43"/>
      <c r="P488" s="43"/>
      <c r="Q488" s="43"/>
      <c r="R488" s="43"/>
    </row>
    <row r="489" spans="1:18">
      <c r="A489" s="44"/>
      <c r="B489" s="38" t="s">
        <v>1597</v>
      </c>
      <c r="C489" s="38"/>
      <c r="D489" s="38"/>
      <c r="E489" s="38"/>
      <c r="F489" s="38"/>
      <c r="G489" s="38" t="s">
        <v>1151</v>
      </c>
      <c r="H489" s="38" t="s">
        <v>1151</v>
      </c>
      <c r="I489" s="38" t="s">
        <v>1151</v>
      </c>
      <c r="J489" s="38"/>
      <c r="K489" s="38"/>
      <c r="L489" s="42"/>
      <c r="M489" s="43"/>
      <c r="N489" s="43"/>
      <c r="O489" s="43"/>
      <c r="P489" s="43"/>
      <c r="Q489" s="43"/>
      <c r="R489" s="43"/>
    </row>
    <row r="490" spans="1:18">
      <c r="A490" s="44"/>
      <c r="B490" s="38" t="s">
        <v>1598</v>
      </c>
      <c r="C490" s="38"/>
      <c r="D490" s="38"/>
      <c r="E490" s="38"/>
      <c r="F490" s="38"/>
      <c r="G490" s="38" t="s">
        <v>1151</v>
      </c>
      <c r="H490" s="38" t="s">
        <v>1151</v>
      </c>
      <c r="I490" s="38" t="s">
        <v>1151</v>
      </c>
      <c r="J490" s="38"/>
      <c r="K490" s="38"/>
      <c r="L490" s="42"/>
      <c r="M490" s="43"/>
      <c r="N490" s="43"/>
      <c r="O490" s="43"/>
      <c r="P490" s="43"/>
      <c r="Q490" s="43"/>
      <c r="R490" s="43"/>
    </row>
    <row r="491" spans="1:18">
      <c r="A491" s="44"/>
      <c r="B491" s="38" t="s">
        <v>1599</v>
      </c>
      <c r="C491" s="38"/>
      <c r="D491" s="38"/>
      <c r="E491" s="38"/>
      <c r="F491" s="38"/>
      <c r="G491" s="38" t="s">
        <v>1155</v>
      </c>
      <c r="H491" s="38" t="s">
        <v>1155</v>
      </c>
      <c r="I491" s="38" t="s">
        <v>1155</v>
      </c>
      <c r="J491" s="38"/>
      <c r="K491" s="38"/>
      <c r="L491" s="42"/>
      <c r="M491" s="43"/>
      <c r="N491" s="43"/>
      <c r="O491" s="43"/>
      <c r="P491" s="43"/>
      <c r="Q491" s="43"/>
      <c r="R491" s="43"/>
    </row>
    <row r="492" spans="1:18">
      <c r="A492" s="44"/>
      <c r="B492" s="38" t="s">
        <v>1600</v>
      </c>
      <c r="C492" s="38"/>
      <c r="D492" s="38"/>
      <c r="E492" s="38"/>
      <c r="F492" s="38"/>
      <c r="G492" s="38" t="s">
        <v>966</v>
      </c>
      <c r="H492" s="38" t="s">
        <v>966</v>
      </c>
      <c r="I492" s="38" t="s">
        <v>966</v>
      </c>
      <c r="J492" s="38"/>
      <c r="K492" s="38"/>
      <c r="L492" s="42"/>
      <c r="M492" s="43"/>
      <c r="N492" s="43"/>
      <c r="O492" s="43"/>
      <c r="P492" s="43"/>
      <c r="Q492" s="43"/>
      <c r="R492" s="43"/>
    </row>
    <row r="493" spans="1:18">
      <c r="A493" s="44"/>
      <c r="B493" s="38" t="s">
        <v>1601</v>
      </c>
      <c r="C493" s="38"/>
      <c r="D493" s="38"/>
      <c r="E493" s="38"/>
      <c r="F493" s="38"/>
      <c r="G493" s="38" t="s">
        <v>968</v>
      </c>
      <c r="H493" s="38" t="s">
        <v>968</v>
      </c>
      <c r="I493" s="38" t="s">
        <v>968</v>
      </c>
      <c r="J493" s="38"/>
      <c r="K493" s="38"/>
      <c r="L493" s="42"/>
      <c r="M493" s="43"/>
      <c r="N493" s="43"/>
      <c r="O493" s="43"/>
      <c r="P493" s="43"/>
      <c r="Q493" s="43"/>
      <c r="R493" s="43"/>
    </row>
    <row r="494" spans="1:18">
      <c r="A494" s="44"/>
      <c r="B494" s="38" t="s">
        <v>1602</v>
      </c>
      <c r="C494" s="38"/>
      <c r="D494" s="38"/>
      <c r="E494" s="38"/>
      <c r="F494" s="38"/>
      <c r="G494" s="38" t="s">
        <v>931</v>
      </c>
      <c r="H494" s="38" t="s">
        <v>931</v>
      </c>
      <c r="I494" s="38" t="s">
        <v>931</v>
      </c>
      <c r="J494" s="38"/>
      <c r="K494" s="38"/>
      <c r="L494" s="42"/>
      <c r="M494" s="43"/>
      <c r="N494" s="43"/>
      <c r="O494" s="43"/>
      <c r="P494" s="43"/>
      <c r="Q494" s="43"/>
      <c r="R494" s="43"/>
    </row>
    <row r="495" spans="1:18">
      <c r="A495" s="44"/>
      <c r="B495" s="38" t="s">
        <v>1603</v>
      </c>
      <c r="C495" s="38"/>
      <c r="D495" s="38"/>
      <c r="E495" s="38"/>
      <c r="F495" s="38"/>
      <c r="G495" s="38" t="s">
        <v>1604</v>
      </c>
      <c r="H495" s="38" t="s">
        <v>1604</v>
      </c>
      <c r="I495" s="38" t="s">
        <v>1604</v>
      </c>
      <c r="J495" s="38"/>
      <c r="K495" s="38"/>
      <c r="L495" s="42"/>
      <c r="M495" s="43"/>
      <c r="N495" s="43"/>
      <c r="O495" s="43"/>
      <c r="P495" s="43"/>
      <c r="Q495" s="43"/>
      <c r="R495" s="43"/>
    </row>
    <row r="496" spans="1:18">
      <c r="A496" s="44"/>
      <c r="B496" s="38" t="s">
        <v>1605</v>
      </c>
      <c r="C496" s="38"/>
      <c r="D496" s="38"/>
      <c r="E496" s="38"/>
      <c r="F496" s="38"/>
      <c r="G496" s="38" t="s">
        <v>1057</v>
      </c>
      <c r="H496" s="38" t="s">
        <v>1057</v>
      </c>
      <c r="I496" s="38" t="s">
        <v>1057</v>
      </c>
      <c r="J496" s="38"/>
      <c r="K496" s="38"/>
      <c r="L496" s="42"/>
      <c r="M496" s="43"/>
      <c r="N496" s="43"/>
      <c r="O496" s="43"/>
      <c r="P496" s="43"/>
      <c r="Q496" s="43"/>
      <c r="R496" s="43"/>
    </row>
    <row r="497" spans="1:18">
      <c r="A497" s="44"/>
      <c r="B497" s="38" t="s">
        <v>1606</v>
      </c>
      <c r="C497" s="38"/>
      <c r="D497" s="38"/>
      <c r="E497" s="38"/>
      <c r="F497" s="38"/>
      <c r="G497" s="38" t="s">
        <v>1052</v>
      </c>
      <c r="H497" s="38" t="s">
        <v>1002</v>
      </c>
      <c r="I497" s="38" t="s">
        <v>1052</v>
      </c>
      <c r="J497" s="38"/>
      <c r="K497" s="38"/>
      <c r="L497" s="42"/>
      <c r="M497" s="43"/>
      <c r="N497" s="43"/>
      <c r="O497" s="43"/>
      <c r="P497" s="43"/>
      <c r="Q497" s="43"/>
      <c r="R497" s="43"/>
    </row>
    <row r="498" spans="1:18">
      <c r="A498" s="44"/>
      <c r="B498" s="38" t="s">
        <v>1607</v>
      </c>
      <c r="C498" s="38"/>
      <c r="D498" s="38"/>
      <c r="E498" s="38"/>
      <c r="F498" s="38"/>
      <c r="G498" s="38" t="s">
        <v>1002</v>
      </c>
      <c r="H498" s="38" t="s">
        <v>987</v>
      </c>
      <c r="I498" s="38" t="s">
        <v>1002</v>
      </c>
      <c r="J498" s="38"/>
      <c r="K498" s="38"/>
      <c r="L498" s="42"/>
      <c r="M498" s="43"/>
      <c r="N498" s="43"/>
      <c r="O498" s="43"/>
      <c r="P498" s="43"/>
      <c r="Q498" s="43"/>
      <c r="R498" s="43"/>
    </row>
    <row r="499" spans="1:18">
      <c r="A499" s="44"/>
      <c r="B499" s="38" t="s">
        <v>1608</v>
      </c>
      <c r="C499" s="38"/>
      <c r="D499" s="38"/>
      <c r="E499" s="38"/>
      <c r="F499" s="38"/>
      <c r="G499" s="38" t="s">
        <v>1112</v>
      </c>
      <c r="H499" s="38" t="s">
        <v>1112</v>
      </c>
      <c r="I499" s="38" t="s">
        <v>1112</v>
      </c>
      <c r="J499" s="38"/>
      <c r="K499" s="38"/>
      <c r="L499" s="42"/>
      <c r="M499" s="43"/>
      <c r="N499" s="43"/>
      <c r="O499" s="43"/>
      <c r="P499" s="43"/>
      <c r="Q499" s="43"/>
      <c r="R499" s="43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workbookViewId="0">
      <selection activeCell="A1" sqref="A1"/>
    </sheetView>
  </sheetViews>
  <sheetFormatPr defaultColWidth="11" defaultRowHeight="17.6"/>
  <cols>
    <col min="1" max="2" width="10.8303571428571" customWidth="1"/>
    <col min="3" max="3" width="40.1696428571429" customWidth="1"/>
    <col min="4" max="4" width="21.3303571428571" customWidth="1"/>
    <col min="5" max="23" width="10.8303571428571" customWidth="1"/>
  </cols>
  <sheetData>
    <row r="1" ht="61" spans="1:23">
      <c r="A1" s="10" t="s">
        <v>73</v>
      </c>
      <c r="B1" s="11" t="s">
        <v>1609</v>
      </c>
      <c r="C1" s="12" t="s">
        <v>1610</v>
      </c>
      <c r="D1" s="12" t="s">
        <v>1611</v>
      </c>
      <c r="E1" s="12" t="s">
        <v>1612</v>
      </c>
      <c r="F1" s="12" t="s">
        <v>1613</v>
      </c>
      <c r="G1" s="12" t="s">
        <v>1614</v>
      </c>
      <c r="H1" s="12" t="s">
        <v>1615</v>
      </c>
      <c r="I1" s="19" t="s">
        <v>1616</v>
      </c>
      <c r="J1" s="18" t="s">
        <v>1617</v>
      </c>
      <c r="K1" s="18" t="s">
        <v>1618</v>
      </c>
      <c r="L1" s="18" t="s">
        <v>1619</v>
      </c>
      <c r="M1" s="22" t="s">
        <v>1620</v>
      </c>
      <c r="N1" s="10" t="s">
        <v>1621</v>
      </c>
      <c r="O1" s="10" t="s">
        <v>1622</v>
      </c>
      <c r="P1" s="10" t="s">
        <v>1623</v>
      </c>
      <c r="Q1" s="10" t="s">
        <v>1624</v>
      </c>
      <c r="R1" s="21"/>
      <c r="S1" s="23" t="s">
        <v>1625</v>
      </c>
      <c r="T1" s="23" t="s">
        <v>1626</v>
      </c>
      <c r="U1" s="23" t="s">
        <v>1627</v>
      </c>
      <c r="V1" s="23" t="s">
        <v>1628</v>
      </c>
      <c r="W1" s="28" t="s">
        <v>1629</v>
      </c>
    </row>
    <row r="2" ht="107" spans="1:23">
      <c r="A2" s="13">
        <v>0.2</v>
      </c>
      <c r="B2" s="11" t="s">
        <v>1630</v>
      </c>
      <c r="C2" s="12" t="s">
        <v>1631</v>
      </c>
      <c r="D2" s="12" t="s">
        <v>1632</v>
      </c>
      <c r="E2" s="12" t="s">
        <v>1633</v>
      </c>
      <c r="F2" s="18">
        <v>5</v>
      </c>
      <c r="G2" s="18">
        <v>8</v>
      </c>
      <c r="H2" s="18">
        <v>12</v>
      </c>
      <c r="I2" s="19">
        <v>8</v>
      </c>
      <c r="J2" s="18">
        <v>8</v>
      </c>
      <c r="K2" s="20">
        <v>9.333</v>
      </c>
      <c r="L2" s="18">
        <v>7.333333333</v>
      </c>
      <c r="M2" s="22" t="s">
        <v>1634</v>
      </c>
      <c r="N2" s="10">
        <v>5.1</v>
      </c>
      <c r="O2" s="10">
        <v>0</v>
      </c>
      <c r="P2" s="10"/>
      <c r="Q2" s="10"/>
      <c r="R2" s="21"/>
      <c r="S2" s="24">
        <v>12.34</v>
      </c>
      <c r="T2" s="25">
        <v>11.89</v>
      </c>
      <c r="U2" s="24">
        <v>15.45</v>
      </c>
      <c r="V2" s="25">
        <v>13.227</v>
      </c>
      <c r="W2" s="29" t="s">
        <v>32</v>
      </c>
    </row>
    <row r="3" ht="107" spans="1:23">
      <c r="A3" s="14"/>
      <c r="B3" s="11" t="s">
        <v>1630</v>
      </c>
      <c r="C3" s="12" t="s">
        <v>1635</v>
      </c>
      <c r="D3" s="12" t="s">
        <v>1636</v>
      </c>
      <c r="E3" s="12" t="s">
        <v>1633</v>
      </c>
      <c r="F3" s="18">
        <v>2</v>
      </c>
      <c r="G3" s="18">
        <v>3</v>
      </c>
      <c r="H3" s="18">
        <v>5</v>
      </c>
      <c r="I3" s="19">
        <v>3</v>
      </c>
      <c r="J3" s="18">
        <v>8</v>
      </c>
      <c r="K3" s="20">
        <v>5.333</v>
      </c>
      <c r="L3" s="18">
        <v>4</v>
      </c>
      <c r="M3" s="22" t="s">
        <v>1637</v>
      </c>
      <c r="N3" s="10">
        <v>1.88</v>
      </c>
      <c r="O3" s="10"/>
      <c r="P3" s="10"/>
      <c r="Q3" s="10"/>
      <c r="R3" s="21"/>
      <c r="S3" s="25">
        <v>4.13</v>
      </c>
      <c r="T3" s="25">
        <v>4.21</v>
      </c>
      <c r="U3" s="25">
        <v>4.08</v>
      </c>
      <c r="V3" s="25">
        <v>4.14</v>
      </c>
      <c r="W3" s="21"/>
    </row>
    <row r="4" ht="61" spans="1:23">
      <c r="A4" s="15">
        <v>0.08</v>
      </c>
      <c r="B4" s="11" t="s">
        <v>1638</v>
      </c>
      <c r="C4" s="12" t="s">
        <v>1639</v>
      </c>
      <c r="D4" s="12" t="s">
        <v>1640</v>
      </c>
      <c r="E4" s="12" t="s">
        <v>1641</v>
      </c>
      <c r="F4" s="18">
        <v>200</v>
      </c>
      <c r="G4" s="18">
        <v>350</v>
      </c>
      <c r="H4" s="18">
        <v>500</v>
      </c>
      <c r="I4" s="19">
        <v>200</v>
      </c>
      <c r="J4" s="18">
        <v>4</v>
      </c>
      <c r="K4" s="20">
        <v>234.667</v>
      </c>
      <c r="L4" s="18">
        <v>9.537777778</v>
      </c>
      <c r="M4" s="22" t="s">
        <v>1642</v>
      </c>
      <c r="N4" s="21"/>
      <c r="O4" s="21"/>
      <c r="P4" s="21"/>
      <c r="Q4" s="21"/>
      <c r="R4" s="21"/>
      <c r="S4" s="25">
        <v>1367</v>
      </c>
      <c r="T4" s="26">
        <v>1582</v>
      </c>
      <c r="U4" s="26">
        <v>1494</v>
      </c>
      <c r="V4" s="25">
        <v>1481</v>
      </c>
      <c r="W4" s="29"/>
    </row>
    <row r="5" ht="61" spans="1:23">
      <c r="A5" s="16"/>
      <c r="B5" s="11"/>
      <c r="C5" s="12" t="s">
        <v>1643</v>
      </c>
      <c r="D5" s="12" t="s">
        <v>1644</v>
      </c>
      <c r="E5" s="12" t="s">
        <v>1641</v>
      </c>
      <c r="F5" s="18">
        <v>200</v>
      </c>
      <c r="G5" s="18">
        <v>350</v>
      </c>
      <c r="H5" s="18">
        <v>500</v>
      </c>
      <c r="I5" s="19">
        <v>200</v>
      </c>
      <c r="J5" s="18">
        <v>4</v>
      </c>
      <c r="K5" s="20">
        <v>234.667</v>
      </c>
      <c r="L5" s="18">
        <v>9.537777778</v>
      </c>
      <c r="M5" s="22" t="s">
        <v>1642</v>
      </c>
      <c r="N5" s="21"/>
      <c r="O5" s="21"/>
      <c r="P5" s="21"/>
      <c r="Q5" s="21"/>
      <c r="R5" s="21"/>
      <c r="S5" s="26">
        <v>223</v>
      </c>
      <c r="T5" s="26">
        <v>195</v>
      </c>
      <c r="U5" s="26">
        <v>185</v>
      </c>
      <c r="V5" s="25">
        <v>201</v>
      </c>
      <c r="W5" s="29"/>
    </row>
    <row r="6" spans="1:23">
      <c r="A6" s="13">
        <v>0.04</v>
      </c>
      <c r="B6" s="11" t="s">
        <v>1645</v>
      </c>
      <c r="C6" s="17"/>
      <c r="D6" s="12" t="s">
        <v>1646</v>
      </c>
      <c r="E6" s="12" t="s">
        <v>1647</v>
      </c>
      <c r="F6" s="18">
        <v>300</v>
      </c>
      <c r="G6" s="18">
        <v>350</v>
      </c>
      <c r="H6" s="18">
        <v>500</v>
      </c>
      <c r="I6" s="19">
        <v>500</v>
      </c>
      <c r="J6" s="18">
        <v>0.6</v>
      </c>
      <c r="K6" s="20">
        <v>333.533</v>
      </c>
      <c r="L6" s="18">
        <v>0.733155556</v>
      </c>
      <c r="M6" s="22"/>
      <c r="N6" s="10"/>
      <c r="O6" s="10"/>
      <c r="P6" s="10"/>
      <c r="Q6" s="10"/>
      <c r="R6" s="21"/>
      <c r="S6" s="24">
        <v>386</v>
      </c>
      <c r="T6" s="24">
        <v>405</v>
      </c>
      <c r="U6" s="24">
        <v>391</v>
      </c>
      <c r="V6" s="25">
        <v>394</v>
      </c>
      <c r="W6" s="21"/>
    </row>
    <row r="7" spans="1:23">
      <c r="A7" s="14"/>
      <c r="B7" s="11"/>
      <c r="C7" s="12"/>
      <c r="D7" s="12" t="s">
        <v>1648</v>
      </c>
      <c r="E7" s="12" t="s">
        <v>1647</v>
      </c>
      <c r="F7" s="18">
        <v>300</v>
      </c>
      <c r="G7" s="18">
        <v>350</v>
      </c>
      <c r="H7" s="18">
        <v>500</v>
      </c>
      <c r="I7" s="19">
        <v>500</v>
      </c>
      <c r="J7" s="18">
        <v>0.6</v>
      </c>
      <c r="K7" s="20">
        <v>333.533</v>
      </c>
      <c r="L7" s="18">
        <v>0.7776</v>
      </c>
      <c r="M7" s="22"/>
      <c r="N7" s="10"/>
      <c r="O7" s="10"/>
      <c r="P7" s="10"/>
      <c r="Q7" s="10"/>
      <c r="R7" s="21"/>
      <c r="S7" s="24">
        <v>321</v>
      </c>
      <c r="T7" s="24">
        <v>332</v>
      </c>
      <c r="U7" s="24">
        <v>335</v>
      </c>
      <c r="V7" s="25">
        <v>329.333</v>
      </c>
      <c r="W7" s="21"/>
    </row>
    <row r="8" spans="1:23">
      <c r="A8" s="14"/>
      <c r="B8" s="11"/>
      <c r="C8" s="12"/>
      <c r="D8" s="12" t="s">
        <v>1649</v>
      </c>
      <c r="E8" s="12" t="s">
        <v>1647</v>
      </c>
      <c r="F8" s="18">
        <v>300</v>
      </c>
      <c r="G8" s="18">
        <v>350</v>
      </c>
      <c r="H8" s="18">
        <v>500</v>
      </c>
      <c r="I8" s="19">
        <v>700</v>
      </c>
      <c r="J8" s="18">
        <v>0.4</v>
      </c>
      <c r="K8" s="20">
        <v>400.133</v>
      </c>
      <c r="L8" s="18">
        <v>0.733155556</v>
      </c>
      <c r="M8" s="22"/>
      <c r="N8" s="10"/>
      <c r="O8" s="10"/>
      <c r="P8" s="10"/>
      <c r="Q8" s="10"/>
      <c r="R8" s="21"/>
      <c r="S8" s="24">
        <v>510</v>
      </c>
      <c r="T8" s="24">
        <v>514</v>
      </c>
      <c r="U8" s="24">
        <v>523</v>
      </c>
      <c r="V8" s="25">
        <v>515.667</v>
      </c>
      <c r="W8" s="21"/>
    </row>
    <row r="9" spans="1:23">
      <c r="A9" s="14"/>
      <c r="B9" s="11"/>
      <c r="C9" s="12"/>
      <c r="D9" s="12" t="s">
        <v>1650</v>
      </c>
      <c r="E9" s="12" t="s">
        <v>1647</v>
      </c>
      <c r="F9" s="18">
        <v>300</v>
      </c>
      <c r="G9" s="18">
        <v>350</v>
      </c>
      <c r="H9" s="18">
        <v>500</v>
      </c>
      <c r="I9" s="19">
        <v>600</v>
      </c>
      <c r="J9" s="18">
        <v>0.4</v>
      </c>
      <c r="K9" s="20">
        <v>366.8</v>
      </c>
      <c r="L9" s="18">
        <v>0.4</v>
      </c>
      <c r="M9" s="22"/>
      <c r="N9" s="10"/>
      <c r="O9" s="10"/>
      <c r="P9" s="10"/>
      <c r="Q9" s="10"/>
      <c r="R9" s="21"/>
      <c r="S9" s="24">
        <v>403</v>
      </c>
      <c r="T9" s="24">
        <v>416</v>
      </c>
      <c r="U9" s="24">
        <v>418</v>
      </c>
      <c r="V9" s="25">
        <v>412.333</v>
      </c>
      <c r="W9" s="21"/>
    </row>
    <row r="10" ht="46" spans="1:23">
      <c r="A10" s="13">
        <v>0.03</v>
      </c>
      <c r="B10" s="11" t="s">
        <v>1651</v>
      </c>
      <c r="C10" s="17" t="s">
        <v>1652</v>
      </c>
      <c r="D10" s="12" t="s">
        <v>1653</v>
      </c>
      <c r="E10" s="12" t="s">
        <v>1654</v>
      </c>
      <c r="F10" s="18">
        <v>15</v>
      </c>
      <c r="G10" s="18">
        <v>12</v>
      </c>
      <c r="H10" s="18">
        <v>10</v>
      </c>
      <c r="I10" s="19">
        <v>15</v>
      </c>
      <c r="J10" s="18">
        <v>1</v>
      </c>
      <c r="K10" s="10">
        <v>1064</v>
      </c>
      <c r="L10" s="18">
        <v>0.733155556</v>
      </c>
      <c r="M10" s="22" t="s">
        <v>1655</v>
      </c>
      <c r="N10" s="21"/>
      <c r="O10" s="21"/>
      <c r="P10" s="21"/>
      <c r="Q10" s="10"/>
      <c r="R10" s="21"/>
      <c r="S10" s="26">
        <v>12</v>
      </c>
      <c r="T10" s="26">
        <v>11</v>
      </c>
      <c r="U10" s="26">
        <v>15</v>
      </c>
      <c r="V10" s="25">
        <v>12.67</v>
      </c>
      <c r="W10" s="29"/>
    </row>
    <row r="11" ht="31" spans="1:23">
      <c r="A11" s="14"/>
      <c r="B11" s="11"/>
      <c r="C11" s="12"/>
      <c r="D11" s="12" t="s">
        <v>1656</v>
      </c>
      <c r="E11" s="12" t="s">
        <v>1654</v>
      </c>
      <c r="F11" s="18">
        <v>15</v>
      </c>
      <c r="G11" s="18">
        <v>12</v>
      </c>
      <c r="H11" s="18">
        <v>10</v>
      </c>
      <c r="I11" s="19">
        <v>15</v>
      </c>
      <c r="J11" s="18">
        <v>1</v>
      </c>
      <c r="K11" s="10">
        <v>15.28</v>
      </c>
      <c r="L11" s="18">
        <v>0.7776</v>
      </c>
      <c r="M11" s="22" t="s">
        <v>1655</v>
      </c>
      <c r="N11" s="21"/>
      <c r="O11" s="21"/>
      <c r="P11" s="21"/>
      <c r="Q11" s="10"/>
      <c r="R11" s="21"/>
      <c r="S11" s="26">
        <v>11</v>
      </c>
      <c r="T11" s="26">
        <v>13</v>
      </c>
      <c r="U11" s="26">
        <v>14</v>
      </c>
      <c r="V11" s="25">
        <v>12.67</v>
      </c>
      <c r="W11" s="29"/>
    </row>
    <row r="12" ht="46" spans="1:23">
      <c r="A12" s="14"/>
      <c r="B12" s="11"/>
      <c r="C12" s="12"/>
      <c r="D12" s="12" t="s">
        <v>1657</v>
      </c>
      <c r="E12" s="12" t="s">
        <v>1654</v>
      </c>
      <c r="F12" s="18">
        <v>15</v>
      </c>
      <c r="G12" s="18">
        <v>12</v>
      </c>
      <c r="H12" s="18">
        <v>10</v>
      </c>
      <c r="I12" s="19">
        <v>15</v>
      </c>
      <c r="J12" s="18">
        <v>1</v>
      </c>
      <c r="K12" s="10">
        <v>77.43</v>
      </c>
      <c r="L12" s="18">
        <v>0.4</v>
      </c>
      <c r="M12" s="22" t="s">
        <v>1655</v>
      </c>
      <c r="N12" s="21"/>
      <c r="O12" s="21"/>
      <c r="P12" s="21"/>
      <c r="Q12" s="10"/>
      <c r="R12" s="21"/>
      <c r="S12" s="26">
        <v>15</v>
      </c>
      <c r="T12" s="26">
        <v>18</v>
      </c>
      <c r="U12" s="26">
        <v>14</v>
      </c>
      <c r="V12" s="25">
        <v>15.67</v>
      </c>
      <c r="W12" s="29"/>
    </row>
    <row r="13" ht="176" spans="1:23">
      <c r="A13" s="13">
        <v>0.03</v>
      </c>
      <c r="B13" s="11" t="s">
        <v>1658</v>
      </c>
      <c r="C13" s="12" t="s">
        <v>1659</v>
      </c>
      <c r="D13" s="12" t="s">
        <v>1660</v>
      </c>
      <c r="E13" s="12" t="s">
        <v>1641</v>
      </c>
      <c r="F13" s="18">
        <v>200</v>
      </c>
      <c r="G13" s="18">
        <v>800</v>
      </c>
      <c r="H13" s="18">
        <v>1000</v>
      </c>
      <c r="I13" s="19">
        <v>300</v>
      </c>
      <c r="J13" s="18">
        <v>0.966666667</v>
      </c>
      <c r="K13" s="20">
        <v>433.6555556</v>
      </c>
      <c r="L13" s="18">
        <v>9.221148148</v>
      </c>
      <c r="M13" s="22" t="s">
        <v>1661</v>
      </c>
      <c r="N13" s="10"/>
      <c r="O13" s="10"/>
      <c r="P13" s="10"/>
      <c r="Q13" s="10" t="s">
        <v>1662</v>
      </c>
      <c r="R13" s="21"/>
      <c r="S13" s="25">
        <v>521</v>
      </c>
      <c r="T13" s="25">
        <v>674</v>
      </c>
      <c r="U13" s="25">
        <v>584</v>
      </c>
      <c r="V13" s="25">
        <v>593</v>
      </c>
      <c r="W13" s="21"/>
    </row>
    <row r="14" ht="46" spans="1:23">
      <c r="A14" s="14"/>
      <c r="B14" s="11"/>
      <c r="C14" s="12" t="s">
        <v>1663</v>
      </c>
      <c r="D14" s="12" t="s">
        <v>1664</v>
      </c>
      <c r="E14" s="12" t="s">
        <v>1641</v>
      </c>
      <c r="F14" s="18">
        <v>200</v>
      </c>
      <c r="G14" s="18">
        <v>800</v>
      </c>
      <c r="H14" s="18">
        <v>1000</v>
      </c>
      <c r="I14" s="19">
        <v>300</v>
      </c>
      <c r="J14" s="18">
        <v>0.966666667</v>
      </c>
      <c r="K14" s="20">
        <v>433.6555556</v>
      </c>
      <c r="L14" s="18">
        <v>9.221148148</v>
      </c>
      <c r="M14" s="22"/>
      <c r="N14" s="10"/>
      <c r="O14" s="10"/>
      <c r="P14" s="10"/>
      <c r="Q14" s="10"/>
      <c r="R14" s="21"/>
      <c r="S14" s="25">
        <v>681</v>
      </c>
      <c r="T14" s="25">
        <v>734</v>
      </c>
      <c r="U14" s="25">
        <v>712</v>
      </c>
      <c r="V14" s="25">
        <v>709</v>
      </c>
      <c r="W14" s="21"/>
    </row>
    <row r="15" ht="46" spans="1:23">
      <c r="A15" s="14"/>
      <c r="B15" s="11"/>
      <c r="C15" s="12" t="s">
        <v>1659</v>
      </c>
      <c r="D15" s="12" t="s">
        <v>1665</v>
      </c>
      <c r="E15" s="12" t="s">
        <v>1641</v>
      </c>
      <c r="F15" s="18">
        <v>200</v>
      </c>
      <c r="G15" s="18">
        <v>800</v>
      </c>
      <c r="H15" s="18">
        <v>1000</v>
      </c>
      <c r="I15" s="19">
        <v>300</v>
      </c>
      <c r="J15" s="18">
        <v>0.966666667</v>
      </c>
      <c r="K15" s="20">
        <v>433.6555556</v>
      </c>
      <c r="L15" s="18">
        <v>9.221148148</v>
      </c>
      <c r="M15" s="22"/>
      <c r="N15" s="10"/>
      <c r="O15" s="10"/>
      <c r="P15" s="10"/>
      <c r="Q15" s="10"/>
      <c r="R15" s="21"/>
      <c r="S15" s="25">
        <v>643</v>
      </c>
      <c r="T15" s="25">
        <v>728</v>
      </c>
      <c r="U15" s="25">
        <v>642</v>
      </c>
      <c r="V15" s="25">
        <v>671</v>
      </c>
      <c r="W15" s="21"/>
    </row>
    <row r="16" ht="71" spans="1:23">
      <c r="A16" s="13">
        <v>0.02</v>
      </c>
      <c r="B16" s="11" t="s">
        <v>1666</v>
      </c>
      <c r="C16" s="12" t="s">
        <v>1667</v>
      </c>
      <c r="D16" s="12" t="s">
        <v>1668</v>
      </c>
      <c r="E16" s="12" t="s">
        <v>1641</v>
      </c>
      <c r="F16" s="18">
        <v>200</v>
      </c>
      <c r="G16" s="18">
        <v>800</v>
      </c>
      <c r="H16" s="18">
        <v>1000</v>
      </c>
      <c r="I16" s="19">
        <v>800</v>
      </c>
      <c r="J16" s="18">
        <v>0.8</v>
      </c>
      <c r="K16" s="20">
        <v>600.2666667</v>
      </c>
      <c r="L16" s="18">
        <v>8.665777778</v>
      </c>
      <c r="M16" s="22" t="s">
        <v>1669</v>
      </c>
      <c r="N16" s="10"/>
      <c r="O16" s="10"/>
      <c r="P16" s="10"/>
      <c r="Q16" s="10" t="s">
        <v>1670</v>
      </c>
      <c r="R16" s="21"/>
      <c r="S16" s="25">
        <v>574</v>
      </c>
      <c r="T16" s="25">
        <v>566</v>
      </c>
      <c r="U16" s="25">
        <v>588</v>
      </c>
      <c r="V16" s="25">
        <v>576</v>
      </c>
      <c r="W16" s="21"/>
    </row>
    <row r="17" ht="46" spans="1:23">
      <c r="A17" s="14"/>
      <c r="B17" s="11"/>
      <c r="C17" s="12" t="s">
        <v>1671</v>
      </c>
      <c r="D17" s="12" t="s">
        <v>1672</v>
      </c>
      <c r="E17" s="12" t="s">
        <v>1641</v>
      </c>
      <c r="F17" s="18">
        <v>200</v>
      </c>
      <c r="G17" s="18">
        <v>800</v>
      </c>
      <c r="H17" s="18">
        <v>1000</v>
      </c>
      <c r="I17" s="19">
        <v>800</v>
      </c>
      <c r="J17" s="18">
        <v>0.8</v>
      </c>
      <c r="K17" s="20">
        <v>600.2666667</v>
      </c>
      <c r="L17" s="18">
        <v>8.665777778</v>
      </c>
      <c r="M17" s="22"/>
      <c r="N17" s="10"/>
      <c r="O17" s="10"/>
      <c r="P17" s="10"/>
      <c r="Q17" s="10"/>
      <c r="R17" s="21"/>
      <c r="S17" s="25">
        <v>656</v>
      </c>
      <c r="T17" s="25">
        <v>533</v>
      </c>
      <c r="U17" s="25">
        <v>647</v>
      </c>
      <c r="V17" s="25">
        <v>612</v>
      </c>
      <c r="W17" s="21"/>
    </row>
    <row r="18" ht="107" spans="1:23">
      <c r="A18" s="15">
        <v>0.1</v>
      </c>
      <c r="B18" s="11" t="s">
        <v>1673</v>
      </c>
      <c r="C18" s="12" t="s">
        <v>1674</v>
      </c>
      <c r="D18" s="12" t="s">
        <v>1675</v>
      </c>
      <c r="E18" s="12" t="s">
        <v>1641</v>
      </c>
      <c r="F18" s="18">
        <v>1000</v>
      </c>
      <c r="G18" s="18">
        <v>2000</v>
      </c>
      <c r="H18" s="18">
        <v>3000</v>
      </c>
      <c r="I18" s="19">
        <v>1300</v>
      </c>
      <c r="J18" s="18">
        <v>2.35</v>
      </c>
      <c r="K18" s="20">
        <v>1434.116667</v>
      </c>
      <c r="L18" s="18">
        <v>9.131766667</v>
      </c>
      <c r="M18" s="22" t="s">
        <v>1676</v>
      </c>
      <c r="N18" s="10"/>
      <c r="O18" s="10"/>
      <c r="P18" s="10"/>
      <c r="Q18" s="10" t="s">
        <v>1677</v>
      </c>
      <c r="R18" s="21"/>
      <c r="S18" s="25">
        <v>1538</v>
      </c>
      <c r="T18" s="25">
        <v>1484</v>
      </c>
      <c r="U18" s="25">
        <v>1748</v>
      </c>
      <c r="V18" s="25">
        <v>1590</v>
      </c>
      <c r="W18" s="21"/>
    </row>
    <row r="19" ht="46" spans="1:23">
      <c r="A19" s="16"/>
      <c r="B19" s="11"/>
      <c r="C19" s="12" t="s">
        <v>1678</v>
      </c>
      <c r="D19" s="12" t="s">
        <v>640</v>
      </c>
      <c r="E19" s="12" t="s">
        <v>1641</v>
      </c>
      <c r="F19" s="18">
        <v>1000</v>
      </c>
      <c r="G19" s="18">
        <v>2000</v>
      </c>
      <c r="H19" s="18">
        <v>3000</v>
      </c>
      <c r="I19" s="19">
        <v>1300</v>
      </c>
      <c r="J19" s="18">
        <v>2.35</v>
      </c>
      <c r="K19" s="20">
        <v>1434.116667</v>
      </c>
      <c r="L19" s="18">
        <v>9.131766667</v>
      </c>
      <c r="M19" s="22"/>
      <c r="N19" s="10"/>
      <c r="O19" s="10"/>
      <c r="P19" s="10"/>
      <c r="Q19" s="10"/>
      <c r="R19" s="21"/>
      <c r="S19" s="25">
        <v>1832</v>
      </c>
      <c r="T19" s="25">
        <v>1836</v>
      </c>
      <c r="U19" s="25">
        <v>1951</v>
      </c>
      <c r="V19" s="25">
        <v>1873</v>
      </c>
      <c r="W19" s="21"/>
    </row>
    <row r="20" ht="46" spans="1:23">
      <c r="A20" s="16"/>
      <c r="B20" s="11"/>
      <c r="C20" s="12" t="s">
        <v>1679</v>
      </c>
      <c r="D20" s="12" t="s">
        <v>641</v>
      </c>
      <c r="E20" s="12" t="s">
        <v>1641</v>
      </c>
      <c r="F20" s="18">
        <v>1000</v>
      </c>
      <c r="G20" s="18">
        <v>2000</v>
      </c>
      <c r="H20" s="18">
        <v>3000</v>
      </c>
      <c r="I20" s="19">
        <v>2000</v>
      </c>
      <c r="J20" s="18">
        <v>2</v>
      </c>
      <c r="K20" s="20">
        <v>1667.333333</v>
      </c>
      <c r="L20" s="18">
        <v>8.665333333</v>
      </c>
      <c r="M20" s="22"/>
      <c r="N20" s="10"/>
      <c r="O20" s="10"/>
      <c r="P20" s="10"/>
      <c r="Q20" s="10"/>
      <c r="R20" s="21"/>
      <c r="S20" s="25">
        <v>1947</v>
      </c>
      <c r="T20" s="25">
        <v>1973</v>
      </c>
      <c r="U20" s="25">
        <v>1954</v>
      </c>
      <c r="V20" s="25">
        <v>1958</v>
      </c>
      <c r="W20" s="21"/>
    </row>
    <row r="21" ht="46" spans="1:23">
      <c r="A21" s="16"/>
      <c r="B21" s="11"/>
      <c r="C21" s="12" t="s">
        <v>1680</v>
      </c>
      <c r="D21" s="12" t="s">
        <v>642</v>
      </c>
      <c r="E21" s="12" t="s">
        <v>1641</v>
      </c>
      <c r="F21" s="18">
        <v>2000</v>
      </c>
      <c r="G21" s="18">
        <v>3000</v>
      </c>
      <c r="H21" s="18">
        <v>3000</v>
      </c>
      <c r="I21" s="19">
        <v>2500</v>
      </c>
      <c r="J21" s="18">
        <v>2.25</v>
      </c>
      <c r="K21" s="20">
        <v>1834.083333</v>
      </c>
      <c r="L21" s="18">
        <v>10</v>
      </c>
      <c r="M21" s="22"/>
      <c r="N21" s="10"/>
      <c r="O21" s="10"/>
      <c r="P21" s="10"/>
      <c r="Q21" s="10"/>
      <c r="R21" s="21"/>
      <c r="S21" s="25">
        <v>2272</v>
      </c>
      <c r="T21" s="25">
        <v>2184</v>
      </c>
      <c r="U21" s="25">
        <v>2363</v>
      </c>
      <c r="V21" s="25">
        <v>2273</v>
      </c>
      <c r="W21" s="21"/>
    </row>
    <row r="22" ht="76" spans="1:23">
      <c r="A22" s="15">
        <v>0.2</v>
      </c>
      <c r="B22" s="11" t="s">
        <v>1681</v>
      </c>
      <c r="C22" s="12" t="s">
        <v>1682</v>
      </c>
      <c r="D22" s="12" t="s">
        <v>1683</v>
      </c>
      <c r="E22" s="12" t="s">
        <v>1633</v>
      </c>
      <c r="F22" s="18">
        <v>1</v>
      </c>
      <c r="G22" s="18">
        <v>3</v>
      </c>
      <c r="H22" s="18">
        <v>5</v>
      </c>
      <c r="I22" s="19">
        <v>1.5</v>
      </c>
      <c r="J22" s="18">
        <v>1.727272727</v>
      </c>
      <c r="K22" s="20">
        <v>2.742424242</v>
      </c>
      <c r="L22" s="18">
        <v>8.257575758</v>
      </c>
      <c r="M22" s="22" t="s">
        <v>1684</v>
      </c>
      <c r="N22" s="10"/>
      <c r="O22" s="10"/>
      <c r="P22" s="10"/>
      <c r="Q22" s="10" t="s">
        <v>1685</v>
      </c>
      <c r="R22" s="21"/>
      <c r="S22" s="25">
        <v>1.45</v>
      </c>
      <c r="T22" s="25">
        <v>1.43</v>
      </c>
      <c r="U22" s="25">
        <v>1.833</v>
      </c>
      <c r="V22" s="25">
        <v>1.571</v>
      </c>
      <c r="W22" s="21"/>
    </row>
    <row r="23" ht="61" spans="1:23">
      <c r="A23" s="16"/>
      <c r="B23" s="11"/>
      <c r="C23" s="12" t="s">
        <v>1682</v>
      </c>
      <c r="D23" s="12" t="s">
        <v>1686</v>
      </c>
      <c r="E23" s="12" t="s">
        <v>1633</v>
      </c>
      <c r="F23" s="18">
        <v>1</v>
      </c>
      <c r="G23" s="18">
        <v>3</v>
      </c>
      <c r="H23" s="18">
        <v>5</v>
      </c>
      <c r="I23" s="19">
        <v>2</v>
      </c>
      <c r="J23" s="18">
        <v>1.636363636</v>
      </c>
      <c r="K23" s="20">
        <v>2.878787879</v>
      </c>
      <c r="L23" s="18">
        <v>8.121212121</v>
      </c>
      <c r="M23" s="22"/>
      <c r="N23" s="10"/>
      <c r="O23" s="10"/>
      <c r="P23" s="10"/>
      <c r="Q23" s="10"/>
      <c r="R23" s="21"/>
      <c r="S23" s="25">
        <v>1.43</v>
      </c>
      <c r="T23" s="25">
        <v>1.46</v>
      </c>
      <c r="U23" s="25">
        <v>2.12</v>
      </c>
      <c r="V23" s="25">
        <v>1.67</v>
      </c>
      <c r="W23" s="21"/>
    </row>
    <row r="24" ht="61" spans="1:23">
      <c r="A24" s="16"/>
      <c r="B24" s="11"/>
      <c r="C24" s="12" t="s">
        <v>1682</v>
      </c>
      <c r="D24" s="12" t="s">
        <v>1687</v>
      </c>
      <c r="E24" s="12" t="s">
        <v>1633</v>
      </c>
      <c r="F24" s="18">
        <v>3</v>
      </c>
      <c r="G24" s="18">
        <v>5</v>
      </c>
      <c r="H24" s="18">
        <v>8</v>
      </c>
      <c r="I24" s="19">
        <v>2.3</v>
      </c>
      <c r="J24" s="18">
        <v>1.818181818</v>
      </c>
      <c r="K24" s="20">
        <v>4.039393939</v>
      </c>
      <c r="L24" s="18">
        <v>8.960606061</v>
      </c>
      <c r="M24" s="22" t="s">
        <v>1688</v>
      </c>
      <c r="N24" s="21"/>
      <c r="O24" s="21"/>
      <c r="P24" s="21"/>
      <c r="Q24" s="10" t="s">
        <v>1689</v>
      </c>
      <c r="R24" s="21"/>
      <c r="S24" s="25">
        <v>2.13</v>
      </c>
      <c r="T24" s="25">
        <v>2.55</v>
      </c>
      <c r="U24" s="25">
        <v>2.13</v>
      </c>
      <c r="V24" s="25">
        <v>2.27</v>
      </c>
      <c r="W24" s="29"/>
    </row>
    <row r="25" ht="61" spans="1:23">
      <c r="A25" s="16"/>
      <c r="B25" s="11"/>
      <c r="C25" s="12" t="s">
        <v>1682</v>
      </c>
      <c r="D25" s="12" t="s">
        <v>1690</v>
      </c>
      <c r="E25" s="12" t="s">
        <v>1633</v>
      </c>
      <c r="F25" s="18">
        <v>3</v>
      </c>
      <c r="G25" s="18">
        <v>5</v>
      </c>
      <c r="H25" s="18">
        <v>8</v>
      </c>
      <c r="I25" s="19">
        <v>3</v>
      </c>
      <c r="J25" s="18">
        <v>1.818181818</v>
      </c>
      <c r="K25" s="20">
        <v>4.272727273</v>
      </c>
      <c r="L25" s="18">
        <v>8.727272727</v>
      </c>
      <c r="M25" s="22" t="s">
        <v>1688</v>
      </c>
      <c r="N25" s="21"/>
      <c r="O25" s="21"/>
      <c r="P25" s="21"/>
      <c r="Q25" s="10" t="s">
        <v>1689</v>
      </c>
      <c r="R25" s="21"/>
      <c r="S25" s="25">
        <v>2.03</v>
      </c>
      <c r="T25" s="25">
        <v>2.12</v>
      </c>
      <c r="U25" s="25">
        <v>2.24</v>
      </c>
      <c r="V25" s="25">
        <v>2.13</v>
      </c>
      <c r="W25" s="29"/>
    </row>
    <row r="26" ht="61" spans="1:23">
      <c r="A26" s="16"/>
      <c r="B26" s="11"/>
      <c r="C26" s="12" t="s">
        <v>1682</v>
      </c>
      <c r="D26" s="12" t="s">
        <v>1691</v>
      </c>
      <c r="E26" s="12" t="s">
        <v>1633</v>
      </c>
      <c r="F26" s="18">
        <v>5</v>
      </c>
      <c r="G26" s="18">
        <v>8</v>
      </c>
      <c r="H26" s="18">
        <v>10</v>
      </c>
      <c r="I26" s="19">
        <v>4</v>
      </c>
      <c r="J26" s="18">
        <v>1.818181818</v>
      </c>
      <c r="K26" s="20">
        <v>5.272727273</v>
      </c>
      <c r="L26" s="18">
        <v>9.818181818</v>
      </c>
      <c r="M26" s="22" t="s">
        <v>1688</v>
      </c>
      <c r="N26" s="10"/>
      <c r="O26" s="10"/>
      <c r="P26" s="10"/>
      <c r="Q26" s="10" t="s">
        <v>1689</v>
      </c>
      <c r="R26" s="21"/>
      <c r="S26" s="25">
        <v>2.56</v>
      </c>
      <c r="T26" s="25">
        <v>2.39</v>
      </c>
      <c r="U26" s="25">
        <v>2.22</v>
      </c>
      <c r="V26" s="25">
        <v>2.39</v>
      </c>
      <c r="W26" s="21"/>
    </row>
    <row r="27" ht="61" spans="1:23">
      <c r="A27" s="16"/>
      <c r="B27" s="11"/>
      <c r="C27" s="12" t="s">
        <v>1692</v>
      </c>
      <c r="D27" s="12" t="s">
        <v>1693</v>
      </c>
      <c r="E27" s="12" t="s">
        <v>1633</v>
      </c>
      <c r="F27" s="18">
        <v>3</v>
      </c>
      <c r="G27" s="18">
        <v>5</v>
      </c>
      <c r="H27" s="18">
        <v>8</v>
      </c>
      <c r="I27" s="19">
        <v>3</v>
      </c>
      <c r="J27" s="18">
        <v>1.818181818</v>
      </c>
      <c r="K27" s="20">
        <v>4.272727273</v>
      </c>
      <c r="L27" s="18">
        <v>8.727272727</v>
      </c>
      <c r="M27" s="22" t="s">
        <v>1688</v>
      </c>
      <c r="N27" s="10"/>
      <c r="O27" s="10"/>
      <c r="P27" s="10"/>
      <c r="Q27" s="10" t="s">
        <v>1689</v>
      </c>
      <c r="R27" s="21"/>
      <c r="S27" s="25">
        <v>2.13</v>
      </c>
      <c r="T27" s="25">
        <v>2.06</v>
      </c>
      <c r="U27" s="25">
        <v>2.11</v>
      </c>
      <c r="V27" s="25">
        <v>2.1</v>
      </c>
      <c r="W27" s="21"/>
    </row>
    <row r="28" ht="61" spans="1:23">
      <c r="A28" s="16"/>
      <c r="B28" s="11"/>
      <c r="C28" s="12" t="s">
        <v>1694</v>
      </c>
      <c r="D28" s="12" t="s">
        <v>1695</v>
      </c>
      <c r="E28" s="12" t="s">
        <v>1633</v>
      </c>
      <c r="F28" s="18">
        <v>2</v>
      </c>
      <c r="G28" s="18">
        <v>3</v>
      </c>
      <c r="H28" s="18">
        <v>5</v>
      </c>
      <c r="I28" s="19">
        <v>1.8</v>
      </c>
      <c r="J28" s="18">
        <v>1.818181818</v>
      </c>
      <c r="K28" s="20">
        <v>2.872727273</v>
      </c>
      <c r="L28" s="18">
        <v>8.254545455</v>
      </c>
      <c r="M28" s="22" t="s">
        <v>1688</v>
      </c>
      <c r="N28" s="10"/>
      <c r="O28" s="10"/>
      <c r="P28" s="10"/>
      <c r="Q28" s="10"/>
      <c r="R28" s="21"/>
      <c r="S28" s="25">
        <v>2.03</v>
      </c>
      <c r="T28" s="25">
        <v>2.11</v>
      </c>
      <c r="U28" s="25">
        <v>2.43</v>
      </c>
      <c r="V28" s="25">
        <v>2.19</v>
      </c>
      <c r="W28" s="21"/>
    </row>
    <row r="29" ht="61" spans="1:23">
      <c r="A29" s="16"/>
      <c r="B29" s="11"/>
      <c r="C29" s="12" t="s">
        <v>1694</v>
      </c>
      <c r="D29" s="12" t="s">
        <v>1696</v>
      </c>
      <c r="E29" s="12" t="s">
        <v>1633</v>
      </c>
      <c r="F29" s="18">
        <v>3</v>
      </c>
      <c r="G29" s="18">
        <v>5</v>
      </c>
      <c r="H29" s="18">
        <v>8</v>
      </c>
      <c r="I29" s="19">
        <v>2.3</v>
      </c>
      <c r="J29" s="18">
        <v>1.818181818</v>
      </c>
      <c r="K29" s="20">
        <v>4.039393939</v>
      </c>
      <c r="L29" s="18">
        <v>8.960606061</v>
      </c>
      <c r="M29" s="22" t="s">
        <v>1688</v>
      </c>
      <c r="N29" s="10"/>
      <c r="O29" s="10"/>
      <c r="P29" s="10"/>
      <c r="Q29" s="10" t="s">
        <v>1689</v>
      </c>
      <c r="R29" s="21"/>
      <c r="S29" s="25">
        <v>2.27</v>
      </c>
      <c r="T29" s="25">
        <v>2.58</v>
      </c>
      <c r="U29" s="25">
        <v>2.56</v>
      </c>
      <c r="V29" s="25">
        <v>2.47</v>
      </c>
      <c r="W29" s="21"/>
    </row>
    <row r="30" ht="61" spans="1:23">
      <c r="A30" s="16"/>
      <c r="B30" s="11"/>
      <c r="C30" s="12" t="s">
        <v>1694</v>
      </c>
      <c r="D30" s="12" t="s">
        <v>1697</v>
      </c>
      <c r="E30" s="12" t="s">
        <v>1633</v>
      </c>
      <c r="F30" s="18">
        <v>3</v>
      </c>
      <c r="G30" s="18">
        <v>5</v>
      </c>
      <c r="H30" s="18">
        <v>8</v>
      </c>
      <c r="I30" s="19">
        <v>2.5</v>
      </c>
      <c r="J30" s="18">
        <v>1.818181818</v>
      </c>
      <c r="K30" s="20">
        <v>4.106060606</v>
      </c>
      <c r="L30" s="18">
        <v>8.893939394</v>
      </c>
      <c r="M30" s="22" t="s">
        <v>1688</v>
      </c>
      <c r="N30" s="10"/>
      <c r="O30" s="10"/>
      <c r="P30" s="10"/>
      <c r="Q30" s="10" t="s">
        <v>1689</v>
      </c>
      <c r="R30" s="21"/>
      <c r="S30" s="25">
        <v>2.67</v>
      </c>
      <c r="T30" s="25">
        <v>2.78</v>
      </c>
      <c r="U30" s="25">
        <v>2.56</v>
      </c>
      <c r="V30" s="25">
        <v>2.67</v>
      </c>
      <c r="W30" s="21"/>
    </row>
    <row r="31" ht="61" spans="1:23">
      <c r="A31" s="16"/>
      <c r="B31" s="11"/>
      <c r="C31" s="12" t="s">
        <v>1694</v>
      </c>
      <c r="D31" s="12" t="s">
        <v>1698</v>
      </c>
      <c r="E31" s="12" t="s">
        <v>1633</v>
      </c>
      <c r="F31" s="18">
        <v>5</v>
      </c>
      <c r="G31" s="18">
        <v>8</v>
      </c>
      <c r="H31" s="18">
        <v>10</v>
      </c>
      <c r="I31" s="19">
        <v>3.3</v>
      </c>
      <c r="J31" s="18">
        <v>1.818181818</v>
      </c>
      <c r="K31" s="20">
        <v>5.039393939</v>
      </c>
      <c r="L31" s="18">
        <v>9.973737374</v>
      </c>
      <c r="M31" s="22" t="s">
        <v>1688</v>
      </c>
      <c r="N31" s="10"/>
      <c r="O31" s="10"/>
      <c r="P31" s="10"/>
      <c r="Q31" s="10" t="s">
        <v>1689</v>
      </c>
      <c r="R31" s="21"/>
      <c r="S31" s="25">
        <v>3.21</v>
      </c>
      <c r="T31" s="25">
        <v>3.52</v>
      </c>
      <c r="U31" s="25">
        <v>3.86</v>
      </c>
      <c r="V31" s="25">
        <v>3.53</v>
      </c>
      <c r="W31" s="21"/>
    </row>
    <row r="32" ht="61" spans="1:23">
      <c r="A32" s="16"/>
      <c r="B32" s="11"/>
      <c r="C32" s="12" t="s">
        <v>1694</v>
      </c>
      <c r="D32" s="12" t="s">
        <v>1699</v>
      </c>
      <c r="E32" s="12" t="s">
        <v>1633</v>
      </c>
      <c r="F32" s="18">
        <v>6</v>
      </c>
      <c r="G32" s="18">
        <v>10</v>
      </c>
      <c r="H32" s="18">
        <v>12</v>
      </c>
      <c r="I32" s="19">
        <v>4.3</v>
      </c>
      <c r="J32" s="18">
        <v>1.818181818</v>
      </c>
      <c r="K32" s="20">
        <v>6.039393939</v>
      </c>
      <c r="L32" s="18">
        <v>9.98030303</v>
      </c>
      <c r="M32" s="22"/>
      <c r="N32" s="10"/>
      <c r="O32" s="10"/>
      <c r="P32" s="10"/>
      <c r="Q32" s="10"/>
      <c r="R32" s="21"/>
      <c r="S32" s="25">
        <v>3.72</v>
      </c>
      <c r="T32" s="25">
        <v>3.97</v>
      </c>
      <c r="U32" s="25">
        <v>3.65</v>
      </c>
      <c r="V32" s="25">
        <v>3.78</v>
      </c>
      <c r="W32" s="21"/>
    </row>
    <row r="33" ht="61" spans="1:23">
      <c r="A33" s="15">
        <v>0.2</v>
      </c>
      <c r="B33" s="11" t="s">
        <v>1700</v>
      </c>
      <c r="C33" s="12" t="s">
        <v>1701</v>
      </c>
      <c r="D33" s="12" t="s">
        <v>1702</v>
      </c>
      <c r="E33" s="12" t="s">
        <v>1633</v>
      </c>
      <c r="F33" s="18">
        <v>2</v>
      </c>
      <c r="G33" s="18">
        <v>3</v>
      </c>
      <c r="H33" s="18">
        <v>3</v>
      </c>
      <c r="I33" s="19">
        <v>3</v>
      </c>
      <c r="J33" s="18">
        <v>3.2</v>
      </c>
      <c r="K33" s="18"/>
      <c r="L33" s="18"/>
      <c r="M33" s="22" t="s">
        <v>1688</v>
      </c>
      <c r="N33" s="10"/>
      <c r="O33" s="10"/>
      <c r="P33" s="10"/>
      <c r="Q33" s="10" t="s">
        <v>1689</v>
      </c>
      <c r="R33" s="21"/>
      <c r="S33" s="25">
        <v>2.48</v>
      </c>
      <c r="T33" s="25">
        <v>1.51</v>
      </c>
      <c r="U33" s="25">
        <v>1.71</v>
      </c>
      <c r="V33" s="25">
        <v>1.9</v>
      </c>
      <c r="W33" s="21"/>
    </row>
    <row r="34" ht="61" spans="1:23">
      <c r="A34" s="16"/>
      <c r="B34" s="11"/>
      <c r="C34" s="12" t="s">
        <v>1703</v>
      </c>
      <c r="D34" s="12" t="s">
        <v>1704</v>
      </c>
      <c r="E34" s="12" t="s">
        <v>1633</v>
      </c>
      <c r="F34" s="18">
        <v>2</v>
      </c>
      <c r="G34" s="18">
        <v>3</v>
      </c>
      <c r="H34" s="18">
        <v>5</v>
      </c>
      <c r="I34" s="19">
        <v>3</v>
      </c>
      <c r="J34" s="18">
        <v>3.2</v>
      </c>
      <c r="K34" s="18"/>
      <c r="L34" s="18"/>
      <c r="M34" s="22" t="s">
        <v>1688</v>
      </c>
      <c r="N34" s="10"/>
      <c r="O34" s="10"/>
      <c r="P34" s="10"/>
      <c r="Q34" s="10" t="s">
        <v>1689</v>
      </c>
      <c r="R34" s="21"/>
      <c r="S34" s="25">
        <v>2.73</v>
      </c>
      <c r="T34" s="25">
        <v>2</v>
      </c>
      <c r="U34" s="25">
        <v>2.7</v>
      </c>
      <c r="V34" s="25">
        <v>2.48</v>
      </c>
      <c r="W34" s="21"/>
    </row>
    <row r="35" ht="61" spans="1:23">
      <c r="A35" s="16"/>
      <c r="B35" s="11"/>
      <c r="C35" s="12" t="s">
        <v>1705</v>
      </c>
      <c r="D35" s="12" t="s">
        <v>1706</v>
      </c>
      <c r="E35" s="12" t="s">
        <v>1633</v>
      </c>
      <c r="F35" s="18">
        <v>2</v>
      </c>
      <c r="G35" s="18">
        <v>3</v>
      </c>
      <c r="H35" s="18">
        <v>5</v>
      </c>
      <c r="I35" s="19">
        <v>3</v>
      </c>
      <c r="J35" s="18">
        <v>3.2</v>
      </c>
      <c r="K35" s="18"/>
      <c r="L35" s="18"/>
      <c r="M35" s="22"/>
      <c r="N35" s="10"/>
      <c r="O35" s="10"/>
      <c r="P35" s="10"/>
      <c r="Q35" s="10"/>
      <c r="R35" s="21"/>
      <c r="S35" s="25">
        <v>2.37</v>
      </c>
      <c r="T35" s="25">
        <v>2.09</v>
      </c>
      <c r="U35" s="25">
        <v>2.39</v>
      </c>
      <c r="V35" s="25">
        <v>2.28</v>
      </c>
      <c r="W35" s="21"/>
    </row>
    <row r="36" ht="61" spans="1:23">
      <c r="A36" s="16"/>
      <c r="B36" s="11"/>
      <c r="C36" s="12" t="s">
        <v>1703</v>
      </c>
      <c r="D36" s="12" t="s">
        <v>1707</v>
      </c>
      <c r="E36" s="12" t="s">
        <v>1633</v>
      </c>
      <c r="F36" s="18">
        <v>2</v>
      </c>
      <c r="G36" s="18">
        <v>3</v>
      </c>
      <c r="H36" s="18">
        <v>6</v>
      </c>
      <c r="I36" s="19">
        <v>3</v>
      </c>
      <c r="J36" s="18">
        <v>3.2</v>
      </c>
      <c r="K36" s="18"/>
      <c r="L36" s="18"/>
      <c r="M36" s="22" t="s">
        <v>1688</v>
      </c>
      <c r="N36" s="10"/>
      <c r="O36" s="10"/>
      <c r="P36" s="10"/>
      <c r="Q36" s="10" t="s">
        <v>1689</v>
      </c>
      <c r="R36" s="21"/>
      <c r="S36" s="25">
        <v>2.13</v>
      </c>
      <c r="T36" s="25">
        <v>1.71</v>
      </c>
      <c r="U36" s="25">
        <v>2.37</v>
      </c>
      <c r="V36" s="25">
        <v>2.07</v>
      </c>
      <c r="W36" s="21"/>
    </row>
    <row r="37" ht="61" spans="1:23">
      <c r="A37" s="16"/>
      <c r="B37" s="11"/>
      <c r="C37" s="12" t="s">
        <v>1708</v>
      </c>
      <c r="D37" s="12" t="s">
        <v>1709</v>
      </c>
      <c r="E37" s="12" t="s">
        <v>1633</v>
      </c>
      <c r="F37" s="18"/>
      <c r="G37" s="18"/>
      <c r="H37" s="18"/>
      <c r="I37" s="19">
        <v>3</v>
      </c>
      <c r="J37" s="18"/>
      <c r="K37" s="18"/>
      <c r="L37" s="18"/>
      <c r="M37" s="22"/>
      <c r="N37" s="10"/>
      <c r="O37" s="10"/>
      <c r="P37" s="10"/>
      <c r="Q37" s="10"/>
      <c r="R37" s="21"/>
      <c r="S37" s="25">
        <v>2.86</v>
      </c>
      <c r="T37" s="25">
        <v>1.73</v>
      </c>
      <c r="U37" s="25">
        <v>1.77</v>
      </c>
      <c r="V37" s="25">
        <v>2.12</v>
      </c>
      <c r="W37" s="21"/>
    </row>
    <row r="38" ht="61" spans="1:23">
      <c r="A38" s="16"/>
      <c r="B38" s="11"/>
      <c r="C38" s="12" t="s">
        <v>1705</v>
      </c>
      <c r="D38" s="12" t="s">
        <v>1710</v>
      </c>
      <c r="E38" s="12" t="s">
        <v>1633</v>
      </c>
      <c r="F38" s="18"/>
      <c r="G38" s="18"/>
      <c r="H38" s="18"/>
      <c r="I38" s="19">
        <v>3</v>
      </c>
      <c r="J38" s="18"/>
      <c r="K38" s="18"/>
      <c r="L38" s="18"/>
      <c r="M38" s="22"/>
      <c r="N38" s="10"/>
      <c r="O38" s="10"/>
      <c r="P38" s="10"/>
      <c r="Q38" s="10"/>
      <c r="R38" s="21"/>
      <c r="S38" s="25">
        <v>1.87</v>
      </c>
      <c r="T38" s="25">
        <v>2.31</v>
      </c>
      <c r="U38" s="25">
        <v>2.95</v>
      </c>
      <c r="V38" s="25">
        <v>2.38</v>
      </c>
      <c r="W38" s="21"/>
    </row>
    <row r="39" ht="61" spans="1:23">
      <c r="A39" s="16"/>
      <c r="B39" s="11"/>
      <c r="C39" s="12" t="s">
        <v>1701</v>
      </c>
      <c r="D39" s="12" t="s">
        <v>1711</v>
      </c>
      <c r="E39" s="12" t="s">
        <v>1633</v>
      </c>
      <c r="F39" s="18"/>
      <c r="G39" s="18"/>
      <c r="H39" s="18"/>
      <c r="I39" s="19">
        <v>3</v>
      </c>
      <c r="J39" s="18"/>
      <c r="K39" s="18"/>
      <c r="L39" s="18"/>
      <c r="M39" s="22"/>
      <c r="N39" s="10"/>
      <c r="O39" s="10"/>
      <c r="P39" s="10"/>
      <c r="Q39" s="10"/>
      <c r="R39" s="21"/>
      <c r="S39" s="25">
        <v>1.89</v>
      </c>
      <c r="T39" s="25">
        <v>2.88</v>
      </c>
      <c r="U39" s="25">
        <v>2.48</v>
      </c>
      <c r="V39" s="25">
        <v>2.42</v>
      </c>
      <c r="W39" s="21"/>
    </row>
    <row r="40" ht="61" spans="1:23">
      <c r="A40" s="16"/>
      <c r="B40" s="11"/>
      <c r="C40" s="12" t="s">
        <v>1703</v>
      </c>
      <c r="D40" s="12" t="s">
        <v>1712</v>
      </c>
      <c r="E40" s="12" t="s">
        <v>1633</v>
      </c>
      <c r="F40" s="18"/>
      <c r="G40" s="18"/>
      <c r="H40" s="18"/>
      <c r="I40" s="19">
        <v>3</v>
      </c>
      <c r="J40" s="18"/>
      <c r="K40" s="18"/>
      <c r="L40" s="18"/>
      <c r="M40" s="22"/>
      <c r="N40" s="10"/>
      <c r="O40" s="10"/>
      <c r="P40" s="10"/>
      <c r="Q40" s="10"/>
      <c r="R40" s="21"/>
      <c r="S40" s="25">
        <v>1.62</v>
      </c>
      <c r="T40" s="25">
        <v>2.04</v>
      </c>
      <c r="U40" s="25">
        <v>1.93</v>
      </c>
      <c r="V40" s="25">
        <v>1.86</v>
      </c>
      <c r="W40" s="21"/>
    </row>
    <row r="41" ht="61" spans="1:23">
      <c r="A41" s="16"/>
      <c r="B41" s="11"/>
      <c r="C41" s="12" t="s">
        <v>1708</v>
      </c>
      <c r="D41" s="12" t="s">
        <v>1713</v>
      </c>
      <c r="E41" s="12" t="s">
        <v>1633</v>
      </c>
      <c r="F41" s="18"/>
      <c r="G41" s="18"/>
      <c r="H41" s="18"/>
      <c r="I41" s="19">
        <v>3</v>
      </c>
      <c r="J41" s="18"/>
      <c r="K41" s="18"/>
      <c r="L41" s="18"/>
      <c r="M41" s="22"/>
      <c r="N41" s="10"/>
      <c r="O41" s="10"/>
      <c r="P41" s="10"/>
      <c r="Q41" s="10"/>
      <c r="R41" s="21"/>
      <c r="S41" s="25">
        <v>2.18</v>
      </c>
      <c r="T41" s="25">
        <v>2.11</v>
      </c>
      <c r="U41" s="25">
        <v>1.88</v>
      </c>
      <c r="V41" s="25">
        <v>2.06</v>
      </c>
      <c r="W41" s="21"/>
    </row>
    <row r="42" ht="61" spans="1:23">
      <c r="A42" s="16"/>
      <c r="B42" s="11"/>
      <c r="C42" s="12" t="s">
        <v>1701</v>
      </c>
      <c r="D42" s="12" t="s">
        <v>1714</v>
      </c>
      <c r="E42" s="12" t="s">
        <v>1633</v>
      </c>
      <c r="F42" s="18"/>
      <c r="G42" s="18"/>
      <c r="H42" s="18"/>
      <c r="I42" s="19">
        <v>3</v>
      </c>
      <c r="J42" s="18"/>
      <c r="K42" s="18"/>
      <c r="L42" s="18"/>
      <c r="M42" s="22"/>
      <c r="N42" s="10"/>
      <c r="O42" s="10"/>
      <c r="P42" s="10"/>
      <c r="Q42" s="10"/>
      <c r="R42" s="21"/>
      <c r="S42" s="25">
        <v>2.83</v>
      </c>
      <c r="T42" s="25">
        <v>1.53</v>
      </c>
      <c r="U42" s="25">
        <v>1.92</v>
      </c>
      <c r="V42" s="25">
        <v>2.09</v>
      </c>
      <c r="W42" s="21"/>
    </row>
    <row r="43" ht="61" spans="1:23">
      <c r="A43" s="16"/>
      <c r="B43" s="11"/>
      <c r="C43" s="12" t="s">
        <v>1708</v>
      </c>
      <c r="D43" s="12" t="s">
        <v>1715</v>
      </c>
      <c r="E43" s="12" t="s">
        <v>1633</v>
      </c>
      <c r="F43" s="18"/>
      <c r="G43" s="18"/>
      <c r="H43" s="18"/>
      <c r="I43" s="19">
        <v>3</v>
      </c>
      <c r="J43" s="18"/>
      <c r="K43" s="18"/>
      <c r="L43" s="18"/>
      <c r="M43" s="22"/>
      <c r="N43" s="10"/>
      <c r="O43" s="10"/>
      <c r="P43" s="10"/>
      <c r="Q43" s="10"/>
      <c r="R43" s="21"/>
      <c r="S43" s="25">
        <v>1.89</v>
      </c>
      <c r="T43" s="25">
        <v>2.18</v>
      </c>
      <c r="U43" s="25">
        <v>2.69</v>
      </c>
      <c r="V43" s="25">
        <v>2.25</v>
      </c>
      <c r="W43" s="21"/>
    </row>
    <row r="44" ht="61" spans="1:23">
      <c r="A44" s="16"/>
      <c r="B44" s="11"/>
      <c r="C44" s="12" t="s">
        <v>1705</v>
      </c>
      <c r="D44" s="12" t="s">
        <v>1716</v>
      </c>
      <c r="E44" s="12" t="s">
        <v>1633</v>
      </c>
      <c r="F44" s="18">
        <v>3</v>
      </c>
      <c r="G44" s="18">
        <v>5</v>
      </c>
      <c r="H44" s="18">
        <v>8</v>
      </c>
      <c r="I44" s="19">
        <v>3</v>
      </c>
      <c r="J44" s="18">
        <v>4</v>
      </c>
      <c r="K44" s="18">
        <v>8.14</v>
      </c>
      <c r="L44" s="18"/>
      <c r="M44" s="22" t="s">
        <v>1688</v>
      </c>
      <c r="N44" s="10"/>
      <c r="O44" s="10"/>
      <c r="P44" s="10"/>
      <c r="Q44" s="10" t="s">
        <v>1689</v>
      </c>
      <c r="R44" s="21"/>
      <c r="S44" s="25">
        <v>2.48</v>
      </c>
      <c r="T44" s="25">
        <v>2.51</v>
      </c>
      <c r="U44" s="25">
        <v>2.13</v>
      </c>
      <c r="V44" s="25">
        <v>2.37</v>
      </c>
      <c r="W44" s="21"/>
    </row>
    <row r="45" ht="76" spans="1:23">
      <c r="A45" s="15">
        <v>0.1</v>
      </c>
      <c r="B45" s="11" t="s">
        <v>1717</v>
      </c>
      <c r="C45" s="12"/>
      <c r="D45" s="12" t="s">
        <v>1718</v>
      </c>
      <c r="E45" s="12" t="s">
        <v>1719</v>
      </c>
      <c r="F45" s="18">
        <v>0</v>
      </c>
      <c r="G45" s="18">
        <v>1</v>
      </c>
      <c r="H45" s="18">
        <v>3</v>
      </c>
      <c r="I45" s="19">
        <v>1</v>
      </c>
      <c r="J45" s="18">
        <v>8</v>
      </c>
      <c r="K45" s="18"/>
      <c r="L45" s="18"/>
      <c r="M45" s="22"/>
      <c r="N45" s="10"/>
      <c r="O45" s="10"/>
      <c r="P45" s="10"/>
      <c r="Q45" s="10" t="s">
        <v>1720</v>
      </c>
      <c r="R45" s="21"/>
      <c r="S45" s="25" t="s">
        <v>1721</v>
      </c>
      <c r="T45" s="25" t="s">
        <v>1721</v>
      </c>
      <c r="U45" s="25" t="s">
        <v>1721</v>
      </c>
      <c r="V45" s="21"/>
      <c r="W45" s="29" t="s">
        <v>1722</v>
      </c>
    </row>
    <row r="46" ht="18" spans="1:23">
      <c r="A46" s="16" t="s">
        <v>1723</v>
      </c>
      <c r="B46" s="11"/>
      <c r="C46" s="12"/>
      <c r="D46" s="12"/>
      <c r="E46" s="12"/>
      <c r="F46" s="18"/>
      <c r="G46" s="18"/>
      <c r="H46" s="18"/>
      <c r="I46" s="19"/>
      <c r="J46" s="18">
        <v>86.97727273</v>
      </c>
      <c r="K46" s="18"/>
      <c r="L46" s="18"/>
      <c r="M46" s="22"/>
      <c r="N46" s="10"/>
      <c r="O46" s="10"/>
      <c r="P46" s="10"/>
      <c r="Q46" s="10"/>
      <c r="R46" s="21"/>
      <c r="S46" s="21"/>
      <c r="T46" s="21"/>
      <c r="U46" s="21"/>
      <c r="V46" s="21"/>
      <c r="W46" s="21"/>
    </row>
    <row r="47" ht="46" spans="1:23">
      <c r="A47" s="16" t="s">
        <v>1724</v>
      </c>
      <c r="B47" s="11"/>
      <c r="C47" s="12"/>
      <c r="D47" s="12" t="s">
        <v>660</v>
      </c>
      <c r="E47" s="12" t="s">
        <v>1725</v>
      </c>
      <c r="F47" s="12" t="s">
        <v>1726</v>
      </c>
      <c r="G47" s="12" t="s">
        <v>1727</v>
      </c>
      <c r="H47" s="12" t="s">
        <v>1728</v>
      </c>
      <c r="I47" s="19"/>
      <c r="J47" s="21"/>
      <c r="K47" s="21"/>
      <c r="L47" s="21"/>
      <c r="M47" s="22" t="s">
        <v>1729</v>
      </c>
      <c r="N47" s="10"/>
      <c r="O47" s="10"/>
      <c r="P47" s="10"/>
      <c r="Q47" s="27" t="s">
        <v>1730</v>
      </c>
      <c r="R47" s="21"/>
      <c r="S47" s="21"/>
      <c r="T47" s="21"/>
      <c r="U47" s="21"/>
      <c r="V47" s="21"/>
      <c r="W47" s="21"/>
    </row>
    <row r="48" spans="1:23">
      <c r="A48" s="16"/>
      <c r="B48" s="11"/>
      <c r="C48" s="12"/>
      <c r="D48" s="12" t="s">
        <v>661</v>
      </c>
      <c r="E48" s="12" t="s">
        <v>1725</v>
      </c>
      <c r="F48" s="12" t="s">
        <v>1727</v>
      </c>
      <c r="G48" s="12" t="s">
        <v>1728</v>
      </c>
      <c r="H48" s="12" t="s">
        <v>1731</v>
      </c>
      <c r="I48" s="18"/>
      <c r="J48" s="18"/>
      <c r="K48" s="18"/>
      <c r="L48" s="18"/>
      <c r="M48" s="22"/>
      <c r="N48" s="10"/>
      <c r="O48" s="10"/>
      <c r="P48" s="10"/>
      <c r="Q48" s="27"/>
      <c r="R48" s="21"/>
      <c r="S48" s="21"/>
      <c r="T48" s="21"/>
      <c r="U48" s="21"/>
      <c r="V48" s="21"/>
      <c r="W48" s="21"/>
    </row>
  </sheetData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  <mergeCell ref="Q47:Q4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7.6"/>
  <cols>
    <col min="1" max="1" width="40.3303571428571" customWidth="1"/>
    <col min="2" max="2" width="11.8303571428571" customWidth="1"/>
    <col min="3" max="3" width="10.5" customWidth="1"/>
    <col min="4" max="4" width="19.8303571428571" customWidth="1"/>
    <col min="5" max="5" width="13.1696428571429" customWidth="1"/>
    <col min="6" max="6" width="30.6696428571429" customWidth="1"/>
    <col min="7" max="7" width="11.8303571428571" customWidth="1"/>
    <col min="8" max="9" width="13.8303571428571" customWidth="1"/>
    <col min="10" max="10" width="39.1696428571429" customWidth="1"/>
    <col min="11" max="11" width="19.5" customWidth="1"/>
    <col min="12" max="18" width="8.83035714285714" customWidth="1"/>
  </cols>
  <sheetData>
    <row r="1" ht="32" customHeight="1" spans="1:18">
      <c r="A1" s="3" t="s">
        <v>1732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 t="s">
        <v>1733</v>
      </c>
      <c r="B2" s="6"/>
      <c r="C2" s="6"/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>
      <c r="A3" s="6" t="s">
        <v>1734</v>
      </c>
      <c r="B3" s="6" t="s">
        <v>1735</v>
      </c>
      <c r="C3" s="6" t="s">
        <v>1736</v>
      </c>
      <c r="D3" s="6" t="s">
        <v>1737</v>
      </c>
      <c r="E3" s="6" t="s">
        <v>1738</v>
      </c>
      <c r="F3" s="6" t="s">
        <v>1739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6" t="s">
        <v>1740</v>
      </c>
      <c r="B4" s="6" t="s">
        <v>1741</v>
      </c>
      <c r="C4" s="6" t="s">
        <v>1742</v>
      </c>
      <c r="D4" s="6" t="s">
        <v>1743</v>
      </c>
      <c r="E4" s="9">
        <v>0.85</v>
      </c>
      <c r="F4" s="6" t="s">
        <v>1744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6" t="s">
        <v>1745</v>
      </c>
      <c r="B5" s="6" t="s">
        <v>1746</v>
      </c>
      <c r="C5" s="6" t="s">
        <v>1747</v>
      </c>
      <c r="D5" s="6" t="s">
        <v>1746</v>
      </c>
      <c r="E5" s="9">
        <v>0.01</v>
      </c>
      <c r="F5" s="6" t="s">
        <v>1748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6" t="s">
        <v>1749</v>
      </c>
      <c r="B6" s="6" t="s">
        <v>1750</v>
      </c>
      <c r="C6" s="6" t="s">
        <v>1751</v>
      </c>
      <c r="D6" s="6" t="s">
        <v>1752</v>
      </c>
      <c r="E6" s="9">
        <v>0.48</v>
      </c>
      <c r="F6" s="6" t="s">
        <v>1753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6" t="s">
        <v>1745</v>
      </c>
      <c r="B7" s="6" t="s">
        <v>1746</v>
      </c>
      <c r="C7" s="6" t="s">
        <v>964</v>
      </c>
      <c r="D7" s="6" t="s">
        <v>1746</v>
      </c>
      <c r="E7" s="9">
        <v>0.01</v>
      </c>
      <c r="F7" s="6" t="s">
        <v>1754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6" t="s">
        <v>1755</v>
      </c>
      <c r="B8" s="6" t="s">
        <v>1756</v>
      </c>
      <c r="C8" s="6" t="s">
        <v>1757</v>
      </c>
      <c r="D8" s="6" t="s">
        <v>1756</v>
      </c>
      <c r="E8" s="9">
        <v>0.06</v>
      </c>
      <c r="F8" s="6" t="s">
        <v>1758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6" t="s">
        <v>1759</v>
      </c>
      <c r="B9" s="6" t="s">
        <v>1559</v>
      </c>
      <c r="C9" s="6" t="s">
        <v>1573</v>
      </c>
      <c r="D9" s="6" t="s">
        <v>1760</v>
      </c>
      <c r="E9" s="9">
        <v>0.35</v>
      </c>
      <c r="F9" s="6" t="s">
        <v>1761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6" t="s">
        <v>1762</v>
      </c>
      <c r="B10" s="6" t="s">
        <v>1763</v>
      </c>
      <c r="C10" s="6" t="s">
        <v>1457</v>
      </c>
      <c r="D10" s="6" t="s">
        <v>1764</v>
      </c>
      <c r="E10" s="9">
        <v>0.34</v>
      </c>
      <c r="F10" s="6" t="s">
        <v>1765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6" t="s">
        <v>1766</v>
      </c>
      <c r="B11" s="6" t="s">
        <v>1752</v>
      </c>
      <c r="C11" s="6" t="s">
        <v>1569</v>
      </c>
      <c r="D11" s="6" t="s">
        <v>1752</v>
      </c>
      <c r="E11" s="9">
        <v>0.01</v>
      </c>
      <c r="F11" s="6" t="s">
        <v>1767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6" t="s">
        <v>1768</v>
      </c>
      <c r="B12" s="6" t="s">
        <v>1559</v>
      </c>
      <c r="C12" s="6" t="s">
        <v>1070</v>
      </c>
      <c r="D12" s="6" t="s">
        <v>1201</v>
      </c>
      <c r="E12" s="9">
        <v>0.05</v>
      </c>
      <c r="F12" s="6" t="s">
        <v>1769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6" t="s">
        <v>1770</v>
      </c>
      <c r="B13" s="6" t="s">
        <v>1559</v>
      </c>
      <c r="C13" s="6" t="s">
        <v>913</v>
      </c>
      <c r="D13" s="6" t="s">
        <v>1559</v>
      </c>
      <c r="E13" s="9">
        <v>0.01</v>
      </c>
      <c r="F13" s="6" t="s">
        <v>1771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6" t="s">
        <v>1772</v>
      </c>
      <c r="B14" s="6" t="s">
        <v>1773</v>
      </c>
      <c r="C14" s="6" t="s">
        <v>1774</v>
      </c>
      <c r="D14" s="6" t="s">
        <v>1775</v>
      </c>
      <c r="E14" s="9">
        <v>0.26</v>
      </c>
      <c r="F14" s="6" t="s">
        <v>1776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6" t="s">
        <v>1777</v>
      </c>
      <c r="B15" s="6" t="s">
        <v>1778</v>
      </c>
      <c r="C15" s="6" t="s">
        <v>1077</v>
      </c>
      <c r="D15" s="6" t="s">
        <v>1778</v>
      </c>
      <c r="E15" s="9">
        <v>0.01</v>
      </c>
      <c r="F15" s="6" t="s">
        <v>1779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6" t="s">
        <v>1780</v>
      </c>
      <c r="B16" s="6" t="s">
        <v>1756</v>
      </c>
      <c r="C16" s="6" t="s">
        <v>1757</v>
      </c>
      <c r="D16" s="6" t="s">
        <v>1756</v>
      </c>
      <c r="E16" s="9">
        <v>0.06</v>
      </c>
      <c r="F16" s="6" t="s">
        <v>1781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7" t="s">
        <v>1782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7" t="s">
        <v>1783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7" t="s">
        <v>1784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7" t="s">
        <v>1785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7" t="s">
        <v>1786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7" t="s">
        <v>1787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7" t="s">
        <v>1788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7" t="s">
        <v>1789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7" t="s">
        <v>1790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7" t="s">
        <v>1791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7" t="s">
        <v>1792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7" t="s">
        <v>1793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7" t="s">
        <v>1794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7" t="s">
        <v>1795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7" t="s">
        <v>1796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7" t="s">
        <v>1797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7" t="s">
        <v>1798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7" t="s">
        <v>1799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7" t="s">
        <v>1800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7" t="s">
        <v>1801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7" t="s">
        <v>1802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387" spans="1:18">
      <c r="A39" s="8" t="s">
        <v>1803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7" t="s">
        <v>1804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7" t="s">
        <v>1805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workbookViewId="0">
      <selection activeCell="A92" sqref="A1:B98"/>
    </sheetView>
  </sheetViews>
  <sheetFormatPr defaultColWidth="11" defaultRowHeight="17.6" outlineLevelCol="2"/>
  <cols>
    <col min="1" max="18" width="8.66964285714286" customWidth="1"/>
  </cols>
  <sheetData>
    <row r="1" spans="1:2">
      <c r="A1" s="1" t="s">
        <v>863</v>
      </c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 t="s">
        <v>837</v>
      </c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ht="43" customHeight="1" spans="1:3">
      <c r="A21" s="1" t="s">
        <v>850</v>
      </c>
      <c r="B21" s="1"/>
      <c r="C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2" t="s">
        <v>891</v>
      </c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 t="s">
        <v>889</v>
      </c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 t="s">
        <v>1806</v>
      </c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1" t="s">
        <v>1807</v>
      </c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 t="s">
        <v>1808</v>
      </c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3">
      <c r="A85" s="1" t="s">
        <v>834</v>
      </c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2" t="s">
        <v>665</v>
      </c>
      <c r="B92" s="2"/>
      <c r="C92" s="1"/>
    </row>
    <row r="93" spans="1:3">
      <c r="A93" s="2"/>
      <c r="B93" s="2"/>
      <c r="C93" s="1"/>
    </row>
    <row r="94" spans="1:3">
      <c r="A94" s="2"/>
      <c r="B94" s="2"/>
      <c r="C94" s="1"/>
    </row>
    <row r="95" spans="1:3">
      <c r="A95" s="2"/>
      <c r="B95" s="2"/>
      <c r="C95" s="1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</sheetData>
  <mergeCells count="10">
    <mergeCell ref="A1:B10"/>
    <mergeCell ref="A11:B20"/>
    <mergeCell ref="A21:B30"/>
    <mergeCell ref="A31:B41"/>
    <mergeCell ref="A42:B52"/>
    <mergeCell ref="A53:B63"/>
    <mergeCell ref="A64:B73"/>
    <mergeCell ref="A74:B84"/>
    <mergeCell ref="A85:B91"/>
    <mergeCell ref="A92:B9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Key-Items</vt:lpstr>
      <vt:lpstr>Scenes Sources</vt:lpstr>
      <vt:lpstr>综合打分</vt:lpstr>
      <vt:lpstr>Response Time </vt:lpstr>
      <vt:lpstr>App Sources</vt:lpstr>
      <vt:lpstr>Baidu App</vt:lpstr>
      <vt:lpstr>地图性能</vt:lpstr>
      <vt:lpstr>Partition Status</vt:lpstr>
      <vt:lpstr>内存泄漏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2023-09-26T14:41:00Z</dcterms:created>
  <dcterms:modified xsi:type="dcterms:W3CDTF">2023-10-13T14:26:41Z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9262F0D5A388AFE3D8572565F69340B6_42</vt:lpwstr>
  </property>
</Properties>
</file>