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wangtingting28/Desktop/福特phase4/CX727 OTA/R13测试报告/"/>
    </mc:Choice>
  </mc:AlternateContent>
  <xr:revisionPtr revIDLastSave="0" documentId="13_ncr:1_{06A1AE43-D3BA-9B4D-90AD-5BDD4A68F99F}" xr6:coauthVersionLast="47" xr6:coauthVersionMax="47" xr10:uidLastSave="{00000000-0000-0000-0000-000000000000}"/>
  <bookViews>
    <workbookView xWindow="0" yWindow="500" windowWidth="28800" windowHeight="16080" tabRatio="602" activeTab="1" xr2:uid="{00000000-000D-0000-FFFF-FFFF00000000}"/>
  </bookViews>
  <sheets>
    <sheet name="并发场景" sheetId="13" r:id="rId1"/>
    <sheet name="综合打分" sheetId="1" r:id="rId2"/>
    <sheet name="Response Time " sheetId="7" r:id="rId3"/>
    <sheet name="App Sources" sheetId="8" r:id="rId4"/>
    <sheet name="Baidu App" sheetId="11" r:id="rId5"/>
  </sheets>
  <definedNames>
    <definedName name="_xlnm._FilterDatabase" localSheetId="2" hidden="1">'Response Time '!$A$1:$L$63</definedName>
    <definedName name="_xlnm._FilterDatabase" localSheetId="1" hidden="1">综合打分!$A$1:$DX$1</definedName>
    <definedName name="Z_0EA55DCA_7FF2_4F36_8A7E_F0EACCC29DBE_.wvu.FilterData" localSheetId="2" hidden="1">'Response Time '!$A$1:$L$63</definedName>
    <definedName name="Z_16A41CC9_C03A_4F0A_B03A_44E212E13660_.wvu.FilterData" localSheetId="2" hidden="1">'Response Time '!$A$1:$L$63</definedName>
    <definedName name="Z_16DC14A2_7903_4025_B903_380A1366D4B8_.wvu.FilterData" localSheetId="2" hidden="1">'Response Time '!$A$1:$L$63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'!$A$1:$L$63</definedName>
    <definedName name="Z_2F5A4DEB_972B_44A6_8415_B3AF8AAB8DD1_.wvu.FilterData" localSheetId="2" hidden="1">'Response Time '!$A$1:$L$63</definedName>
    <definedName name="Z_4E56EFD8_82B0_433B_87B4_FAE95366C90A_.wvu.FilterData" localSheetId="2" hidden="1">'Response Time '!$A$1:$L$63</definedName>
    <definedName name="Z_50D2B5B7_80D0_4780_BB59_F4E52620A863_.wvu.FilterData" localSheetId="2" hidden="1">'Response Time '!$I$1:$I$63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'!$A$1:$L$63</definedName>
    <definedName name="Z_64728F9F_AAFE_4C17_A15F_C96F3AE04D0C_.wvu.FilterData" localSheetId="2" hidden="1">'Response Time '!$A$1:$L$63</definedName>
    <definedName name="Z_67627A8C_5C40_462C_B63D_E064A913FD1B_.wvu.FilterData" localSheetId="2" hidden="1">'Response Time '!$A$1:$L$63</definedName>
    <definedName name="Z_6A1708EE_78D5_4730_9EC1_32494DD84064_.wvu.FilterData" localSheetId="2" hidden="1">'Response Time '!$A$1:$L$63</definedName>
    <definedName name="Z_75A5D5D5_3DF6_4DF0_A35D_F3AEF19FA0C8_.wvu.FilterData" localSheetId="2" hidden="1">'Response Time '!$I$1:$I$63</definedName>
    <definedName name="Z_81868EC3_D2C9_49E1_A7C4_56AD2CFDD907_.wvu.FilterData" localSheetId="2" hidden="1">'Response Time '!$A$1:$L$63</definedName>
    <definedName name="Z_82B7589E_14AC_4428_B990_D113B4B9C8B2_.wvu.FilterData" localSheetId="2" hidden="1">'Response Time '!$A$1:$L$63</definedName>
    <definedName name="Z_9905B039_5D9C_4BC1_BCAD_85093189CE48_.wvu.FilterData" localSheetId="2" hidden="1">'Response Time '!$A$1:$L$63</definedName>
    <definedName name="Z_A17A2F87_19DB_4AF8_AC37_28F784855FD7_.wvu.FilterData" localSheetId="2" hidden="1">'Response Time '!$A$1:$L$63</definedName>
    <definedName name="Z_A1C2E0EA_0798_4EE9_BA53_3DA16A20F391_.wvu.FilterData" localSheetId="2" hidden="1">'Response Time '!$A$1:$L$63</definedName>
    <definedName name="Z_B0B1D487_08B5_4EE3_B1A5_0E537BA44F6F_.wvu.FilterData" localSheetId="2" hidden="1">'Response Time '!$I$1:$I$63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'!$A$1:$L$63</definedName>
    <definedName name="Z_BFE5DC58_F040_475A_8F39_87308C22B1B1_.wvu.FilterData" localSheetId="2" hidden="1">'Response Time '!$A$1:$L$63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'!$A$1:$L$63</definedName>
    <definedName name="Z_CB05707F_24A9_4357_8065_43BE4DD90B2D_.wvu.FilterData" localSheetId="2" hidden="1">'Response Time '!$A$1:$L$63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'!$A$1:$L$63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'!$A$1:$L$63</definedName>
    <definedName name="Z_E3F0DD2F_B4B7_440E_B6E2_120742CBE6C3_.wvu.FilterData" localSheetId="2" hidden="1">'Response Time '!$A$1:$L$63</definedName>
    <definedName name="Z_F2292B89_B249_407C_9F60_58BD83C5901D_.wvu.FilterData" localSheetId="2" hidden="1">'Response Time '!$A$1:$L$63</definedName>
    <definedName name="Z_F5DE3CB0_C52E_433A_B531_B98B1F605089_.wvu.FilterData" localSheetId="2" hidden="1">'Response Time '!$A$1:$L$63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6" i="1" l="1"/>
  <c r="M45" i="1"/>
  <c r="M44" i="1"/>
  <c r="M40" i="1"/>
  <c r="M38" i="1"/>
  <c r="M35" i="1"/>
  <c r="M32" i="1"/>
  <c r="M31" i="1"/>
  <c r="N3" i="1"/>
  <c r="N60" i="1" l="1"/>
  <c r="N66" i="1"/>
  <c r="O77" i="1"/>
  <c r="N34" i="1"/>
  <c r="N33" i="1"/>
  <c r="F55" i="7"/>
  <c r="N62" i="1"/>
  <c r="N61" i="1"/>
  <c r="G49" i="7"/>
  <c r="F48" i="7"/>
  <c r="F47" i="7"/>
  <c r="F46" i="7"/>
  <c r="F45" i="7"/>
  <c r="F44" i="7"/>
  <c r="F42" i="7"/>
  <c r="F41" i="7"/>
  <c r="F40" i="7"/>
  <c r="F39" i="7"/>
  <c r="F38" i="7"/>
  <c r="F37" i="7"/>
  <c r="F49" i="7"/>
  <c r="F36" i="7"/>
  <c r="F35" i="7"/>
  <c r="O66" i="1"/>
  <c r="N65" i="1"/>
  <c r="O65" i="1"/>
  <c r="N59" i="1"/>
  <c r="O59" i="1"/>
  <c r="N15" i="1"/>
  <c r="N57" i="1"/>
  <c r="N14" i="1"/>
  <c r="N74" i="1"/>
  <c r="N73" i="1"/>
  <c r="N22" i="1"/>
  <c r="N21" i="1"/>
  <c r="O21" i="1"/>
  <c r="N13" i="1"/>
  <c r="N58" i="1"/>
  <c r="N75" i="1"/>
  <c r="N76" i="1"/>
  <c r="N20" i="1"/>
  <c r="N56" i="1"/>
  <c r="N55" i="1"/>
  <c r="N54" i="1"/>
  <c r="N51" i="1"/>
  <c r="N50" i="1"/>
  <c r="N40" i="1"/>
  <c r="N32" i="1"/>
  <c r="N31" i="1"/>
  <c r="N12" i="1"/>
  <c r="N11" i="1"/>
  <c r="N10" i="1"/>
  <c r="N9" i="1"/>
  <c r="N8" i="1"/>
  <c r="N7" i="1"/>
  <c r="N87" i="1"/>
  <c r="N86" i="1"/>
  <c r="F63" i="7"/>
  <c r="F62" i="7"/>
  <c r="F61" i="7"/>
  <c r="N68" i="1"/>
  <c r="N67" i="1"/>
  <c r="O9" i="1"/>
  <c r="G51" i="7"/>
  <c r="F51" i="7"/>
  <c r="F50" i="7"/>
  <c r="N52" i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G12" i="7"/>
  <c r="F11" i="7"/>
  <c r="F10" i="7"/>
  <c r="N85" i="1"/>
  <c r="F9" i="7"/>
  <c r="F8" i="7"/>
  <c r="F7" i="7"/>
  <c r="F6" i="7"/>
  <c r="N84" i="1"/>
  <c r="G6" i="7"/>
  <c r="F4" i="7"/>
  <c r="F3" i="7"/>
  <c r="G3" i="7"/>
  <c r="N70" i="1"/>
  <c r="N69" i="1"/>
  <c r="F2" i="7"/>
  <c r="G2" i="7"/>
  <c r="N53" i="1"/>
  <c r="N39" i="1"/>
  <c r="N38" i="1"/>
  <c r="N37" i="1"/>
  <c r="N36" i="1"/>
  <c r="N35" i="1"/>
  <c r="N30" i="1"/>
  <c r="N29" i="1"/>
  <c r="N28" i="1"/>
  <c r="N27" i="1"/>
  <c r="N26" i="1"/>
  <c r="N25" i="1"/>
  <c r="N24" i="1"/>
  <c r="N23" i="1"/>
  <c r="N18" i="1"/>
  <c r="N17" i="1"/>
  <c r="N16" i="1"/>
  <c r="N5" i="1"/>
  <c r="N4" i="1"/>
  <c r="N2" i="1"/>
  <c r="H4" i="1"/>
  <c r="G4" i="1"/>
  <c r="J2" i="1"/>
  <c r="G42" i="7"/>
  <c r="G41" i="7"/>
  <c r="G40" i="7"/>
  <c r="G37" i="7"/>
  <c r="G11" i="7"/>
  <c r="G10" i="7"/>
  <c r="G9" i="7"/>
  <c r="G8" i="7"/>
  <c r="G7" i="7"/>
  <c r="G4" i="7"/>
  <c r="G63" i="7"/>
  <c r="G62" i="7"/>
  <c r="G61" i="7"/>
  <c r="G58" i="7"/>
  <c r="G56" i="7"/>
  <c r="G55" i="7"/>
  <c r="G53" i="7"/>
  <c r="G52" i="7"/>
  <c r="G50" i="7"/>
  <c r="G48" i="7"/>
  <c r="G47" i="7"/>
  <c r="G46" i="7"/>
  <c r="G45" i="7"/>
  <c r="G44" i="7"/>
  <c r="G39" i="7"/>
  <c r="G38" i="7"/>
  <c r="G36" i="7"/>
  <c r="G35" i="7"/>
  <c r="G24" i="7"/>
  <c r="G23" i="7"/>
  <c r="G22" i="7"/>
  <c r="G21" i="7"/>
  <c r="G20" i="7"/>
  <c r="G19" i="7"/>
  <c r="G18" i="7"/>
  <c r="G17" i="7"/>
  <c r="G16" i="7"/>
  <c r="G15" i="7"/>
  <c r="G14" i="7"/>
  <c r="G13" i="7"/>
  <c r="O95" i="1"/>
  <c r="O93" i="1"/>
  <c r="O91" i="1"/>
  <c r="O89" i="1"/>
  <c r="O85" i="1"/>
  <c r="O76" i="1"/>
  <c r="O70" i="1"/>
  <c r="O94" i="1"/>
  <c r="O90" i="1"/>
  <c r="O88" i="1"/>
  <c r="O87" i="1"/>
  <c r="O84" i="1"/>
  <c r="O75" i="1"/>
  <c r="O74" i="1"/>
  <c r="O73" i="1"/>
  <c r="O69" i="1"/>
  <c r="O68" i="1"/>
  <c r="O67" i="1"/>
  <c r="O62" i="1"/>
  <c r="O61" i="1"/>
  <c r="O58" i="1"/>
  <c r="O57" i="1"/>
  <c r="O56" i="1"/>
  <c r="O55" i="1"/>
  <c r="O54" i="1"/>
  <c r="O53" i="1"/>
  <c r="O52" i="1"/>
  <c r="O51" i="1"/>
  <c r="O50" i="1"/>
  <c r="O49" i="1"/>
  <c r="O40" i="1"/>
  <c r="O38" i="1"/>
  <c r="O32" i="1"/>
  <c r="O31" i="1"/>
  <c r="O29" i="1"/>
  <c r="O27" i="1"/>
  <c r="O26" i="1"/>
  <c r="O25" i="1"/>
  <c r="O24" i="1"/>
  <c r="O20" i="1"/>
  <c r="O19" i="1"/>
  <c r="O18" i="1"/>
  <c r="O17" i="1"/>
  <c r="O16" i="1"/>
  <c r="O15" i="1"/>
  <c r="O14" i="1"/>
  <c r="O13" i="1"/>
  <c r="O12" i="1"/>
  <c r="O11" i="1"/>
  <c r="O5" i="1"/>
  <c r="O4" i="1"/>
  <c r="J95" i="1"/>
  <c r="H95" i="1"/>
  <c r="G95" i="1"/>
  <c r="F95" i="1"/>
  <c r="J94" i="1"/>
  <c r="H94" i="1"/>
  <c r="G94" i="1"/>
  <c r="F94" i="1"/>
  <c r="J93" i="1"/>
  <c r="H93" i="1"/>
  <c r="G93" i="1"/>
  <c r="F93" i="1"/>
  <c r="J92" i="1"/>
  <c r="H92" i="1"/>
  <c r="G92" i="1"/>
  <c r="F92" i="1"/>
  <c r="J91" i="1"/>
  <c r="H91" i="1"/>
  <c r="G91" i="1"/>
  <c r="F91" i="1"/>
  <c r="J90" i="1"/>
  <c r="H90" i="1"/>
  <c r="G90" i="1"/>
  <c r="F90" i="1"/>
  <c r="J89" i="1"/>
  <c r="H89" i="1"/>
  <c r="G89" i="1"/>
  <c r="F89" i="1"/>
  <c r="J88" i="1"/>
  <c r="H88" i="1"/>
  <c r="G88" i="1"/>
  <c r="F88" i="1"/>
  <c r="J87" i="1"/>
  <c r="H87" i="1"/>
  <c r="G87" i="1"/>
  <c r="F87" i="1"/>
  <c r="J86" i="1"/>
  <c r="H86" i="1"/>
  <c r="G86" i="1"/>
  <c r="F86" i="1"/>
  <c r="J85" i="1"/>
  <c r="H85" i="1"/>
  <c r="G85" i="1"/>
  <c r="F85" i="1"/>
  <c r="J84" i="1"/>
  <c r="H84" i="1"/>
  <c r="G84" i="1"/>
  <c r="F84" i="1"/>
  <c r="J83" i="1"/>
  <c r="H83" i="1"/>
  <c r="G83" i="1"/>
  <c r="F83" i="1"/>
  <c r="J82" i="1"/>
  <c r="H82" i="1"/>
  <c r="G82" i="1"/>
  <c r="F82" i="1"/>
  <c r="J81" i="1"/>
  <c r="H81" i="1"/>
  <c r="G81" i="1"/>
  <c r="F81" i="1"/>
  <c r="J80" i="1"/>
  <c r="H80" i="1"/>
  <c r="G80" i="1"/>
  <c r="F80" i="1"/>
  <c r="J79" i="1"/>
  <c r="H79" i="1"/>
  <c r="G79" i="1"/>
  <c r="F79" i="1"/>
  <c r="J78" i="1"/>
  <c r="H78" i="1"/>
  <c r="G78" i="1"/>
  <c r="F78" i="1"/>
  <c r="J77" i="1"/>
  <c r="H77" i="1"/>
  <c r="G77" i="1"/>
  <c r="F77" i="1"/>
  <c r="J76" i="1"/>
  <c r="H76" i="1"/>
  <c r="G76" i="1"/>
  <c r="F76" i="1"/>
  <c r="J75" i="1"/>
  <c r="H75" i="1"/>
  <c r="G75" i="1"/>
  <c r="F75" i="1"/>
  <c r="J74" i="1"/>
  <c r="H74" i="1"/>
  <c r="G74" i="1"/>
  <c r="F74" i="1"/>
  <c r="J73" i="1"/>
  <c r="H73" i="1"/>
  <c r="G73" i="1"/>
  <c r="F73" i="1"/>
  <c r="J72" i="1"/>
  <c r="H72" i="1"/>
  <c r="G72" i="1"/>
  <c r="F72" i="1"/>
  <c r="J71" i="1"/>
  <c r="H71" i="1"/>
  <c r="G71" i="1"/>
  <c r="F71" i="1"/>
  <c r="J70" i="1"/>
  <c r="H70" i="1"/>
  <c r="G70" i="1"/>
  <c r="F70" i="1"/>
  <c r="J69" i="1"/>
  <c r="H69" i="1"/>
  <c r="G69" i="1"/>
  <c r="F69" i="1"/>
  <c r="J68" i="1"/>
  <c r="H68" i="1"/>
  <c r="G68" i="1"/>
  <c r="F68" i="1"/>
  <c r="J67" i="1"/>
  <c r="H67" i="1"/>
  <c r="G67" i="1"/>
  <c r="F67" i="1"/>
  <c r="J66" i="1"/>
  <c r="H66" i="1"/>
  <c r="G66" i="1"/>
  <c r="F66" i="1"/>
  <c r="J65" i="1"/>
  <c r="H65" i="1"/>
  <c r="G65" i="1"/>
  <c r="F65" i="1"/>
  <c r="J64" i="1"/>
  <c r="H64" i="1"/>
  <c r="G64" i="1"/>
  <c r="F64" i="1"/>
  <c r="J63" i="1"/>
  <c r="H63" i="1"/>
  <c r="G63" i="1"/>
  <c r="F63" i="1"/>
  <c r="J62" i="1"/>
  <c r="H62" i="1"/>
  <c r="G62" i="1"/>
  <c r="F62" i="1"/>
  <c r="J61" i="1"/>
  <c r="H61" i="1"/>
  <c r="G61" i="1"/>
  <c r="F61" i="1"/>
  <c r="J60" i="1"/>
  <c r="H60" i="1"/>
  <c r="G60" i="1"/>
  <c r="F60" i="1"/>
  <c r="J59" i="1"/>
  <c r="H59" i="1"/>
  <c r="G59" i="1"/>
  <c r="F59" i="1"/>
  <c r="J58" i="1"/>
  <c r="H58" i="1"/>
  <c r="G58" i="1"/>
  <c r="F58" i="1"/>
  <c r="J57" i="1"/>
  <c r="H57" i="1"/>
  <c r="G57" i="1"/>
  <c r="F57" i="1"/>
  <c r="J56" i="1"/>
  <c r="H56" i="1"/>
  <c r="G56" i="1"/>
  <c r="F56" i="1"/>
  <c r="J55" i="1"/>
  <c r="H55" i="1"/>
  <c r="G55" i="1"/>
  <c r="F55" i="1"/>
  <c r="J54" i="1"/>
  <c r="H54" i="1"/>
  <c r="G54" i="1"/>
  <c r="F54" i="1"/>
  <c r="J53" i="1"/>
  <c r="H53" i="1"/>
  <c r="G53" i="1"/>
  <c r="F53" i="1"/>
  <c r="J52" i="1"/>
  <c r="H52" i="1"/>
  <c r="G52" i="1"/>
  <c r="F52" i="1"/>
  <c r="J51" i="1"/>
  <c r="H51" i="1"/>
  <c r="G51" i="1"/>
  <c r="F51" i="1"/>
  <c r="J50" i="1"/>
  <c r="H50" i="1"/>
  <c r="G50" i="1"/>
  <c r="F50" i="1"/>
  <c r="J40" i="1"/>
  <c r="H40" i="1"/>
  <c r="G40" i="1"/>
  <c r="F40" i="1"/>
  <c r="J39" i="1"/>
  <c r="H39" i="1"/>
  <c r="G39" i="1"/>
  <c r="F39" i="1"/>
  <c r="J38" i="1"/>
  <c r="H38" i="1"/>
  <c r="G38" i="1"/>
  <c r="F38" i="1"/>
  <c r="J37" i="1"/>
  <c r="H37" i="1"/>
  <c r="G37" i="1"/>
  <c r="F37" i="1"/>
  <c r="J36" i="1"/>
  <c r="H36" i="1"/>
  <c r="G36" i="1"/>
  <c r="F36" i="1"/>
  <c r="J35" i="1"/>
  <c r="H35" i="1"/>
  <c r="G35" i="1"/>
  <c r="F35" i="1"/>
  <c r="H34" i="1"/>
  <c r="G34" i="1"/>
  <c r="F34" i="1"/>
  <c r="H33" i="1"/>
  <c r="G33" i="1"/>
  <c r="F33" i="1"/>
  <c r="J32" i="1"/>
  <c r="H32" i="1"/>
  <c r="G32" i="1"/>
  <c r="F32" i="1"/>
  <c r="J31" i="1"/>
  <c r="H31" i="1"/>
  <c r="G31" i="1"/>
  <c r="F31" i="1"/>
  <c r="J30" i="1"/>
  <c r="H30" i="1"/>
  <c r="G30" i="1"/>
  <c r="F30" i="1"/>
  <c r="J29" i="1"/>
  <c r="H29" i="1"/>
  <c r="G29" i="1"/>
  <c r="F29" i="1"/>
  <c r="J28" i="1"/>
  <c r="H28" i="1"/>
  <c r="G28" i="1"/>
  <c r="F28" i="1"/>
  <c r="J27" i="1"/>
  <c r="H27" i="1"/>
  <c r="G27" i="1"/>
  <c r="F27" i="1"/>
  <c r="J26" i="1"/>
  <c r="H26" i="1"/>
  <c r="G26" i="1"/>
  <c r="F26" i="1"/>
  <c r="J25" i="1"/>
  <c r="H25" i="1"/>
  <c r="G25" i="1"/>
  <c r="F25" i="1"/>
  <c r="J24" i="1"/>
  <c r="H24" i="1"/>
  <c r="G24" i="1"/>
  <c r="F24" i="1"/>
  <c r="J23" i="1"/>
  <c r="H23" i="1"/>
  <c r="G23" i="1"/>
  <c r="F23" i="1"/>
  <c r="J22" i="1"/>
  <c r="H22" i="1"/>
  <c r="G22" i="1"/>
  <c r="F22" i="1"/>
  <c r="J21" i="1"/>
  <c r="H21" i="1"/>
  <c r="G21" i="1"/>
  <c r="F21" i="1"/>
  <c r="J20" i="1"/>
  <c r="H20" i="1"/>
  <c r="G20" i="1"/>
  <c r="F20" i="1"/>
  <c r="J19" i="1"/>
  <c r="H19" i="1"/>
  <c r="G19" i="1"/>
  <c r="F19" i="1"/>
  <c r="J18" i="1"/>
  <c r="H18" i="1"/>
  <c r="G18" i="1"/>
  <c r="F18" i="1"/>
  <c r="J17" i="1"/>
  <c r="H17" i="1"/>
  <c r="G17" i="1"/>
  <c r="F17" i="1"/>
  <c r="J16" i="1"/>
  <c r="H16" i="1"/>
  <c r="G16" i="1"/>
  <c r="F16" i="1"/>
  <c r="J15" i="1"/>
  <c r="H15" i="1"/>
  <c r="G15" i="1"/>
  <c r="F15" i="1"/>
  <c r="J14" i="1"/>
  <c r="H14" i="1"/>
  <c r="G14" i="1"/>
  <c r="F14" i="1"/>
  <c r="J13" i="1"/>
  <c r="H13" i="1"/>
  <c r="G13" i="1"/>
  <c r="F13" i="1"/>
  <c r="J12" i="1"/>
  <c r="H12" i="1"/>
  <c r="G12" i="1"/>
  <c r="F12" i="1"/>
  <c r="J11" i="1"/>
  <c r="H11" i="1"/>
  <c r="G11" i="1"/>
  <c r="F11" i="1"/>
  <c r="J10" i="1"/>
  <c r="H10" i="1"/>
  <c r="G10" i="1"/>
  <c r="F10" i="1"/>
  <c r="J9" i="1"/>
  <c r="H9" i="1"/>
  <c r="G9" i="1"/>
  <c r="F9" i="1"/>
  <c r="J7" i="1"/>
  <c r="H7" i="1"/>
  <c r="G7" i="1"/>
  <c r="F7" i="1"/>
  <c r="J6" i="1"/>
  <c r="H6" i="1"/>
  <c r="G6" i="1"/>
  <c r="F6" i="1"/>
  <c r="J5" i="1"/>
  <c r="H5" i="1"/>
  <c r="G5" i="1"/>
  <c r="F5" i="1"/>
  <c r="J4" i="1"/>
  <c r="F4" i="1"/>
  <c r="J3" i="1"/>
  <c r="H3" i="1"/>
  <c r="G3" i="1"/>
  <c r="F3" i="1"/>
  <c r="H2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tc={7322FF62-DE96-4E8F-89F2-D4F09D58087E}</author>
  </authors>
  <commentList>
    <comment ref="P1" authorId="0" shapeId="0" xr:uid="{00000000-0006-0000-0100-000001000000}">
      <text>
        <r>
          <rPr>
            <sz val="10"/>
            <color rgb="FF000000"/>
            <rFont val="宋体"/>
            <family val="3"/>
            <charset val="134"/>
          </rPr>
          <t xml:space="preserve">[Threaded comment]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Comment:
</t>
        </r>
        <r>
          <rPr>
            <sz val="10"/>
            <color rgb="FF000000"/>
            <rFont val="宋体"/>
            <family val="3"/>
            <charset val="134"/>
          </rPr>
          <t xml:space="preserve">    </t>
        </r>
        <r>
          <rPr>
            <sz val="10"/>
            <color rgb="FF000000"/>
            <rFont val="宋体"/>
            <family val="3"/>
            <charset val="134"/>
          </rPr>
          <t>所有测试项优先选择实车，这里要求的实车的项，如果没有使用实车，需要特别说明。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<sst xmlns="http://schemas.openxmlformats.org/spreadsheetml/2006/main" count="3832" uniqueCount="1307">
  <si>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</si>
  <si>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</si>
  <si>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</si>
  <si>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</si>
  <si>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</si>
  <si>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</si>
  <si>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</si>
  <si>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</si>
  <si>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</si>
  <si>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CPU Avg偏差超过20%的说明</t>
  </si>
  <si>
    <t>RAM Avg偏差超5%的说明</t>
  </si>
  <si>
    <t>GPU偏差超过10%的说明</t>
  </si>
  <si>
    <t>27寸大屏（无AR）</t>
  </si>
  <si>
    <t xml:space="preserve"> 开机3分钟后IDLE（全屏状态，打开系统设置应用，不要停留在Launcher界面）</t>
  </si>
  <si>
    <t>Desay/Baidu</t>
  </si>
  <si>
    <t>无此功能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</si>
  <si>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</si>
  <si>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</si>
  <si>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</si>
  <si>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</si>
  <si>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</si>
  <si>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</si>
  <si>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</si>
  <si>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</si>
  <si>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</si>
  <si>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</si>
  <si>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</si>
  <si>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</si>
  <si>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</si>
  <si>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</si>
  <si>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</si>
  <si>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</rPr>
      <t>QQ Music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</si>
  <si>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</si>
  <si>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</rPr>
      <t>QQ Music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</rPr>
      <t>+V2I</t>
    </r>
  </si>
  <si>
    <t>验收版本</t>
  </si>
  <si>
    <t>类别</t>
  </si>
  <si>
    <t>序号</t>
  </si>
  <si>
    <t>影响因素</t>
  </si>
  <si>
    <t>影响因素（新）</t>
  </si>
  <si>
    <t>1分</t>
  </si>
  <si>
    <t>2分</t>
  </si>
  <si>
    <t>3分</t>
  </si>
  <si>
    <t>4分</t>
  </si>
  <si>
    <t>5分</t>
  </si>
  <si>
    <t>Reference</t>
  </si>
  <si>
    <t>网络依赖</t>
  </si>
  <si>
    <t>测试状态</t>
  </si>
  <si>
    <t>测试前提条件</t>
  </si>
  <si>
    <t>测试步骤</t>
  </si>
  <si>
    <t>性能数据计算细则</t>
  </si>
  <si>
    <t>milestone;R06;OKTOBY</t>
  </si>
  <si>
    <t>响应时间</t>
  </si>
  <si>
    <t>Launcher显示到QQ音乐首次启动</t>
  </si>
  <si>
    <t>14.2s</t>
  </si>
  <si>
    <t>台架</t>
  </si>
  <si>
    <t>网络强依赖</t>
  </si>
  <si>
    <t>冷启动</t>
  </si>
  <si>
    <t>关机前QQ音乐是暂停状态</t>
  </si>
  <si>
    <t>计算从手部离开点击到QQ音乐界面稳定展示</t>
  </si>
  <si>
    <t>Baidu</t>
  </si>
  <si>
    <t>Power on QQ音乐首次启动（默认播放）</t>
  </si>
  <si>
    <t>4s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</si>
  <si>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</si>
  <si>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</si>
  <si>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</si>
  <si>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</si>
  <si>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</si>
  <si>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</si>
  <si>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</si>
  <si>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</si>
  <si>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</si>
  <si>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</si>
  <si>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</si>
  <si>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</si>
  <si>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</si>
  <si>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</si>
  <si>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</si>
  <si>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</si>
  <si>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</si>
  <si>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实车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</si>
  <si>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</si>
  <si>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</si>
  <si>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</si>
  <si>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</si>
  <si>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</si>
  <si>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</si>
  <si>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</si>
  <si>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</si>
  <si>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</si>
  <si>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</si>
  <si>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</si>
  <si>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</si>
  <si>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</si>
  <si>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</si>
  <si>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</si>
  <si>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</si>
  <si>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计算从手部离开点击到搜索结果稳定展示</t>
  </si>
  <si>
    <t>Launcher显示到选择目的地后路线规划完成</t>
  </si>
  <si>
    <t>2s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</si>
  <si>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</si>
  <si>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</si>
  <si>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</si>
  <si>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</si>
  <si>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</si>
  <si>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</si>
  <si>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</si>
  <si>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</si>
  <si>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</si>
  <si>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</si>
  <si>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</si>
  <si>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5s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</si>
  <si>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</si>
  <si>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</si>
  <si>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</si>
  <si>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</si>
  <si>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</si>
  <si>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</si>
  <si>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计算从Launcher第一帧至在线电台播放（播放按钮从暂停到播放状态，认定为开始播放）</t>
  </si>
  <si>
    <t>Power on到根目录两首歌的USB音源恢复</t>
  </si>
  <si>
    <t>Launcher显示到根目录两首歌的USB音源恢复</t>
  </si>
  <si>
    <t>18.2s</t>
  </si>
  <si>
    <t>1.1.U盘根目录存放两首歌曲
2.车机播放U盘音乐</t>
  </si>
  <si>
    <t>计算从Launcher第一帧至U盘音乐播放（播放按钮从暂停到播放状态，认定为开始播放）</t>
  </si>
  <si>
    <t>Power onQQ音源恢复</t>
  </si>
  <si>
    <t>Launcher显示到QQ音源恢复</t>
  </si>
  <si>
    <t>1.强网
2.车机播放QQ音乐</t>
  </si>
  <si>
    <t>计算从Launcher第一帧至QQ音乐播放（播放按钮从暂停到播放状态，认定为开始播放）</t>
  </si>
  <si>
    <t>Launcher显示到账号自动登录时间</t>
  </si>
  <si>
    <t>非目标车型（727车型启动时序修改，帐号模块比luancher起的早）</t>
  </si>
  <si>
    <t>非目标车型</t>
  </si>
  <si>
    <t>强网，账号已登录，未开启人脸识别</t>
  </si>
  <si>
    <t>Launcher显示到账号二维码出现时间</t>
  </si>
  <si>
    <t>强网，账号未登录，未开启人脸识别</t>
  </si>
  <si>
    <t>Launcher显示到人脸识别时间</t>
  </si>
  <si>
    <t>Launcher显示到人脸识别成功，账号成功登录时间</t>
  </si>
  <si>
    <t>系统稳定状态下QQ音乐首次启动</t>
  </si>
  <si>
    <t>默认关机前QQ音乐暂停
测试时处于导航状态</t>
  </si>
  <si>
    <t>计算从手指抬起动作到QQ音乐界面稳定展示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</si>
  <si>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</si>
  <si>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</si>
  <si>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</si>
  <si>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</si>
  <si>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</si>
  <si>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</si>
  <si>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</si>
  <si>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</si>
  <si>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</si>
  <si>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</si>
  <si>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</si>
  <si>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</si>
  <si>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</si>
  <si>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</si>
  <si>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</si>
  <si>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</si>
  <si>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</si>
  <si>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</si>
  <si>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</si>
  <si>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</si>
  <si>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</si>
  <si>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</si>
  <si>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</si>
  <si>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</si>
  <si>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</si>
  <si>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</si>
  <si>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</si>
  <si>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</si>
  <si>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</si>
  <si>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</si>
  <si>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</si>
  <si>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</si>
  <si>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</si>
  <si>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</si>
  <si>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热启动</t>
  </si>
  <si>
    <t>系统稳定以后打开QQ音乐，再回到首页，再次打开QQ音乐</t>
  </si>
  <si>
    <t>计算第二次打开QQ音乐从手指抬起动作到音乐界面稳定展示</t>
  </si>
  <si>
    <t>R06;OKTOBY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</si>
  <si>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</si>
  <si>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</si>
  <si>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</si>
  <si>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</si>
  <si>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200ms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</si>
  <si>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</si>
  <si>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</si>
  <si>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</si>
  <si>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</si>
  <si>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</si>
  <si>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</si>
  <si>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</si>
  <si>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</si>
  <si>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</si>
  <si>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</si>
  <si>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</si>
  <si>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</si>
  <si>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</si>
  <si>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</si>
  <si>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</si>
  <si>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</si>
  <si>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</si>
  <si>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</si>
  <si>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</si>
  <si>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&gt;30%</t>
  </si>
  <si>
    <t>monkey运行过程中，以5分钟为间隔持续用dumpsys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</si>
  <si>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</si>
  <si>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</si>
  <si>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</si>
  <si>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</si>
  <si>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</si>
  <si>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</si>
  <si>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</si>
  <si>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</si>
  <si>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</si>
  <si>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</si>
  <si>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</si>
  <si>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</si>
  <si>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</si>
  <si>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</si>
  <si>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</si>
  <si>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</si>
  <si>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</si>
  <si>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</si>
  <si>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</si>
  <si>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</si>
  <si>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</si>
  <si>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</si>
  <si>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</si>
  <si>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</si>
  <si>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</si>
  <si>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</si>
  <si>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</si>
  <si>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</si>
  <si>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</si>
  <si>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</si>
  <si>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</si>
  <si>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</si>
  <si>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</si>
  <si>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</si>
  <si>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</si>
  <si>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</si>
  <si>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</si>
  <si>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</si>
  <si>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</si>
  <si>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</si>
  <si>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</si>
  <si>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</si>
  <si>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</si>
  <si>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</si>
  <si>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</si>
  <si>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</si>
  <si>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</si>
  <si>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</si>
  <si>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</si>
  <si>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</si>
  <si>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</si>
  <si>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</si>
  <si>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</si>
  <si>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</si>
  <si>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</si>
  <si>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</si>
  <si>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</si>
  <si>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</si>
  <si>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</si>
  <si>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</si>
  <si>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无此功能</t>
    <phoneticPr fontId="18" type="noConversion"/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</si>
  <si>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</si>
  <si>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</si>
  <si>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</si>
  <si>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</si>
  <si>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</si>
  <si>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</si>
  <si>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</si>
  <si>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</si>
  <si>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</si>
  <si>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</si>
  <si>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</si>
  <si>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</si>
  <si>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</si>
  <si>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</si>
  <si>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</si>
  <si>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</si>
  <si>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</si>
  <si>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</si>
  <si>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</si>
  <si>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</si>
  <si>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</si>
  <si>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</si>
  <si>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</si>
  <si>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</si>
  <si>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</si>
  <si>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</si>
  <si>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</si>
  <si>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</si>
  <si>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</si>
  <si>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</si>
  <si>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</si>
  <si>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</si>
  <si>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</si>
  <si>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</si>
  <si>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</si>
  <si>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</si>
  <si>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</si>
  <si>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</si>
  <si>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</si>
  <si>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</si>
  <si>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</si>
  <si>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</si>
  <si>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</si>
  <si>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</si>
  <si>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</si>
  <si>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</si>
  <si>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</si>
  <si>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</si>
  <si>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</si>
  <si>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</si>
  <si>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</si>
  <si>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</si>
  <si>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</si>
  <si>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</si>
  <si>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</si>
  <si>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</si>
  <si>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</si>
  <si>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</si>
  <si>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</si>
  <si>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</si>
  <si>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</si>
  <si>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</si>
  <si>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</si>
  <si>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</si>
  <si>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</si>
  <si>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</si>
  <si>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</si>
  <si>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</si>
  <si>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</si>
  <si>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</si>
  <si>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8小时Monkey测试-Launcher</t>
  </si>
  <si>
    <t>8小时Monkey测试-导航</t>
  </si>
  <si>
    <t>8小时Monkey测试-输入法</t>
  </si>
  <si>
    <t>8小时Monkey测试（其他应用）</t>
  </si>
  <si>
    <t>27寸长屏</t>
  </si>
  <si>
    <t>开机3分钟后IDLE（全屏状态，打开系统设置应用，不要停留在Launcher界面）</t>
  </si>
  <si>
    <t>主驾导航+主驾QQ Music+副驾爱奇艺+副驾BT耳机+VR</t>
  </si>
  <si>
    <t>主驾导航+主驾BT Music+副驾QQ Music+副驾BT耳机+VR</t>
  </si>
  <si>
    <t>主驾导航+主驾QQ Music+副驾切换主题20次</t>
  </si>
  <si>
    <t>主驾导航+主驾QQ Music+副驾轮流操作空调/氛围灯/按钮等动效</t>
  </si>
  <si>
    <t>主驾导航+主驾QQ Music+副驾QQ Music+副驾BT耳机+副驾把所有应用启动一次</t>
  </si>
  <si>
    <t>上电开机后100秒</t>
  </si>
  <si>
    <t>开机过程中连续发起三次倒车</t>
  </si>
  <si>
    <t>开机完成后倒车</t>
  </si>
  <si>
    <t>开机3分钟后IDLE</t>
  </si>
  <si>
    <t>导航+QQ Music+VR</t>
  </si>
  <si>
    <t>导航+BT Music+VR</t>
  </si>
  <si>
    <t>爱奇艺+后台导航+VR</t>
  </si>
  <si>
    <t>导航+QQ Music+切换主题20次</t>
  </si>
  <si>
    <t>导航+把所有应用启动一次</t>
  </si>
  <si>
    <t>CD542H 27寸长屏（带AR导航功能的）</t>
  </si>
  <si>
    <t>主驾AR导航+主驾QQ Music+副驾爱奇艺+副驾BT耳机+VR</t>
  </si>
  <si>
    <t>主驾AR导航+主驾QQ Music+副驾切换主题20次</t>
  </si>
  <si>
    <t>category</t>
  </si>
  <si>
    <t>Ford FO</t>
  </si>
  <si>
    <t>test item</t>
  </si>
  <si>
    <t>Benchmark用例</t>
  </si>
  <si>
    <t>Spec</t>
  </si>
  <si>
    <t>R13版本
（单位：秒）</t>
    <phoneticPr fontId="18" type="noConversion"/>
  </si>
  <si>
    <t>R12版本
（单位：秒）</t>
    <phoneticPr fontId="18" type="noConversion"/>
  </si>
  <si>
    <t>Test Result</t>
  </si>
  <si>
    <t>Tester</t>
  </si>
  <si>
    <t>BUG ID</t>
  </si>
  <si>
    <t>SW Version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</si>
  <si>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</si>
  <si>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</si>
  <si>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</si>
  <si>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</si>
  <si>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</si>
  <si>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</si>
  <si>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</si>
  <si>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</si>
  <si>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</si>
  <si>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</si>
  <si>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</si>
  <si>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</si>
  <si>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</si>
  <si>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</si>
  <si>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</si>
  <si>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</si>
  <si>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</si>
  <si>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</si>
  <si>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</si>
  <si>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</si>
  <si>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</si>
  <si>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</si>
  <si>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</si>
  <si>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</si>
  <si>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</si>
  <si>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</si>
  <si>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</si>
  <si>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</si>
  <si>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</si>
  <si>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</si>
  <si>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</si>
  <si>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</si>
  <si>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</si>
  <si>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</si>
  <si>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</si>
  <si>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</si>
  <si>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</si>
  <si>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</si>
  <si>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</si>
  <si>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</si>
  <si>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</si>
  <si>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</si>
  <si>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</si>
  <si>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</si>
  <si>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</si>
  <si>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</si>
  <si>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</si>
  <si>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</si>
  <si>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</si>
  <si>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</si>
  <si>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</si>
  <si>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</si>
  <si>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</si>
  <si>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</si>
  <si>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</si>
  <si>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</si>
  <si>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</si>
  <si>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</si>
  <si>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</si>
  <si>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</si>
  <si>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</si>
  <si>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</si>
  <si>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</si>
  <si>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</si>
  <si>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</si>
  <si>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</si>
  <si>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</si>
  <si>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</si>
  <si>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</si>
  <si>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</si>
  <si>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</si>
  <si>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</si>
  <si>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</si>
  <si>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</si>
  <si>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</si>
  <si>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</si>
  <si>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</si>
  <si>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</si>
  <si>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</si>
  <si>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</si>
  <si>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</si>
  <si>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</si>
  <si>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</si>
  <si>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软件版本：</t>
    <phoneticPr fontId="18" type="noConversion"/>
  </si>
  <si>
    <t>应用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</si>
  <si>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</si>
  <si>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</si>
  <si>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</si>
  <si>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</si>
  <si>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</si>
  <si>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</si>
  <si>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</si>
  <si>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</si>
  <si>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</si>
  <si>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Avg偏差超过10%的说明</t>
  </si>
  <si>
    <t>是否常驻后台</t>
  </si>
  <si>
    <t>连续在线指令5min</t>
  </si>
  <si>
    <t>前台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</si>
  <si>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</si>
  <si>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</si>
  <si>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</si>
  <si>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</si>
  <si>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</si>
  <si>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</si>
  <si>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后台</t>
  </si>
  <si>
    <t>安全</t>
  </si>
  <si>
    <t>隐私列表页静置5min</t>
  </si>
  <si>
    <t>com.baidu.bodyguard</t>
  </si>
  <si>
    <t>&lt;400</t>
  </si>
  <si>
    <t>静置前台5min</t>
  </si>
  <si>
    <t>使用应用5min</t>
  </si>
  <si>
    <t>随心拍</t>
  </si>
  <si>
    <t>com.baidu.iov.dueros.camera</t>
    <phoneticPr fontId="18" type="noConversion"/>
  </si>
  <si>
    <t>com.baidu.iov.dueros.camera</t>
  </si>
  <si>
    <t>消息中心</t>
  </si>
  <si>
    <t>com.baidu.xiaoduos.messageserver</t>
  </si>
  <si>
    <t>随心看</t>
  </si>
  <si>
    <t>启动过程5min（冷启动）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</si>
  <si>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</si>
  <si>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</si>
  <si>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</si>
  <si>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</si>
  <si>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</si>
  <si>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</si>
  <si>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前台静置5min</t>
  </si>
  <si>
    <t>com.baidu.xiaoduos.launcher</t>
  </si>
  <si>
    <t>使用应用无动画5min</t>
  </si>
  <si>
    <t>车家互联</t>
  </si>
  <si>
    <t>com.baidu.iov.dueros.car2home</t>
  </si>
  <si>
    <t>设备页面5mim</t>
  </si>
  <si>
    <t>com.baidu.che.maintenance</t>
    <phoneticPr fontId="18" type="noConversion"/>
  </si>
  <si>
    <t>随心听</t>
  </si>
  <si>
    <t>com.baidu.car.radio</t>
  </si>
  <si>
    <t>前台播放5min（播放页）</t>
  </si>
  <si>
    <t>后台播放5min（播放页面）</t>
  </si>
  <si>
    <t>播放页面切歌5min</t>
  </si>
  <si>
    <t>首页静置5min</t>
  </si>
  <si>
    <t>前台静置5min（播放页面）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</si>
  <si>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</si>
  <si>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</si>
  <si>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</si>
  <si>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</si>
  <si>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</si>
  <si>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</si>
  <si>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</si>
  <si>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</si>
  <si>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</si>
  <si>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</si>
  <si>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</si>
  <si>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 167.38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</si>
  <si>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</si>
  <si>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</si>
  <si>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</si>
  <si>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</si>
  <si>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</si>
  <si>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</si>
  <si>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</si>
  <si>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</si>
  <si>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</si>
  <si>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</si>
  <si>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</si>
  <si>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</si>
  <si>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</si>
  <si>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</si>
  <si>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</si>
  <si>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</si>
  <si>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</si>
  <si>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</si>
  <si>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</si>
  <si>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</si>
  <si>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</si>
  <si>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</si>
  <si>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</si>
  <si>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</si>
  <si>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</si>
  <si>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</si>
  <si>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com.baidu.iov.dueros.film</t>
    <phoneticPr fontId="18" type="noConversion"/>
  </si>
  <si>
    <t>com.baidu.che.parking</t>
    <phoneticPr fontId="18" type="noConversion"/>
  </si>
  <si>
    <t>com.baidu.iov.dueros.waimai</t>
    <phoneticPr fontId="18" type="noConversion"/>
  </si>
  <si>
    <t>酒店预定</t>
  </si>
  <si>
    <t>com.baidu.iov.dueros.hotel</t>
    <phoneticPr fontId="18" type="noConversion"/>
  </si>
  <si>
    <t>CD764 R08.PRO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</si>
  <si>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</si>
  <si>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</si>
  <si>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</si>
  <si>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</si>
  <si>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</si>
  <si>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</si>
  <si>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</si>
  <si>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</si>
  <si>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</si>
  <si>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</si>
  <si>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</si>
  <si>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</si>
  <si>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</si>
  <si>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</si>
  <si>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</si>
  <si>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</si>
  <si>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</si>
  <si>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</si>
  <si>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</si>
  <si>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</si>
  <si>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</si>
  <si>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</si>
  <si>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</si>
  <si>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</si>
  <si>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</si>
  <si>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</si>
  <si>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</si>
  <si>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</si>
  <si>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</si>
  <si>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</si>
  <si>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</si>
  <si>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</si>
  <si>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</si>
  <si>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</si>
  <si>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</si>
  <si>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</si>
  <si>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</si>
  <si>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</si>
  <si>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</si>
  <si>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</si>
  <si>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</si>
  <si>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</si>
  <si>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</si>
  <si>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</si>
  <si>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</si>
  <si>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</si>
  <si>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</si>
  <si>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</si>
  <si>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</si>
  <si>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</si>
  <si>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</si>
  <si>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</si>
  <si>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</si>
  <si>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</si>
  <si>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</si>
  <si>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</si>
  <si>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</si>
  <si>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</si>
  <si>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</si>
  <si>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</si>
  <si>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</si>
  <si>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</si>
  <si>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</si>
  <si>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</si>
  <si>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</si>
  <si>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</si>
  <si>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</si>
  <si>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</si>
  <si>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</si>
  <si>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</si>
  <si>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</si>
  <si>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</si>
  <si>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</si>
  <si>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</si>
  <si>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</si>
  <si>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</si>
  <si>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</si>
  <si>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</si>
  <si>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</si>
  <si>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</si>
  <si>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</si>
  <si>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</si>
  <si>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</si>
  <si>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</si>
  <si>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</si>
  <si>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</si>
  <si>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</si>
  <si>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</si>
  <si>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</si>
  <si>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</si>
  <si>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</si>
  <si>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</si>
  <si>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</si>
  <si>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</si>
  <si>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</si>
  <si>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</si>
  <si>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</si>
  <si>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</si>
  <si>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</si>
  <si>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</si>
  <si>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</si>
  <si>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</si>
  <si>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</si>
  <si>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</si>
  <si>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</si>
  <si>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</si>
  <si>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</si>
  <si>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</si>
  <si>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</si>
  <si>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</si>
  <si>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</si>
  <si>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</si>
  <si>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</si>
  <si>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</si>
  <si>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</si>
  <si>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</si>
  <si>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</si>
  <si>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</si>
  <si>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</si>
  <si>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</si>
  <si>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</si>
  <si>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</si>
  <si>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</si>
  <si>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</si>
  <si>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</si>
  <si>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</si>
  <si>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</si>
  <si>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</si>
  <si>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</si>
  <si>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</si>
  <si>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</si>
  <si>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</si>
  <si>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</si>
  <si>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</si>
  <si>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</si>
  <si>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</si>
  <si>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</si>
  <si>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</si>
  <si>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</si>
  <si>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</si>
  <si>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</si>
  <si>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</si>
  <si>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</si>
  <si>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</si>
  <si>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</si>
  <si>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</si>
  <si>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</si>
  <si>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</si>
  <si>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</si>
  <si>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</si>
  <si>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</si>
  <si>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</si>
  <si>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</si>
  <si>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</si>
  <si>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</si>
  <si>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</si>
  <si>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9.1M</t>
  </si>
  <si>
    <t>/SystemUI/oat</t>
  </si>
  <si>
    <t>/SystemUI</t>
  </si>
  <si>
    <t>47M</t>
  </si>
  <si>
    <t>46M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</si>
  <si>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</si>
  <si>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</si>
  <si>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</si>
  <si>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</si>
  <si>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</si>
  <si>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</si>
  <si>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</si>
  <si>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</si>
  <si>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</si>
  <si>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</si>
  <si>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</si>
  <si>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</si>
  <si>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</si>
  <si>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</si>
  <si>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</si>
  <si>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</si>
  <si>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</si>
  <si>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</si>
  <si>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</si>
  <si>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</si>
  <si>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</si>
  <si>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</si>
  <si>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</si>
  <si>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</si>
  <si>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</si>
  <si>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</si>
  <si>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</si>
  <si>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</si>
  <si>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</si>
  <si>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</si>
  <si>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</si>
  <si>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</si>
  <si>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</si>
  <si>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</si>
  <si>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</si>
  <si>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19M</t>
  </si>
  <si>
    <t>/AutoHotel/lib/arm</t>
  </si>
  <si>
    <t>392K</t>
  </si>
  <si>
    <t>/AutoHotel/lib</t>
  </si>
  <si>
    <t>396K</t>
  </si>
  <si>
    <t>/AutoHotel/oat/arm</t>
  </si>
  <si>
    <t>2.3M</t>
  </si>
  <si>
    <t>/AutoHotel/oat</t>
  </si>
  <si>
    <t>/AutoHotel</t>
  </si>
  <si>
    <t>6.1M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</si>
  <si>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</si>
  <si>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</si>
  <si>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</si>
  <si>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</si>
  <si>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</si>
  <si>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</si>
  <si>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</si>
  <si>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</si>
  <si>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</si>
  <si>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</si>
  <si>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22M</t>
  </si>
  <si>
    <t>/BaiduMapAuto/lib/arm</t>
  </si>
  <si>
    <t>18M</t>
  </si>
  <si>
    <t>/BaiduMapAuto/lib</t>
  </si>
  <si>
    <t>145M</t>
  </si>
  <si>
    <t>/BaiduMapAuto/oat/arm</t>
  </si>
  <si>
    <t>2.5M</t>
  </si>
  <si>
    <t>/BaiduMapAuto/oat</t>
  </si>
  <si>
    <t>7.7M</t>
  </si>
  <si>
    <t>/BaiduMapAuto</t>
  </si>
  <si>
    <t>337M</t>
  </si>
  <si>
    <t>82M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</si>
  <si>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</si>
  <si>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</si>
  <si>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</si>
  <si>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</si>
  <si>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</si>
  <si>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</si>
  <si>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</si>
  <si>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</si>
  <si>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</si>
  <si>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</si>
  <si>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</si>
  <si>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</si>
  <si>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</si>
  <si>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</si>
  <si>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</si>
  <si>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</si>
  <si>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</si>
  <si>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</si>
  <si>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</si>
  <si>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</si>
  <si>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</si>
  <si>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</si>
  <si>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2.7M</t>
  </si>
  <si>
    <t>/BluetoothService/oat</t>
  </si>
  <si>
    <t>/BluetoothService</t>
  </si>
  <si>
    <t>3.8M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</si>
  <si>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</si>
  <si>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</si>
  <si>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</si>
  <si>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</si>
  <si>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</si>
  <si>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</si>
  <si>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</si>
  <si>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</si>
  <si>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</si>
  <si>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</si>
  <si>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</si>
  <si>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</si>
  <si>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</si>
  <si>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</si>
  <si>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</si>
  <si>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</si>
  <si>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</si>
  <si>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</si>
  <si>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</si>
  <si>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</si>
  <si>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</si>
  <si>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</si>
  <si>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</si>
  <si>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</si>
  <si>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</si>
  <si>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</si>
  <si>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</si>
  <si>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</si>
  <si>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</si>
  <si>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</si>
  <si>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</si>
  <si>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6.9M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</si>
  <si>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</si>
  <si>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</si>
  <si>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</si>
  <si>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</si>
  <si>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</si>
  <si>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</si>
  <si>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132M</t>
  </si>
  <si>
    <t>138M</t>
  </si>
  <si>
    <t>/CarRadio/lib/arm64</t>
  </si>
  <si>
    <t>2.4M</t>
  </si>
  <si>
    <t>/CarRadio/lib</t>
  </si>
  <si>
    <t>/CarRadio/oat/arm64</t>
  </si>
  <si>
    <t>/CarRadio/oat</t>
  </si>
  <si>
    <t>/CarRadio</t>
  </si>
  <si>
    <t>24M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</si>
  <si>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</si>
  <si>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</si>
  <si>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</si>
  <si>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</si>
  <si>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</si>
  <si>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</si>
  <si>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</si>
  <si>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</si>
  <si>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</si>
  <si>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</si>
  <si>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</si>
  <si>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</si>
  <si>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</si>
  <si>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</si>
  <si>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</si>
  <si>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</si>
  <si>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</si>
  <si>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</si>
  <si>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</si>
  <si>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</si>
  <si>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</si>
  <si>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</si>
  <si>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</si>
  <si>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</si>
  <si>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</si>
  <si>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</si>
  <si>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</si>
  <si>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</si>
  <si>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</si>
  <si>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</si>
  <si>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</si>
  <si>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</si>
  <si>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</si>
  <si>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</si>
  <si>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</si>
  <si>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8.6M</t>
  </si>
  <si>
    <t>/Dataplan/oat/arm64</t>
  </si>
  <si>
    <t>1.5M</t>
  </si>
  <si>
    <t>1.4M</t>
  </si>
  <si>
    <t>/Dataplan/oat</t>
  </si>
  <si>
    <t>/Dataplan</t>
  </si>
  <si>
    <t>10M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</si>
  <si>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</si>
  <si>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</si>
  <si>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</si>
  <si>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</si>
  <si>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</si>
  <si>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</si>
  <si>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</si>
  <si>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</si>
  <si>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</si>
  <si>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</si>
  <si>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</si>
  <si>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</si>
  <si>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</si>
  <si>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</si>
  <si>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</si>
  <si>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</si>
  <si>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3.2M</t>
  </si>
  <si>
    <t>/DsvPower/oat</t>
  </si>
  <si>
    <t>/DsvPower</t>
  </si>
  <si>
    <t>7.3M</t>
  </si>
  <si>
    <t>/DsvPowerService/oat/arm64</t>
  </si>
  <si>
    <t>588K</t>
  </si>
  <si>
    <t>584K</t>
  </si>
  <si>
    <t>/DsvPowerService/oat</t>
  </si>
  <si>
    <t>592K</t>
  </si>
  <si>
    <t>/DsvPowerService</t>
  </si>
  <si>
    <t>872K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</si>
  <si>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</si>
  <si>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</si>
  <si>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</si>
  <si>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</si>
  <si>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</si>
  <si>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</si>
  <si>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</si>
  <si>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</si>
  <si>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</si>
  <si>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</si>
  <si>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</si>
  <si>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</si>
  <si>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300M</t>
  </si>
  <si>
    <t>282M</t>
  </si>
  <si>
    <t>/DuerOSVideoPlayer/lib/arm</t>
  </si>
  <si>
    <t>/DuerOSVideoPlayer/lib</t>
  </si>
  <si>
    <t>/DuerOSVideoPlayer/oat/arm</t>
  </si>
  <si>
    <t>/DuerOSVideoPlayer/oat</t>
  </si>
  <si>
    <t>/DuerOSVideoPlayer</t>
  </si>
  <si>
    <t>69M</t>
  </si>
  <si>
    <t>34M</t>
  </si>
  <si>
    <t>/EManual/oat/arm64</t>
  </si>
  <si>
    <t>6.0M</t>
  </si>
  <si>
    <t>/EManual/oat</t>
  </si>
  <si>
    <t>/EManual</t>
  </si>
  <si>
    <t>37M</t>
  </si>
  <si>
    <t>38M</t>
  </si>
  <si>
    <t>/EasterEgg/oat/arm64</t>
  </si>
  <si>
    <t>/EasterEgg/oat</t>
  </si>
  <si>
    <t>520K</t>
  </si>
  <si>
    <t>/EasterEgg</t>
  </si>
  <si>
    <t>756K</t>
  </si>
  <si>
    <t>/EngModeService/oat/arm64</t>
  </si>
  <si>
    <t>312K</t>
  </si>
  <si>
    <t>/EngModeService/oat</t>
  </si>
  <si>
    <t>316K</t>
  </si>
  <si>
    <t>/EngModeService</t>
  </si>
  <si>
    <t>812K</t>
  </si>
  <si>
    <t>/EngineerMode/lib/arm64</t>
  </si>
  <si>
    <t>2.8M</t>
  </si>
  <si>
    <t>/EngineerMode/lib</t>
  </si>
  <si>
    <t>/EngineerMode/oat/arm64</t>
  </si>
  <si>
    <t>5.8M</t>
  </si>
  <si>
    <t>/EngineerMode/oat</t>
  </si>
  <si>
    <t>/EngineerMode</t>
  </si>
  <si>
    <t>/EnhancedMemory/lib/arm64</t>
  </si>
  <si>
    <t>/EnhancedMemory/lib</t>
  </si>
  <si>
    <t>/EnhancedMemory/oat/arm64</t>
  </si>
  <si>
    <t>264K</t>
  </si>
  <si>
    <t>/EnhancedMemory/oat</t>
  </si>
  <si>
    <t>268K</t>
  </si>
  <si>
    <t>/EnhancedMemory</t>
  </si>
  <si>
    <t>13M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</si>
  <si>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</si>
  <si>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</si>
  <si>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</si>
  <si>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</si>
  <si>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</si>
  <si>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</si>
  <si>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</si>
  <si>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</si>
  <si>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</si>
  <si>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</si>
  <si>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</si>
  <si>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</si>
  <si>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</si>
  <si>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</si>
  <si>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</si>
  <si>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</si>
  <si>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</si>
  <si>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</si>
  <si>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</si>
  <si>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</si>
  <si>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</si>
  <si>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</si>
  <si>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</si>
  <si>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</si>
  <si>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14M</t>
  </si>
  <si>
    <t>/FordAccount/lib/arm64</t>
  </si>
  <si>
    <t>/FordAccount/lib</t>
  </si>
  <si>
    <t>/FordAccount/oat/arm64</t>
  </si>
  <si>
    <t>5.2M</t>
  </si>
  <si>
    <t>5.6M</t>
  </si>
  <si>
    <t>/FordAccount/oat</t>
  </si>
  <si>
    <t>/FordAccount</t>
  </si>
  <si>
    <t>15M</t>
  </si>
  <si>
    <t>16M</t>
  </si>
  <si>
    <t>/FordCloudService/oat/arm64</t>
  </si>
  <si>
    <t>4.4M</t>
  </si>
  <si>
    <t>4.8M</t>
  </si>
  <si>
    <t>/FordCloudService/oat</t>
  </si>
  <si>
    <t>/FordCloudService</t>
  </si>
  <si>
    <t>6.7M</t>
  </si>
  <si>
    <t>7.2M</t>
  </si>
  <si>
    <t>/FordCredit/oat/arm64</t>
  </si>
  <si>
    <t>/FordCredit/oat</t>
  </si>
  <si>
    <t>/FordCredit</t>
  </si>
  <si>
    <t>2.9M</t>
  </si>
  <si>
    <t>/FordVPA/oat/arm64</t>
  </si>
  <si>
    <t>/FordVPA/oat</t>
  </si>
  <si>
    <t>/FordVPA</t>
  </si>
  <si>
    <t>101M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</si>
  <si>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</si>
  <si>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</si>
  <si>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</si>
  <si>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</si>
  <si>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</si>
  <si>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</si>
  <si>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</si>
  <si>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</si>
  <si>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</si>
  <si>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</si>
  <si>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</si>
  <si>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</si>
  <si>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</si>
  <si>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</si>
  <si>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</si>
  <si>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</si>
  <si>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</si>
  <si>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</si>
  <si>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</si>
  <si>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</si>
  <si>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</si>
  <si>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</si>
  <si>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</si>
  <si>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</si>
  <si>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</si>
  <si>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</si>
  <si>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</si>
  <si>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</si>
  <si>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</si>
  <si>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</si>
  <si>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</si>
  <si>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</si>
  <si>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</si>
  <si>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</si>
  <si>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</si>
  <si>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</si>
  <si>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</si>
  <si>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</si>
  <si>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</si>
  <si>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</si>
  <si>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</si>
  <si>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</si>
  <si>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1.2M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</si>
  <si>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</si>
  <si>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</si>
  <si>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</si>
  <si>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</si>
  <si>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</si>
  <si>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</si>
  <si>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</si>
  <si>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</si>
  <si>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</si>
  <si>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</si>
  <si>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</si>
  <si>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</si>
  <si>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</si>
  <si>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</si>
  <si>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</si>
  <si>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</si>
  <si>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</si>
  <si>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</si>
  <si>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</si>
  <si>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</si>
  <si>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</si>
  <si>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</si>
  <si>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</si>
  <si>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</si>
  <si>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5.0M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</si>
  <si>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</si>
  <si>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</si>
  <si>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</si>
  <si>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</si>
  <si>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</si>
  <si>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</si>
  <si>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</si>
  <si>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</si>
  <si>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</si>
  <si>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</si>
  <si>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</si>
  <si>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4.5M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</si>
  <si>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</si>
  <si>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</si>
  <si>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</si>
  <si>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</si>
  <si>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</si>
  <si>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</si>
  <si>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</si>
  <si>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</si>
  <si>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</si>
  <si>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3.5M</t>
  </si>
  <si>
    <t>/SVBtMusic/oat</t>
  </si>
  <si>
    <t>/SVBtMusic</t>
  </si>
  <si>
    <t>17M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</si>
  <si>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</si>
  <si>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</si>
  <si>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</si>
  <si>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</si>
  <si>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</si>
  <si>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</si>
  <si>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</si>
  <si>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</si>
  <si>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</si>
  <si>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</si>
  <si>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</si>
  <si>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23M</t>
  </si>
  <si>
    <t>/SVSettings/lib/arm64</t>
  </si>
  <si>
    <t>/SVSettings/lib</t>
  </si>
  <si>
    <t>/SVSettings/oat/arm64</t>
  </si>
  <si>
    <t>8.0M</t>
  </si>
  <si>
    <t>/SVSettings/oat</t>
  </si>
  <si>
    <t>/SVSettings</t>
  </si>
  <si>
    <t>77M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</si>
  <si>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</si>
  <si>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</si>
  <si>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</si>
  <si>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</si>
  <si>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</si>
  <si>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</si>
  <si>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</si>
  <si>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21M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</si>
  <si>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</si>
  <si>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</si>
  <si>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</si>
  <si>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</si>
  <si>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</si>
  <si>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</si>
  <si>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</si>
  <si>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</si>
  <si>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</si>
  <si>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</si>
  <si>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</si>
  <si>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</si>
  <si>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</si>
  <si>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</si>
  <si>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</si>
  <si>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</si>
  <si>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</si>
  <si>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</si>
  <si>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</si>
  <si>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</si>
  <si>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</si>
  <si>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</si>
  <si>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</si>
  <si>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</si>
  <si>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7.5M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</si>
  <si>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</si>
  <si>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</si>
  <si>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</si>
  <si>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</si>
  <si>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</si>
  <si>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</si>
  <si>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</si>
  <si>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</si>
  <si>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</si>
  <si>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</si>
  <si>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40M</t>
  </si>
  <si>
    <t>/VoiceControlService/oat/arm64</t>
  </si>
  <si>
    <t>11M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</si>
  <si>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</si>
  <si>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</si>
  <si>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</si>
  <si>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</si>
  <si>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</si>
  <si>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</si>
  <si>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</si>
  <si>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</si>
  <si>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</si>
  <si>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</si>
  <si>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</si>
  <si>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</si>
  <si>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</si>
  <si>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</si>
  <si>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</si>
  <si>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</si>
  <si>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</si>
  <si>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</si>
  <si>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</si>
  <si>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</si>
  <si>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</si>
  <si>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</si>
  <si>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</si>
  <si>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12M</t>
  </si>
  <si>
    <t>/radioapp/oat/arm64</t>
  </si>
  <si>
    <t>4.0M</t>
  </si>
  <si>
    <t>/radioapp/oat</t>
  </si>
  <si>
    <t>/radioapp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</si>
  <si>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</si>
  <si>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</si>
  <si>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</si>
  <si>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</si>
  <si>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</si>
  <si>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</si>
  <si>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</si>
  <si>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</si>
  <si>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</si>
  <si>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</si>
  <si>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</si>
  <si>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</si>
  <si>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</si>
  <si>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</si>
  <si>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</si>
  <si>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</si>
  <si>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</si>
  <si>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</si>
  <si>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</si>
  <si>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</si>
  <si>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</si>
  <si>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</si>
  <si>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</si>
  <si>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</si>
  <si>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</si>
  <si>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</si>
  <si>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</si>
  <si>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</si>
  <si>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</si>
  <si>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4.1M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</si>
  <si>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</si>
  <si>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</si>
  <si>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</si>
  <si>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</si>
  <si>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</si>
  <si>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</si>
  <si>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</si>
  <si>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</si>
  <si>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</si>
  <si>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</si>
  <si>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</si>
  <si>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</si>
  <si>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</si>
  <si>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</si>
  <si>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</si>
  <si>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</si>
  <si>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</si>
  <si>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R13</t>
    <phoneticPr fontId="18" type="noConversion"/>
  </si>
  <si>
    <t>R12</t>
    <phoneticPr fontId="18" type="noConversion"/>
  </si>
  <si>
    <t>R13 Target</t>
    <phoneticPr fontId="18" type="noConversion"/>
  </si>
  <si>
    <t>N/A</t>
    <phoneticPr fontId="18" type="noConversion"/>
  </si>
  <si>
    <r>
      <t>R12</t>
    </r>
    <r>
      <rPr>
        <b/>
        <sz val="16"/>
        <rFont val="SimSun"/>
        <family val="3"/>
        <charset val="134"/>
      </rPr>
      <t>版本</t>
    </r>
    <r>
      <rPr>
        <b/>
        <sz val="16"/>
        <rFont val="Verdana Pro"/>
        <family val="1"/>
      </rPr>
      <t xml:space="preserve">
（单位：秒）</t>
    </r>
    <phoneticPr fontId="18" type="noConversion"/>
  </si>
  <si>
    <r>
      <t>R12</t>
    </r>
    <r>
      <rPr>
        <sz val="16"/>
        <rFont val="SimSun"/>
        <family val="3"/>
        <charset val="134"/>
      </rPr>
      <t>无要求</t>
    </r>
    <r>
      <rPr>
        <sz val="16"/>
        <rFont val="Verdana Pro"/>
      </rPr>
      <t>，R13新增</t>
    </r>
    <phoneticPr fontId="18" type="noConversion"/>
  </si>
  <si>
    <r>
      <t xml:space="preserve">R13 </t>
    </r>
    <r>
      <rPr>
        <b/>
        <sz val="16"/>
        <rFont val="Verdana"/>
        <family val="2"/>
      </rPr>
      <t>容许偏差上限</t>
    </r>
    <phoneticPr fontId="18" type="noConversion"/>
  </si>
  <si>
    <r>
      <t>R13</t>
    </r>
    <r>
      <rPr>
        <b/>
        <sz val="16"/>
        <rFont val="SimSun"/>
        <family val="3"/>
        <charset val="134"/>
      </rPr>
      <t>版本
（单位：秒）</t>
    </r>
    <phoneticPr fontId="18" type="noConversion"/>
  </si>
  <si>
    <r>
      <rPr>
        <b/>
        <sz val="16"/>
        <rFont val="宋体"/>
        <family val="3"/>
        <charset val="134"/>
      </rPr>
      <t xml:space="preserve">台架 </t>
    </r>
    <r>
      <rPr>
        <b/>
        <sz val="16"/>
        <rFont val="Verdana Pro"/>
      </rPr>
      <t>or</t>
    </r>
    <r>
      <rPr>
        <b/>
        <sz val="16"/>
        <rFont val="宋体"/>
        <family val="3"/>
        <charset val="134"/>
      </rPr>
      <t>实车</t>
    </r>
  </si>
  <si>
    <r>
      <t>Power on QQ</t>
    </r>
    <r>
      <rPr>
        <sz val="16"/>
        <rFont val="Verdana"/>
        <family val="2"/>
      </rPr>
      <t>音乐首次启动（默认未播放）</t>
    </r>
    <phoneticPr fontId="18" type="noConversion"/>
  </si>
  <si>
    <t>1.IVI开机，发送adb reboot消息
2.Launcher显示后1s内，点击随心听卡片</t>
  </si>
  <si>
    <r>
      <rPr>
        <sz val="16"/>
        <rFont val="微软雅黑"/>
        <family val="2"/>
        <charset val="134"/>
      </rPr>
      <t>默认关机前是播放</t>
    </r>
    <r>
      <rPr>
        <sz val="16"/>
        <rFont val="Verdana Pro"/>
      </rPr>
      <t>QQ</t>
    </r>
    <r>
      <rPr>
        <sz val="16"/>
        <rFont val="微软雅黑"/>
        <family val="2"/>
        <charset val="134"/>
      </rPr>
      <t>音乐</t>
    </r>
  </si>
  <si>
    <t>1.IVI开机，发送adb reboot消息
2.Launcher显示后1s内，点击导航图标
3.整个测试过程中录屏</t>
  </si>
  <si>
    <t>1.IVI开机，发送adb reboot消息
2.Launcher显示后1s内，点击导航图标
3.点击导航中的地址输入框</t>
  </si>
  <si>
    <t>1.IVI开机，发送adb reboot消息
2.Launcher显示后1s内，点击导航图标
3.点击导航中的地址输入框，输入一个地址
4.点击搜索按钮</t>
  </si>
  <si>
    <r>
      <t>power on</t>
    </r>
    <r>
      <rPr>
        <sz val="16"/>
        <rFont val="微软雅黑"/>
        <family val="2"/>
        <charset val="134"/>
      </rPr>
      <t>选择目的地后路线规划完成</t>
    </r>
  </si>
  <si>
    <t>1.IVI开机，发送adb reboot消息
2.Launcher显示后1s内，点击导航图标
3.点击导航中的地址输入框，输入一个地址
4.点击搜索按钮
5.选择一个地址</t>
  </si>
  <si>
    <r>
      <rPr>
        <sz val="16"/>
        <rFont val="SimSun"/>
        <family val="3"/>
        <charset val="134"/>
      </rPr>
      <t>计算从语音最后一个字上屏到播报第一帧</t>
    </r>
    <r>
      <rPr>
        <sz val="16"/>
        <rFont val="Verdana Pro"/>
      </rPr>
      <t xml:space="preserve">
备注：R12测试方法不同，是从launcher第一帧到音乐播放按钮变为播放状态</t>
    </r>
    <phoneticPr fontId="18" type="noConversion"/>
  </si>
  <si>
    <t>IVI开机，发送adb reboot消息，整个测试过程中录屏</t>
  </si>
  <si>
    <r>
      <t xml:space="preserve">Power on </t>
    </r>
    <r>
      <rPr>
        <sz val="16"/>
        <rFont val="微软雅黑"/>
        <family val="2"/>
        <charset val="134"/>
      </rPr>
      <t>到账号自动登录时间</t>
    </r>
  </si>
  <si>
    <r>
      <t>计算从</t>
    </r>
    <r>
      <rPr>
        <sz val="16"/>
        <rFont val="Verdana Pro"/>
      </rPr>
      <t>launcher</t>
    </r>
    <r>
      <rPr>
        <sz val="16"/>
        <rFont val="宋体"/>
        <family val="3"/>
        <charset val="134"/>
      </rPr>
      <t>界面启动第一帧到账号登录完成</t>
    </r>
  </si>
  <si>
    <r>
      <t xml:space="preserve">Power on </t>
    </r>
    <r>
      <rPr>
        <sz val="16"/>
        <rFont val="微软雅黑"/>
        <family val="2"/>
        <charset val="134"/>
      </rPr>
      <t>到账号二维码出现时间</t>
    </r>
  </si>
  <si>
    <r>
      <t>计算从</t>
    </r>
    <r>
      <rPr>
        <sz val="16"/>
        <rFont val="Verdana Pro"/>
      </rPr>
      <t>launcher</t>
    </r>
    <r>
      <rPr>
        <sz val="16"/>
        <rFont val="宋体"/>
        <family val="3"/>
        <charset val="134"/>
      </rPr>
      <t>界面启动第一帧到显示账号二维码稳定展示</t>
    </r>
  </si>
  <si>
    <r>
      <t xml:space="preserve">Power on </t>
    </r>
    <r>
      <rPr>
        <sz val="16"/>
        <rFont val="微软雅黑"/>
        <family val="2"/>
        <charset val="134"/>
      </rPr>
      <t>到人脸识别时间</t>
    </r>
  </si>
  <si>
    <r>
      <rPr>
        <sz val="16"/>
        <rFont val="微软雅黑"/>
        <family val="2"/>
        <charset val="134"/>
      </rPr>
      <t>强网</t>
    </r>
    <r>
      <rPr>
        <sz val="16"/>
        <rFont val="宋体"/>
        <family val="3"/>
        <charset val="134"/>
      </rPr>
      <t>，账号已登录，已开启人脸识别</t>
    </r>
  </si>
  <si>
    <r>
      <t>计算从</t>
    </r>
    <r>
      <rPr>
        <sz val="16"/>
        <rFont val="Verdana Pro"/>
      </rPr>
      <t>launcher</t>
    </r>
    <r>
      <rPr>
        <sz val="16"/>
        <rFont val="宋体"/>
        <family val="3"/>
        <charset val="134"/>
      </rPr>
      <t>界面启动第一帧到人脸识别完成</t>
    </r>
  </si>
  <si>
    <r>
      <t>Power on</t>
    </r>
    <r>
      <rPr>
        <sz val="16"/>
        <rFont val="微软雅黑"/>
        <family val="2"/>
        <charset val="134"/>
      </rPr>
      <t>人脸识别成功，账号成功登录时间</t>
    </r>
    <phoneticPr fontId="18" type="noConversion"/>
  </si>
  <si>
    <r>
      <t>计算从</t>
    </r>
    <r>
      <rPr>
        <sz val="16"/>
        <rFont val="Verdana Pro"/>
      </rPr>
      <t>launcher</t>
    </r>
    <r>
      <rPr>
        <sz val="16"/>
        <rFont val="宋体"/>
        <family val="3"/>
        <charset val="134"/>
      </rPr>
      <t>界面启动第一帧到通过人脸识别完成账号登录完成</t>
    </r>
  </si>
  <si>
    <r>
      <rPr>
        <sz val="16"/>
        <rFont val="微软雅黑"/>
        <family val="2"/>
        <charset val="134"/>
      </rPr>
      <t>系统稳定状态下</t>
    </r>
    <r>
      <rPr>
        <sz val="16"/>
        <rFont val="Verdana Pro"/>
      </rPr>
      <t>QQ</t>
    </r>
    <r>
      <rPr>
        <sz val="16"/>
        <rFont val="微软雅黑"/>
        <family val="2"/>
        <charset val="134"/>
      </rPr>
      <t>音乐首次启动</t>
    </r>
    <r>
      <rPr>
        <sz val="16"/>
        <rFont val="Verdana Pro"/>
      </rPr>
      <t>（默认未播放）</t>
    </r>
  </si>
  <si>
    <r>
      <rPr>
        <sz val="16"/>
        <rFont val="微软雅黑"/>
        <family val="2"/>
        <charset val="134"/>
      </rPr>
      <t>开机</t>
    </r>
    <r>
      <rPr>
        <sz val="16"/>
        <rFont val="Verdana Pro"/>
      </rPr>
      <t>Launcher</t>
    </r>
    <r>
      <rPr>
        <sz val="16"/>
        <rFont val="微软雅黑"/>
        <family val="2"/>
        <charset val="134"/>
      </rPr>
      <t>出来以后等待</t>
    </r>
    <r>
      <rPr>
        <sz val="16"/>
        <rFont val="Verdana Pro"/>
      </rPr>
      <t>3</t>
    </r>
    <r>
      <rPr>
        <sz val="16"/>
        <rFont val="微软雅黑"/>
        <family val="2"/>
        <charset val="134"/>
      </rPr>
      <t>分钟，点击</t>
    </r>
    <r>
      <rPr>
        <sz val="16"/>
        <rFont val="Verdana Pro"/>
      </rPr>
      <t>Launcher</t>
    </r>
    <r>
      <rPr>
        <sz val="16"/>
        <rFont val="宋体"/>
        <family val="3"/>
        <charset val="134"/>
      </rPr>
      <t>随心听卡片</t>
    </r>
  </si>
  <si>
    <r>
      <rPr>
        <sz val="16"/>
        <rFont val="微软雅黑"/>
        <family val="2"/>
        <charset val="134"/>
      </rPr>
      <t>系统稳定状态下</t>
    </r>
    <r>
      <rPr>
        <sz val="16"/>
        <rFont val="Verdana Pro"/>
      </rPr>
      <t>QQ</t>
    </r>
    <r>
      <rPr>
        <sz val="16"/>
        <rFont val="微软雅黑"/>
        <family val="2"/>
        <charset val="134"/>
      </rPr>
      <t>音乐首次启动</t>
    </r>
    <r>
      <rPr>
        <sz val="16"/>
        <rFont val="Verdana Pro"/>
      </rPr>
      <t>（默认播放）</t>
    </r>
  </si>
  <si>
    <r>
      <rPr>
        <sz val="16"/>
        <rFont val="微软雅黑"/>
        <family val="2"/>
        <charset val="134"/>
      </rPr>
      <t>测试时处于导航状态
默认关机前是播放</t>
    </r>
    <r>
      <rPr>
        <sz val="16"/>
        <rFont val="Verdana Pro"/>
      </rPr>
      <t>QQ</t>
    </r>
    <r>
      <rPr>
        <sz val="16"/>
        <rFont val="宋体"/>
        <family val="3"/>
        <charset val="134"/>
      </rPr>
      <t>音乐</t>
    </r>
  </si>
  <si>
    <r>
      <rPr>
        <sz val="16"/>
        <rFont val="微软雅黑"/>
        <family val="2"/>
        <charset val="134"/>
      </rPr>
      <t>系统稳定状态下</t>
    </r>
    <r>
      <rPr>
        <sz val="16"/>
        <rFont val="Verdana Pro"/>
      </rPr>
      <t>在线电台</t>
    </r>
    <r>
      <rPr>
        <sz val="16"/>
        <rFont val="微软雅黑"/>
        <family val="2"/>
        <charset val="134"/>
      </rPr>
      <t>首次启动</t>
    </r>
  </si>
  <si>
    <r>
      <t>QQ</t>
    </r>
    <r>
      <rPr>
        <sz val="16"/>
        <rFont val="Verdana"/>
        <family val="2"/>
      </rPr>
      <t>热启动</t>
    </r>
    <phoneticPr fontId="18" type="noConversion"/>
  </si>
  <si>
    <r>
      <t>24</t>
    </r>
    <r>
      <rPr>
        <sz val="16"/>
        <rFont val="宋体"/>
        <family val="3"/>
        <charset val="134"/>
      </rPr>
      <t>小时</t>
    </r>
    <r>
      <rPr>
        <sz val="16"/>
        <rFont val="Verdana Pro"/>
      </rPr>
      <t>Monkey</t>
    </r>
    <r>
      <rPr>
        <sz val="16"/>
        <rFont val="微软雅黑"/>
        <family val="2"/>
        <charset val="134"/>
      </rPr>
      <t>测试中的</t>
    </r>
    <r>
      <rPr>
        <sz val="16"/>
        <rFont val="Verdana Pro"/>
      </rPr>
      <t>CPU Free</t>
    </r>
  </si>
  <si>
    <r>
      <t>24</t>
    </r>
    <r>
      <rPr>
        <sz val="16"/>
        <rFont val="宋体"/>
        <family val="3"/>
        <charset val="134"/>
      </rPr>
      <t>小时</t>
    </r>
    <r>
      <rPr>
        <sz val="16"/>
        <rFont val="Verdana Pro"/>
      </rPr>
      <t>Monkey</t>
    </r>
    <r>
      <rPr>
        <sz val="16"/>
        <rFont val="微软雅黑"/>
        <family val="2"/>
        <charset val="134"/>
      </rPr>
      <t>测试中的</t>
    </r>
    <r>
      <rPr>
        <sz val="16"/>
        <rFont val="Verdana Pro"/>
      </rPr>
      <t>RAM Free</t>
    </r>
  </si>
  <si>
    <r>
      <t>24</t>
    </r>
    <r>
      <rPr>
        <sz val="16"/>
        <rFont val="宋体"/>
        <family val="3"/>
        <charset val="134"/>
      </rPr>
      <t>小时</t>
    </r>
    <r>
      <rPr>
        <sz val="16"/>
        <rFont val="Verdana Pro"/>
      </rPr>
      <t>Monkey</t>
    </r>
    <r>
      <rPr>
        <sz val="16"/>
        <rFont val="微软雅黑"/>
        <family val="2"/>
        <charset val="134"/>
      </rPr>
      <t>测试中的</t>
    </r>
    <r>
      <rPr>
        <sz val="16"/>
        <rFont val="Verdana Pro"/>
      </rPr>
      <t>GPU Free</t>
    </r>
  </si>
  <si>
    <r>
      <t>24</t>
    </r>
    <r>
      <rPr>
        <sz val="16"/>
        <rFont val="宋体"/>
        <family val="3"/>
        <charset val="134"/>
      </rPr>
      <t>小时</t>
    </r>
    <r>
      <rPr>
        <sz val="16"/>
        <rFont val="Verdana Pro"/>
      </rPr>
      <t>Monkey</t>
    </r>
    <r>
      <rPr>
        <sz val="16"/>
        <rFont val="微软雅黑"/>
        <family val="2"/>
        <charset val="134"/>
      </rPr>
      <t>中内存泄露进程数</t>
    </r>
  </si>
  <si>
    <r>
      <t>8</t>
    </r>
    <r>
      <rPr>
        <sz val="16"/>
        <rFont val="宋体"/>
        <family val="3"/>
        <charset val="134"/>
      </rPr>
      <t>小时</t>
    </r>
    <r>
      <rPr>
        <sz val="16"/>
        <rFont val="Verdana Pro"/>
      </rPr>
      <t>Monkey</t>
    </r>
    <r>
      <rPr>
        <sz val="16"/>
        <rFont val="微软雅黑"/>
        <family val="2"/>
        <charset val="134"/>
      </rPr>
      <t>测试</t>
    </r>
    <r>
      <rPr>
        <sz val="16"/>
        <rFont val="Verdana Pro"/>
      </rPr>
      <t>-</t>
    </r>
    <r>
      <rPr>
        <sz val="16"/>
        <rFont val="微软雅黑"/>
        <family val="2"/>
        <charset val="134"/>
      </rPr>
      <t>随心听</t>
    </r>
  </si>
  <si>
    <r>
      <t>8</t>
    </r>
    <r>
      <rPr>
        <sz val="16"/>
        <rFont val="宋体"/>
        <family val="3"/>
        <charset val="134"/>
      </rPr>
      <t>小时</t>
    </r>
    <r>
      <rPr>
        <sz val="16"/>
        <rFont val="Verdana Pro"/>
      </rPr>
      <t>Monkey</t>
    </r>
    <r>
      <rPr>
        <sz val="16"/>
        <rFont val="微软雅黑"/>
        <family val="2"/>
        <charset val="134"/>
      </rPr>
      <t>测试</t>
    </r>
    <r>
      <rPr>
        <sz val="16"/>
        <rFont val="Verdana Pro"/>
      </rPr>
      <t>-Launcher</t>
    </r>
  </si>
  <si>
    <r>
      <t>8</t>
    </r>
    <r>
      <rPr>
        <sz val="16"/>
        <rFont val="宋体"/>
        <family val="3"/>
        <charset val="134"/>
      </rPr>
      <t>小时</t>
    </r>
    <r>
      <rPr>
        <sz val="16"/>
        <rFont val="Verdana Pro"/>
      </rPr>
      <t>Monkey</t>
    </r>
    <r>
      <rPr>
        <sz val="16"/>
        <rFont val="微软雅黑"/>
        <family val="2"/>
        <charset val="134"/>
      </rPr>
      <t>测试</t>
    </r>
    <r>
      <rPr>
        <sz val="16"/>
        <rFont val="Verdana Pro"/>
      </rPr>
      <t>-</t>
    </r>
    <r>
      <rPr>
        <sz val="16"/>
        <rFont val="宋体"/>
        <family val="3"/>
        <charset val="134"/>
      </rPr>
      <t>导航</t>
    </r>
  </si>
  <si>
    <r>
      <t>8</t>
    </r>
    <r>
      <rPr>
        <sz val="16"/>
        <rFont val="宋体"/>
        <family val="3"/>
        <charset val="134"/>
      </rPr>
      <t>小时</t>
    </r>
    <r>
      <rPr>
        <sz val="16"/>
        <rFont val="Verdana Pro"/>
      </rPr>
      <t>Monkey</t>
    </r>
    <r>
      <rPr>
        <sz val="16"/>
        <rFont val="微软雅黑"/>
        <family val="2"/>
        <charset val="134"/>
      </rPr>
      <t>测试</t>
    </r>
    <r>
      <rPr>
        <sz val="16"/>
        <rFont val="Verdana Pro"/>
      </rPr>
      <t>-</t>
    </r>
    <r>
      <rPr>
        <sz val="16"/>
        <rFont val="微软雅黑"/>
        <family val="2"/>
        <charset val="134"/>
      </rPr>
      <t>输入法</t>
    </r>
  </si>
  <si>
    <r>
      <t>8</t>
    </r>
    <r>
      <rPr>
        <sz val="16"/>
        <rFont val="宋体"/>
        <family val="3"/>
        <charset val="134"/>
      </rPr>
      <t>小时</t>
    </r>
    <r>
      <rPr>
        <sz val="16"/>
        <rFont val="Verdana Pro"/>
      </rPr>
      <t>Monkey</t>
    </r>
    <r>
      <rPr>
        <sz val="16"/>
        <rFont val="宋体"/>
        <family val="3"/>
        <charset val="134"/>
      </rPr>
      <t>测试</t>
    </r>
    <r>
      <rPr>
        <sz val="16"/>
        <rFont val="微软雅黑"/>
        <family val="2"/>
        <charset val="134"/>
      </rPr>
      <t>（其他应用）</t>
    </r>
  </si>
  <si>
    <r>
      <t>CPU</t>
    </r>
    <r>
      <rPr>
        <sz val="16"/>
        <rFont val="等线"/>
        <family val="4"/>
        <charset val="134"/>
      </rPr>
      <t>常用场景一下归一化</t>
    </r>
    <r>
      <rPr>
        <sz val="16"/>
        <rFont val="Arial"/>
        <family val="2"/>
      </rPr>
      <t>CPU Free</t>
    </r>
  </si>
  <si>
    <r>
      <t>CPU</t>
    </r>
    <r>
      <rPr>
        <sz val="16"/>
        <rFont val="等线"/>
        <family val="4"/>
        <charset val="134"/>
      </rPr>
      <t>常用场景二下归一化</t>
    </r>
    <r>
      <rPr>
        <sz val="16"/>
        <rFont val="Arial"/>
        <family val="2"/>
      </rPr>
      <t>CPU Free</t>
    </r>
  </si>
  <si>
    <r>
      <t>CPU</t>
    </r>
    <r>
      <rPr>
        <sz val="16"/>
        <rFont val="等线"/>
        <family val="4"/>
        <charset val="134"/>
      </rPr>
      <t>常用场景三下归一化</t>
    </r>
    <r>
      <rPr>
        <sz val="16"/>
        <rFont val="Arial"/>
        <family val="2"/>
      </rPr>
      <t>CPU Free</t>
    </r>
  </si>
  <si>
    <r>
      <t>RAM</t>
    </r>
    <r>
      <rPr>
        <sz val="16"/>
        <rFont val="等线"/>
        <family val="4"/>
        <charset val="134"/>
      </rPr>
      <t>常用场景一下归一化</t>
    </r>
    <r>
      <rPr>
        <sz val="16"/>
        <rFont val="Arial"/>
        <family val="2"/>
      </rPr>
      <t>RAM Free</t>
    </r>
  </si>
  <si>
    <r>
      <t>RAM</t>
    </r>
    <r>
      <rPr>
        <sz val="16"/>
        <rFont val="等线"/>
        <family val="4"/>
        <charset val="134"/>
      </rPr>
      <t>常用场景二下归一化</t>
    </r>
    <r>
      <rPr>
        <sz val="16"/>
        <rFont val="Arial"/>
        <family val="2"/>
      </rPr>
      <t>RAM Free</t>
    </r>
  </si>
  <si>
    <r>
      <t>RAM Worst case</t>
    </r>
    <r>
      <rPr>
        <sz val="16"/>
        <rFont val="等线"/>
        <family val="4"/>
        <charset val="134"/>
      </rPr>
      <t>下归一化</t>
    </r>
    <r>
      <rPr>
        <sz val="16"/>
        <rFont val="Arial"/>
        <family val="2"/>
      </rPr>
      <t>RAM Free</t>
    </r>
  </si>
  <si>
    <r>
      <t>GPU</t>
    </r>
    <r>
      <rPr>
        <sz val="16"/>
        <rFont val="等线"/>
        <family val="4"/>
        <charset val="134"/>
      </rPr>
      <t>常用场景一下归一化</t>
    </r>
    <r>
      <rPr>
        <sz val="16"/>
        <rFont val="Arial"/>
        <family val="2"/>
      </rPr>
      <t>GPU Free</t>
    </r>
  </si>
  <si>
    <r>
      <t>GPU</t>
    </r>
    <r>
      <rPr>
        <sz val="16"/>
        <rFont val="等线"/>
        <family val="4"/>
        <charset val="134"/>
      </rPr>
      <t>常用场景二下归一化</t>
    </r>
    <r>
      <rPr>
        <sz val="16"/>
        <rFont val="Arial"/>
        <family val="2"/>
      </rPr>
      <t>GPU Free</t>
    </r>
  </si>
  <si>
    <r>
      <t>GPU</t>
    </r>
    <r>
      <rPr>
        <sz val="16"/>
        <rFont val="等线"/>
        <family val="4"/>
        <charset val="134"/>
      </rPr>
      <t>常用场景三下归一化</t>
    </r>
    <r>
      <rPr>
        <sz val="16"/>
        <rFont val="Arial"/>
        <family val="2"/>
      </rPr>
      <t>GPU Free</t>
    </r>
  </si>
  <si>
    <r>
      <t>CPU</t>
    </r>
    <r>
      <rPr>
        <sz val="16"/>
        <rFont val="Arial"/>
        <family val="2"/>
      </rPr>
      <t> worst case</t>
    </r>
    <r>
      <rPr>
        <sz val="16"/>
        <rFont val="方正书宋_GBK"/>
        <charset val="134"/>
      </rPr>
      <t>下归一化</t>
    </r>
    <r>
      <rPr>
        <sz val="16"/>
        <rFont val="Arial"/>
        <family val="2"/>
      </rPr>
      <t>CPU Free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</si>
</sst>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43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6"/>
      <name val="KaiTi"/>
      <family val="3"/>
      <charset val="134"/>
    </font>
    <font>
      <sz val="11"/>
      <color theme="1"/>
      <name val="Abadi"/>
      <family val="2"/>
    </font>
    <font>
      <sz val="11"/>
      <name val="Abadi"/>
    </font>
    <font>
      <sz val="7"/>
      <color theme="1"/>
      <name val="Times New Roman"/>
      <family val="1"/>
    </font>
    <font>
      <sz val="10.5"/>
      <color theme="1"/>
      <name val="等线"/>
      <family val="4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Abadi"/>
    </font>
    <font>
      <sz val="9"/>
      <name val="等线"/>
      <family val="4"/>
      <charset val="134"/>
      <scheme val="minor"/>
    </font>
    <font>
      <sz val="10"/>
      <color rgb="FF000000"/>
      <name val="宋体"/>
      <family val="3"/>
      <charset val="134"/>
    </font>
    <font>
      <sz val="11"/>
      <color rgb="FF00000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6"/>
      <name val="Verdana Pro"/>
    </font>
    <font>
      <b/>
      <sz val="16"/>
      <name val="Verdana Pro"/>
      <family val="1"/>
    </font>
    <font>
      <b/>
      <sz val="16"/>
      <name val="SimSun"/>
      <family val="3"/>
      <charset val="134"/>
    </font>
    <font>
      <sz val="16"/>
      <name val="SimSun"/>
      <family val="3"/>
      <charset val="134"/>
    </font>
    <font>
      <sz val="14"/>
      <name val="Verdana Pro"/>
    </font>
    <font>
      <b/>
      <sz val="18"/>
      <name val="Verdana Pro"/>
    </font>
    <font>
      <b/>
      <sz val="16"/>
      <name val="Verdana"/>
      <family val="2"/>
    </font>
    <font>
      <b/>
      <sz val="16"/>
      <name val="宋体"/>
      <family val="3"/>
      <charset val="134"/>
    </font>
    <font>
      <b/>
      <sz val="16"/>
      <name val="Verdana Pro"/>
    </font>
    <font>
      <sz val="16"/>
      <name val="等线"/>
      <family val="4"/>
      <charset val="134"/>
      <scheme val="minor"/>
    </font>
    <font>
      <sz val="16"/>
      <name val="Verdana"/>
      <family val="2"/>
    </font>
    <font>
      <sz val="16"/>
      <name val="Aharoni"/>
      <family val="1"/>
    </font>
    <font>
      <sz val="16"/>
      <name val="Verdana Pro"/>
      <family val="2"/>
    </font>
    <font>
      <sz val="16"/>
      <name val="微软雅黑"/>
      <family val="2"/>
      <charset val="134"/>
    </font>
    <font>
      <sz val="16"/>
      <name val="Verdana Pro"/>
      <family val="3"/>
      <charset val="134"/>
    </font>
    <font>
      <sz val="16"/>
      <name val="宋体"/>
      <family val="3"/>
      <charset val="134"/>
    </font>
    <font>
      <sz val="16"/>
      <name val="Aharoni"/>
    </font>
    <font>
      <sz val="11"/>
      <name val="等线"/>
      <family val="4"/>
      <charset val="134"/>
      <scheme val="minor"/>
    </font>
    <font>
      <sz val="16"/>
      <name val="等线"/>
      <family val="4"/>
      <charset val="134"/>
    </font>
    <font>
      <sz val="16"/>
      <name val="Arial"/>
      <family val="2"/>
    </font>
    <font>
      <sz val="16"/>
      <name val="方正书宋_GBK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</cellStyleXfs>
  <cellXfs count="112">
    <xf numFmtId="0" fontId="0" fillId="0" borderId="0" xfId="0"/>
    <xf numFmtId="0" fontId="1" fillId="0" borderId="0" xfId="6"/>
    <xf numFmtId="0" fontId="2" fillId="0" borderId="0" xfId="6" applyFont="1"/>
    <xf numFmtId="0" fontId="3" fillId="0" borderId="0" xfId="6" applyFont="1"/>
    <xf numFmtId="0" fontId="1" fillId="0" borderId="1" xfId="6" applyBorder="1" applyAlignment="1">
      <alignment vertical="center"/>
    </xf>
    <xf numFmtId="0" fontId="1" fillId="0" borderId="1" xfId="6" applyBorder="1" applyAlignment="1">
      <alignment horizontal="center" vertical="center" wrapText="1"/>
    </xf>
    <xf numFmtId="10" fontId="1" fillId="0" borderId="1" xfId="6" applyNumberFormat="1" applyBorder="1" applyAlignment="1">
      <alignment vertical="center"/>
    </xf>
    <xf numFmtId="10" fontId="1" fillId="0" borderId="0" xfId="6" applyNumberFormat="1"/>
    <xf numFmtId="0" fontId="1" fillId="0" borderId="2" xfId="6" applyBorder="1" applyAlignment="1">
      <alignment horizontal="center" vertical="center"/>
    </xf>
    <xf numFmtId="0" fontId="1" fillId="0" borderId="1" xfId="6" applyBorder="1"/>
    <xf numFmtId="0" fontId="1" fillId="0" borderId="3" xfId="6" applyBorder="1" applyAlignment="1">
      <alignment horizontal="center" vertical="center"/>
    </xf>
    <xf numFmtId="0" fontId="1" fillId="0" borderId="1" xfId="6" applyBorder="1" applyAlignment="1">
      <alignment horizontal="left" vertical="top"/>
    </xf>
    <xf numFmtId="0" fontId="1" fillId="0" borderId="1" xfId="6" applyBorder="1" applyAlignment="1">
      <alignment horizontal="left"/>
    </xf>
    <xf numFmtId="0" fontId="1" fillId="0" borderId="4" xfId="6" applyBorder="1" applyAlignment="1">
      <alignment horizontal="center" vertical="center"/>
    </xf>
    <xf numFmtId="0" fontId="1" fillId="0" borderId="0" xfId="1"/>
    <xf numFmtId="0" fontId="2" fillId="3" borderId="1" xfId="1" applyFont="1" applyFill="1" applyBorder="1"/>
    <xf numFmtId="0" fontId="4" fillId="2" borderId="1" xfId="1" applyFont="1" applyFill="1" applyBorder="1" applyAlignment="1">
      <alignment horizontal="left" vertical="center"/>
    </xf>
    <xf numFmtId="0" fontId="1" fillId="0" borderId="1" xfId="1" applyBorder="1"/>
    <xf numFmtId="0" fontId="4" fillId="0" borderId="1" xfId="1" applyFont="1" applyBorder="1" applyAlignment="1">
      <alignment horizontal="justify" vertical="center"/>
    </xf>
    <xf numFmtId="0" fontId="1" fillId="0" borderId="0" xfId="4" applyAlignment="1">
      <alignment vertical="center" wrapText="1"/>
    </xf>
    <xf numFmtId="0" fontId="1" fillId="0" borderId="0" xfId="4" applyAlignment="1">
      <alignment wrapText="1"/>
    </xf>
    <xf numFmtId="0" fontId="1" fillId="0" borderId="0" xfId="4" applyAlignment="1">
      <alignment horizontal="left" vertical="center" wrapText="1"/>
    </xf>
    <xf numFmtId="0" fontId="1" fillId="0" borderId="0" xfId="4" applyAlignment="1">
      <alignment horizontal="center" vertical="center" wrapText="1"/>
    </xf>
    <xf numFmtId="0" fontId="5" fillId="4" borderId="1" xfId="4" applyFont="1" applyFill="1" applyBorder="1" applyAlignment="1">
      <alignment horizontal="left" wrapText="1"/>
    </xf>
    <xf numFmtId="0" fontId="1" fillId="0" borderId="1" xfId="3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" fillId="0" borderId="2" xfId="3" applyBorder="1" applyAlignment="1">
      <alignment wrapText="1"/>
    </xf>
    <xf numFmtId="0" fontId="0" fillId="0" borderId="1" xfId="0" applyBorder="1"/>
    <xf numFmtId="0" fontId="0" fillId="0" borderId="4" xfId="0" applyBorder="1"/>
    <xf numFmtId="0" fontId="1" fillId="0" borderId="4" xfId="3" applyBorder="1" applyAlignment="1">
      <alignment wrapText="1"/>
    </xf>
    <xf numFmtId="0" fontId="1" fillId="0" borderId="1" xfId="3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2" xfId="4" applyBorder="1" applyAlignment="1">
      <alignment horizontal="left" vertical="center" wrapText="1"/>
    </xf>
    <xf numFmtId="0" fontId="1" fillId="0" borderId="4" xfId="3" applyBorder="1" applyAlignment="1">
      <alignment vertical="center" wrapText="1"/>
    </xf>
    <xf numFmtId="0" fontId="1" fillId="0" borderId="4" xfId="4" applyBorder="1" applyAlignment="1">
      <alignment horizontal="left" vertical="center" wrapText="1"/>
    </xf>
    <xf numFmtId="0" fontId="1" fillId="0" borderId="1" xfId="3" applyBorder="1" applyAlignment="1">
      <alignment horizontal="left" vertical="center" wrapText="1"/>
    </xf>
    <xf numFmtId="0" fontId="1" fillId="0" borderId="1" xfId="4" applyBorder="1" applyAlignment="1">
      <alignment horizontal="left" vertical="center" wrapText="1"/>
    </xf>
    <xf numFmtId="0" fontId="1" fillId="0" borderId="2" xfId="3" applyBorder="1" applyAlignment="1">
      <alignment horizontal="left" vertical="center" wrapText="1"/>
    </xf>
    <xf numFmtId="0" fontId="5" fillId="4" borderId="1" xfId="4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wrapText="1"/>
    </xf>
    <xf numFmtId="0" fontId="1" fillId="0" borderId="1" xfId="4" applyBorder="1" applyAlignment="1">
      <alignment wrapText="1"/>
    </xf>
    <xf numFmtId="0" fontId="1" fillId="0" borderId="1" xfId="4" applyBorder="1" applyAlignment="1">
      <alignment vertical="center" wrapText="1"/>
    </xf>
    <xf numFmtId="0" fontId="1" fillId="0" borderId="2" xfId="4" applyBorder="1" applyAlignment="1">
      <alignment vertical="center" wrapText="1"/>
    </xf>
    <xf numFmtId="0" fontId="1" fillId="0" borderId="4" xfId="4" applyBorder="1" applyAlignment="1">
      <alignment vertical="center" wrapText="1"/>
    </xf>
    <xf numFmtId="176" fontId="1" fillId="0" borderId="1" xfId="4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2" fillId="5" borderId="1" xfId="1" applyFont="1" applyFill="1" applyBorder="1"/>
    <xf numFmtId="0" fontId="1" fillId="6" borderId="0" xfId="1" applyFill="1"/>
    <xf numFmtId="0" fontId="2" fillId="6" borderId="1" xfId="1" applyFont="1" applyFill="1" applyBorder="1"/>
    <xf numFmtId="0" fontId="20" fillId="0" borderId="1" xfId="1" applyFont="1" applyBorder="1"/>
    <xf numFmtId="0" fontId="20" fillId="0" borderId="0" xfId="1" applyFont="1"/>
    <xf numFmtId="0" fontId="1" fillId="0" borderId="1" xfId="6" applyBorder="1" applyAlignment="1">
      <alignment horizontal="center" vertical="center"/>
    </xf>
    <xf numFmtId="0" fontId="1" fillId="0" borderId="5" xfId="1" applyBorder="1"/>
    <xf numFmtId="0" fontId="1" fillId="0" borderId="1" xfId="1" applyBorder="1" applyAlignment="1">
      <alignment horizontal="right"/>
    </xf>
    <xf numFmtId="0" fontId="21" fillId="0" borderId="1" xfId="1" applyFont="1" applyBorder="1"/>
    <xf numFmtId="0" fontId="7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 wrapText="1" readingOrder="1"/>
    </xf>
    <xf numFmtId="0" fontId="3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wrapText="1"/>
    </xf>
    <xf numFmtId="0" fontId="33" fillId="0" borderId="0" xfId="0" applyFont="1"/>
    <xf numFmtId="0" fontId="34" fillId="0" borderId="4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31" fillId="0" borderId="0" xfId="0" applyFont="1"/>
    <xf numFmtId="0" fontId="22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wrapText="1"/>
    </xf>
    <xf numFmtId="0" fontId="37" fillId="0" borderId="1" xfId="0" applyFont="1" applyBorder="1" applyAlignment="1">
      <alignment wrapText="1"/>
    </xf>
    <xf numFmtId="0" fontId="22" fillId="0" borderId="1" xfId="0" applyFont="1" applyBorder="1" applyAlignment="1">
      <alignment horizontal="left" wrapText="1" readingOrder="1"/>
    </xf>
    <xf numFmtId="0" fontId="38" fillId="0" borderId="0" xfId="0" applyFont="1"/>
    <xf numFmtId="0" fontId="35" fillId="0" borderId="1" xfId="0" applyFont="1" applyBorder="1" applyAlignment="1">
      <alignment horizontal="left" wrapText="1" readingOrder="1"/>
    </xf>
    <xf numFmtId="0" fontId="26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39" fillId="0" borderId="0" xfId="0" applyFont="1"/>
    <xf numFmtId="0" fontId="1" fillId="3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2" fillId="0" borderId="6" xfId="0" applyFont="1" applyBorder="1"/>
    <xf numFmtId="0" fontId="22" fillId="0" borderId="7" xfId="0" applyFont="1" applyBorder="1"/>
    <xf numFmtId="0" fontId="22" fillId="0" borderId="5" xfId="0" applyFont="1" applyBorder="1"/>
    <xf numFmtId="0" fontId="22" fillId="0" borderId="6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4" applyBorder="1" applyAlignment="1">
      <alignment horizontal="left" vertical="top" wrapText="1"/>
    </xf>
    <xf numFmtId="0" fontId="1" fillId="0" borderId="4" xfId="4" applyBorder="1" applyAlignment="1">
      <alignment horizontal="left" vertical="top" wrapText="1"/>
    </xf>
    <xf numFmtId="0" fontId="1" fillId="0" borderId="3" xfId="4" applyBorder="1" applyAlignment="1">
      <alignment horizontal="left" vertical="top" wrapText="1"/>
    </xf>
    <xf numFmtId="0" fontId="1" fillId="0" borderId="2" xfId="4" applyBorder="1" applyAlignment="1">
      <alignment horizontal="center" vertical="top" wrapText="1"/>
    </xf>
    <xf numFmtId="0" fontId="1" fillId="0" borderId="3" xfId="4" applyBorder="1" applyAlignment="1">
      <alignment horizontal="center" vertical="top" wrapText="1"/>
    </xf>
    <xf numFmtId="0" fontId="1" fillId="0" borderId="4" xfId="4" applyBorder="1" applyAlignment="1">
      <alignment horizontal="center" vertical="top" wrapText="1"/>
    </xf>
    <xf numFmtId="0" fontId="1" fillId="0" borderId="2" xfId="4" applyBorder="1" applyAlignment="1">
      <alignment horizontal="left" vertical="center" wrapText="1"/>
    </xf>
    <xf numFmtId="0" fontId="1" fillId="0" borderId="4" xfId="4" applyBorder="1" applyAlignment="1">
      <alignment horizontal="left" vertical="center" wrapText="1"/>
    </xf>
    <xf numFmtId="0" fontId="1" fillId="0" borderId="3" xfId="4" applyBorder="1" applyAlignment="1">
      <alignment horizontal="left" vertical="center" wrapText="1"/>
    </xf>
    <xf numFmtId="0" fontId="1" fillId="0" borderId="1" xfId="4" applyBorder="1" applyAlignment="1">
      <alignment horizontal="left" vertical="top" wrapText="1"/>
    </xf>
    <xf numFmtId="0" fontId="1" fillId="0" borderId="2" xfId="4" applyBorder="1" applyAlignment="1">
      <alignment vertical="top" wrapText="1"/>
    </xf>
    <xf numFmtId="0" fontId="1" fillId="0" borderId="4" xfId="4" applyBorder="1" applyAlignment="1">
      <alignment vertical="top" wrapText="1"/>
    </xf>
    <xf numFmtId="0" fontId="1" fillId="0" borderId="1" xfId="1" applyBorder="1" applyAlignment="1">
      <alignment horizontal="left"/>
    </xf>
  </cellXfs>
  <cellStyles count="7">
    <cellStyle name="Normal 2" xfId="6" xr:uid="{00000000-0005-0000-0000-000032000000}"/>
    <cellStyle name="常规" xfId="0" builtinId="0"/>
    <cellStyle name="常规 2" xfId="5" xr:uid="{00000000-0005-0000-0000-000005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6" xfId="1" xr:uid="{00000000-0005-0000-0000-000001000000}"/>
  </cellStyles>
  <dxfs count="14"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19"/>
  <sheetViews>
    <sheetView workbookViewId="0">
      <selection activeCell="B30" sqref="B30"/>
    </sheetView>
  </sheetViews>
  <sheetFormatPr baseColWidth="10" defaultColWidth="9" defaultRowHeight="15"/>
  <cols>
    <col min="1" max="1" width="16.33203125" customWidth="1"/>
    <col min="2" max="2" width="79.5" customWidth="1"/>
    <col min="3" max="3" width="12.1640625" customWidth="1"/>
    <col min="4" max="4" width="12.33203125" customWidth="1"/>
    <col min="5" max="5" width="12.5" customWidth="1"/>
    <col min="6" max="6" width="13.5" customWidth="1"/>
    <col min="7" max="7" width="13.83203125" customWidth="1"/>
    <col min="8" max="8" width="12.5" customWidth="1"/>
    <col min="9" max="9" width="12.83203125" customWidth="1"/>
    <col min="10" max="10" width="12.33203125" customWidth="1"/>
    <col min="11" max="11" width="12.5" customWidth="1"/>
    <col min="12" max="12" width="13.5" customWidth="1"/>
    <col min="13" max="13" width="13.83203125" customWidth="1"/>
    <col min="14" max="14" width="12.5" customWidth="1"/>
    <col min="15" max="15" width="12.83203125" customWidth="1"/>
    <col min="16" max="16" width="27.5" customWidth="1"/>
    <col min="17" max="17" width="24.83203125" customWidth="1"/>
    <col min="18" max="18" width="24" customWidth="1"/>
  </cols>
  <sheetData>
    <row r="1" spans="1:18">
      <c r="A1" s="14"/>
      <c r="B1" s="14"/>
      <c r="C1" s="14"/>
      <c r="D1" s="88" t="s">
        <v>1254</v>
      </c>
      <c r="E1" s="88"/>
      <c r="F1" s="88"/>
      <c r="G1" s="88"/>
      <c r="H1" s="88"/>
      <c r="I1" s="88"/>
      <c r="J1" s="89" t="s">
        <v>1255</v>
      </c>
      <c r="K1" s="89"/>
      <c r="L1" s="89"/>
      <c r="M1" s="89"/>
      <c r="N1" s="89"/>
      <c r="O1" s="89"/>
      <c r="P1" s="48"/>
      <c r="Q1" s="48"/>
      <c r="R1" s="48"/>
    </row>
    <row r="2" spans="1:18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47" t="s">
        <v>3</v>
      </c>
      <c r="K2" s="47" t="s">
        <v>4</v>
      </c>
      <c r="L2" s="47" t="s">
        <v>5</v>
      </c>
      <c r="M2" s="47" t="s">
        <v>6</v>
      </c>
      <c r="N2" s="47" t="s">
        <v>7</v>
      </c>
      <c r="O2" s="47" t="s">
        <v>8</v>
      </c>
      <c r="P2" s="49" t="s">
        <v>9</v>
      </c>
      <c r="Q2" s="49" t="s">
        <v>10</v>
      </c>
      <c r="R2" s="49" t="s">
        <v>11</v>
      </c>
    </row>
    <row r="3" spans="1:18">
      <c r="A3" s="16" t="s">
        <v>12</v>
      </c>
      <c r="B3" s="27" t="s">
        <v>13</v>
      </c>
      <c r="C3" s="17" t="s">
        <v>14</v>
      </c>
      <c r="D3" s="17" t="s">
        <v>15</v>
      </c>
      <c r="E3" s="17" t="s">
        <v>15</v>
      </c>
      <c r="F3" s="17" t="s">
        <v>15</v>
      </c>
      <c r="G3" s="17" t="s">
        <v>15</v>
      </c>
      <c r="H3" s="17" t="s">
        <v>15</v>
      </c>
      <c r="I3" s="17" t="s">
        <v>15</v>
      </c>
      <c r="J3" s="17" t="s">
        <v>15</v>
      </c>
      <c r="K3" s="17" t="s">
        <v>15</v>
      </c>
      <c r="L3" s="17" t="s">
        <v>15</v>
      </c>
      <c r="M3" s="17" t="s">
        <v>15</v>
      </c>
      <c r="N3" s="17" t="s">
        <v>15</v>
      </c>
      <c r="O3" s="17" t="s">
        <v>15</v>
      </c>
      <c r="P3" s="17" t="s">
        <v>15</v>
      </c>
      <c r="Q3" s="17" t="s">
        <v>15</v>
      </c>
      <c r="R3" s="17" t="s">
        <v>15</v>
      </c>
    </row>
    <row r="4" spans="1:18">
      <c r="A4" s="16" t="s">
        <v>12</v>
      </c>
      <c r="B4" s="27" t="s">
        <v>16</v>
      </c>
      <c r="C4" s="17" t="s">
        <v>14</v>
      </c>
      <c r="D4" s="17" t="s">
        <v>15</v>
      </c>
      <c r="E4" s="17" t="s">
        <v>15</v>
      </c>
      <c r="F4" s="17" t="s">
        <v>15</v>
      </c>
      <c r="G4" s="17" t="s">
        <v>15</v>
      </c>
      <c r="H4" s="17" t="s">
        <v>15</v>
      </c>
      <c r="I4" s="17" t="s">
        <v>15</v>
      </c>
      <c r="J4" s="17" t="s">
        <v>15</v>
      </c>
      <c r="K4" s="17" t="s">
        <v>15</v>
      </c>
      <c r="L4" s="17" t="s">
        <v>15</v>
      </c>
      <c r="M4" s="17" t="s">
        <v>15</v>
      </c>
      <c r="N4" s="17" t="s">
        <v>15</v>
      </c>
      <c r="O4" s="17" t="s">
        <v>15</v>
      </c>
      <c r="P4" s="17" t="s">
        <v>15</v>
      </c>
      <c r="Q4" s="17" t="s">
        <v>15</v>
      </c>
      <c r="R4" s="17" t="s">
        <v>15</v>
      </c>
    </row>
    <row r="5" spans="1:18">
      <c r="A5" s="16" t="s">
        <v>12</v>
      </c>
      <c r="B5" s="27" t="s">
        <v>17</v>
      </c>
      <c r="C5" s="17" t="s">
        <v>14</v>
      </c>
      <c r="D5" s="17" t="s">
        <v>15</v>
      </c>
      <c r="E5" s="17" t="s">
        <v>15</v>
      </c>
      <c r="F5" s="17" t="s">
        <v>15</v>
      </c>
      <c r="G5" s="17" t="s">
        <v>15</v>
      </c>
      <c r="H5" s="17" t="s">
        <v>15</v>
      </c>
      <c r="I5" s="17" t="s">
        <v>15</v>
      </c>
      <c r="J5" s="17" t="s">
        <v>15</v>
      </c>
      <c r="K5" s="17" t="s">
        <v>15</v>
      </c>
      <c r="L5" s="17" t="s">
        <v>15</v>
      </c>
      <c r="M5" s="17" t="s">
        <v>15</v>
      </c>
      <c r="N5" s="17" t="s">
        <v>15</v>
      </c>
      <c r="O5" s="17" t="s">
        <v>15</v>
      </c>
      <c r="P5" s="17" t="s">
        <v>15</v>
      </c>
      <c r="Q5" s="17" t="s">
        <v>15</v>
      </c>
      <c r="R5" s="17" t="s">
        <v>15</v>
      </c>
    </row>
    <row r="6" spans="1:18">
      <c r="A6" s="16" t="s">
        <v>12</v>
      </c>
      <c r="B6" s="27" t="s">
        <v>18</v>
      </c>
      <c r="C6" s="17" t="s">
        <v>14</v>
      </c>
      <c r="D6" s="17" t="s">
        <v>15</v>
      </c>
      <c r="E6" s="17" t="s">
        <v>15</v>
      </c>
      <c r="F6" s="17" t="s">
        <v>15</v>
      </c>
      <c r="G6" s="17" t="s">
        <v>15</v>
      </c>
      <c r="H6" s="17" t="s">
        <v>15</v>
      </c>
      <c r="I6" s="17" t="s">
        <v>15</v>
      </c>
      <c r="J6" s="17" t="s">
        <v>15</v>
      </c>
      <c r="K6" s="17" t="s">
        <v>15</v>
      </c>
      <c r="L6" s="17" t="s">
        <v>15</v>
      </c>
      <c r="M6" s="17" t="s">
        <v>15</v>
      </c>
      <c r="N6" s="17" t="s">
        <v>15</v>
      </c>
      <c r="O6" s="17" t="s">
        <v>15</v>
      </c>
      <c r="P6" s="17" t="s">
        <v>15</v>
      </c>
      <c r="Q6" s="17" t="s">
        <v>15</v>
      </c>
      <c r="R6" s="17" t="s">
        <v>15</v>
      </c>
    </row>
    <row r="7" spans="1:18">
      <c r="A7" s="16" t="s">
        <v>12</v>
      </c>
      <c r="B7" s="27" t="s">
        <v>19</v>
      </c>
      <c r="C7" s="17" t="s">
        <v>14</v>
      </c>
      <c r="D7" s="17" t="s">
        <v>15</v>
      </c>
      <c r="E7" s="17" t="s">
        <v>15</v>
      </c>
      <c r="F7" s="17" t="s">
        <v>15</v>
      </c>
      <c r="G7" s="17" t="s">
        <v>15</v>
      </c>
      <c r="H7" s="17" t="s">
        <v>15</v>
      </c>
      <c r="I7" s="17" t="s">
        <v>15</v>
      </c>
      <c r="J7" s="17" t="s">
        <v>15</v>
      </c>
      <c r="K7" s="17" t="s">
        <v>15</v>
      </c>
      <c r="L7" s="17" t="s">
        <v>15</v>
      </c>
      <c r="M7" s="17" t="s">
        <v>15</v>
      </c>
      <c r="N7" s="17" t="s">
        <v>15</v>
      </c>
      <c r="O7" s="17" t="s">
        <v>15</v>
      </c>
      <c r="P7" s="17" t="s">
        <v>15</v>
      </c>
      <c r="Q7" s="17" t="s">
        <v>15</v>
      </c>
      <c r="R7" s="17" t="s">
        <v>15</v>
      </c>
    </row>
    <row r="8" spans="1:18">
      <c r="A8" s="16" t="s">
        <v>12</v>
      </c>
      <c r="B8" s="27" t="s">
        <v>20</v>
      </c>
      <c r="C8" s="17" t="s">
        <v>14</v>
      </c>
      <c r="D8" s="17" t="s">
        <v>15</v>
      </c>
      <c r="E8" s="17" t="s">
        <v>15</v>
      </c>
      <c r="F8" s="17" t="s">
        <v>15</v>
      </c>
      <c r="G8" s="17" t="s">
        <v>15</v>
      </c>
      <c r="H8" s="17" t="s">
        <v>15</v>
      </c>
      <c r="I8" s="17" t="s">
        <v>15</v>
      </c>
      <c r="J8" s="17" t="s">
        <v>15</v>
      </c>
      <c r="K8" s="17" t="s">
        <v>15</v>
      </c>
      <c r="L8" s="17" t="s">
        <v>15</v>
      </c>
      <c r="M8" s="17" t="s">
        <v>15</v>
      </c>
      <c r="N8" s="17" t="s">
        <v>15</v>
      </c>
      <c r="O8" s="17" t="s">
        <v>15</v>
      </c>
      <c r="P8" s="17" t="s">
        <v>15</v>
      </c>
      <c r="Q8" s="17" t="s">
        <v>15</v>
      </c>
      <c r="R8" s="17" t="s">
        <v>15</v>
      </c>
    </row>
    <row r="9" spans="1:18">
      <c r="A9" s="17" t="s">
        <v>21</v>
      </c>
      <c r="B9" s="27" t="s">
        <v>22</v>
      </c>
      <c r="C9" s="17" t="s">
        <v>14</v>
      </c>
      <c r="D9" s="111">
        <v>156</v>
      </c>
      <c r="E9" s="111">
        <v>126</v>
      </c>
      <c r="F9" s="111">
        <v>1286962</v>
      </c>
      <c r="G9" s="111">
        <v>1175486</v>
      </c>
      <c r="H9" s="111">
        <v>4</v>
      </c>
      <c r="I9" s="111">
        <v>3</v>
      </c>
      <c r="J9" s="17"/>
      <c r="K9" s="17"/>
      <c r="L9" s="17"/>
      <c r="M9" s="17"/>
      <c r="N9" s="17"/>
      <c r="O9" s="17"/>
      <c r="P9" s="17"/>
      <c r="Q9" s="17"/>
      <c r="R9" s="17"/>
    </row>
    <row r="10" spans="1:18">
      <c r="A10" s="17" t="s">
        <v>21</v>
      </c>
      <c r="B10" s="27" t="s">
        <v>23</v>
      </c>
      <c r="C10" s="17" t="s">
        <v>14</v>
      </c>
      <c r="D10" s="111">
        <v>127</v>
      </c>
      <c r="E10" s="111">
        <v>112</v>
      </c>
      <c r="F10" s="111">
        <v>736751</v>
      </c>
      <c r="G10" s="111">
        <v>656312</v>
      </c>
      <c r="H10" s="111">
        <v>19</v>
      </c>
      <c r="I10" s="111">
        <v>16</v>
      </c>
      <c r="J10" s="17"/>
      <c r="K10" s="17"/>
      <c r="L10" s="17"/>
      <c r="M10" s="17"/>
      <c r="N10" s="17"/>
      <c r="O10" s="17"/>
      <c r="P10" s="17"/>
      <c r="Q10" s="17"/>
      <c r="R10" s="17"/>
    </row>
    <row r="11" spans="1:18">
      <c r="A11" s="17" t="s">
        <v>21</v>
      </c>
      <c r="B11" s="27" t="s">
        <v>24</v>
      </c>
      <c r="C11" s="17" t="s">
        <v>14</v>
      </c>
      <c r="D11" s="111">
        <v>40</v>
      </c>
      <c r="E11" s="111">
        <v>11</v>
      </c>
      <c r="F11" s="111">
        <v>624851</v>
      </c>
      <c r="G11" s="111">
        <v>620165</v>
      </c>
      <c r="H11" s="111">
        <v>23</v>
      </c>
      <c r="I11" s="111">
        <v>19</v>
      </c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 s="17" t="s">
        <v>21</v>
      </c>
      <c r="B12" s="27" t="s">
        <v>25</v>
      </c>
      <c r="C12" s="17" t="s">
        <v>14</v>
      </c>
      <c r="D12" s="111">
        <v>71</v>
      </c>
      <c r="E12" s="111">
        <v>67</v>
      </c>
      <c r="F12" s="111">
        <v>605048</v>
      </c>
      <c r="G12" s="111">
        <v>588377</v>
      </c>
      <c r="H12" s="111">
        <v>7</v>
      </c>
      <c r="I12" s="111">
        <v>5</v>
      </c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s="17" t="s">
        <v>21</v>
      </c>
      <c r="B13" s="27" t="s">
        <v>26</v>
      </c>
      <c r="C13" s="17" t="s">
        <v>14</v>
      </c>
      <c r="D13" s="111">
        <v>25</v>
      </c>
      <c r="E13" s="111">
        <v>24</v>
      </c>
      <c r="F13" s="111">
        <v>683403</v>
      </c>
      <c r="G13" s="111">
        <v>630136</v>
      </c>
      <c r="H13" s="111">
        <v>20</v>
      </c>
      <c r="I13" s="111">
        <v>15</v>
      </c>
      <c r="J13" s="17"/>
      <c r="K13" s="17"/>
      <c r="L13" s="17"/>
      <c r="M13" s="17"/>
      <c r="N13" s="17"/>
      <c r="O13" s="17"/>
      <c r="P13" s="17"/>
      <c r="Q13" s="17"/>
      <c r="R13" s="17"/>
    </row>
    <row r="14" spans="1:18">
      <c r="A14" s="17" t="s">
        <v>21</v>
      </c>
      <c r="B14" s="27" t="s">
        <v>27</v>
      </c>
      <c r="C14" s="17" t="s">
        <v>14</v>
      </c>
      <c r="D14" s="111">
        <v>138</v>
      </c>
      <c r="E14" s="111">
        <v>120</v>
      </c>
      <c r="F14" s="111">
        <v>752101</v>
      </c>
      <c r="G14" s="111">
        <v>752101</v>
      </c>
      <c r="H14" s="111">
        <v>10</v>
      </c>
      <c r="I14" s="111">
        <v>9</v>
      </c>
      <c r="J14" s="17"/>
      <c r="K14" s="17"/>
      <c r="L14" s="17"/>
      <c r="M14" s="17"/>
      <c r="N14" s="17"/>
      <c r="O14" s="17"/>
      <c r="P14" s="17"/>
      <c r="Q14" s="17"/>
      <c r="R14" s="17"/>
    </row>
    <row r="15" spans="1:18" ht="16">
      <c r="A15" s="17" t="s">
        <v>28</v>
      </c>
      <c r="B15" s="45" t="s">
        <v>29</v>
      </c>
      <c r="C15" s="17" t="s">
        <v>14</v>
      </c>
      <c r="D15" s="17" t="s">
        <v>15</v>
      </c>
      <c r="E15" s="17" t="s">
        <v>15</v>
      </c>
      <c r="F15" s="17" t="s">
        <v>15</v>
      </c>
      <c r="G15" s="17" t="s">
        <v>15</v>
      </c>
      <c r="H15" s="17" t="s">
        <v>15</v>
      </c>
      <c r="I15" s="17" t="s">
        <v>15</v>
      </c>
      <c r="J15" s="17" t="s">
        <v>15</v>
      </c>
      <c r="K15" s="17" t="s">
        <v>15</v>
      </c>
      <c r="L15" s="17" t="s">
        <v>15</v>
      </c>
      <c r="M15" s="17" t="s">
        <v>15</v>
      </c>
      <c r="N15" s="17" t="s">
        <v>15</v>
      </c>
      <c r="O15" s="17" t="s">
        <v>15</v>
      </c>
      <c r="P15" s="17" t="s">
        <v>15</v>
      </c>
      <c r="Q15" s="17" t="s">
        <v>15</v>
      </c>
      <c r="R15" s="17" t="s">
        <v>15</v>
      </c>
    </row>
    <row r="16" spans="1:18">
      <c r="A16" s="17" t="s">
        <v>28</v>
      </c>
      <c r="B16" s="46" t="s">
        <v>30</v>
      </c>
      <c r="C16" s="17" t="s">
        <v>14</v>
      </c>
      <c r="D16" s="17" t="s">
        <v>15</v>
      </c>
      <c r="E16" s="17" t="s">
        <v>15</v>
      </c>
      <c r="F16" s="17" t="s">
        <v>15</v>
      </c>
      <c r="G16" s="17" t="s">
        <v>15</v>
      </c>
      <c r="H16" s="17" t="s">
        <v>15</v>
      </c>
      <c r="I16" s="17" t="s">
        <v>15</v>
      </c>
      <c r="J16" s="17" t="s">
        <v>15</v>
      </c>
      <c r="K16" s="17" t="s">
        <v>15</v>
      </c>
      <c r="L16" s="17" t="s">
        <v>15</v>
      </c>
      <c r="M16" s="17" t="s">
        <v>15</v>
      </c>
      <c r="N16" s="17" t="s">
        <v>15</v>
      </c>
      <c r="O16" s="17" t="s">
        <v>15</v>
      </c>
      <c r="P16" s="17" t="s">
        <v>15</v>
      </c>
      <c r="Q16" s="17" t="s">
        <v>15</v>
      </c>
      <c r="R16" s="17" t="s">
        <v>15</v>
      </c>
    </row>
    <row r="17" spans="1:18">
      <c r="A17" s="17" t="s">
        <v>28</v>
      </c>
      <c r="B17" s="46" t="s">
        <v>31</v>
      </c>
      <c r="C17" s="17" t="s">
        <v>14</v>
      </c>
      <c r="D17" s="17" t="s">
        <v>15</v>
      </c>
      <c r="E17" s="17" t="s">
        <v>15</v>
      </c>
      <c r="F17" s="17" t="s">
        <v>15</v>
      </c>
      <c r="G17" s="17" t="s">
        <v>15</v>
      </c>
      <c r="H17" s="17" t="s">
        <v>15</v>
      </c>
      <c r="I17" s="17" t="s">
        <v>15</v>
      </c>
      <c r="J17" s="17" t="s">
        <v>15</v>
      </c>
      <c r="K17" s="17" t="s">
        <v>15</v>
      </c>
      <c r="L17" s="17" t="s">
        <v>15</v>
      </c>
      <c r="M17" s="17" t="s">
        <v>15</v>
      </c>
      <c r="N17" s="17" t="s">
        <v>15</v>
      </c>
      <c r="O17" s="17" t="s">
        <v>15</v>
      </c>
      <c r="P17" s="17" t="s">
        <v>15</v>
      </c>
      <c r="Q17" s="17" t="s">
        <v>15</v>
      </c>
      <c r="R17" s="17" t="s">
        <v>15</v>
      </c>
    </row>
    <row r="18" spans="1:18">
      <c r="A18" s="17" t="s">
        <v>28</v>
      </c>
      <c r="B18" s="46" t="s">
        <v>32</v>
      </c>
      <c r="C18" s="17" t="s">
        <v>14</v>
      </c>
      <c r="D18" s="17" t="s">
        <v>15</v>
      </c>
      <c r="E18" s="17" t="s">
        <v>15</v>
      </c>
      <c r="F18" s="17" t="s">
        <v>15</v>
      </c>
      <c r="G18" s="17" t="s">
        <v>15</v>
      </c>
      <c r="H18" s="17" t="s">
        <v>15</v>
      </c>
      <c r="I18" s="17" t="s">
        <v>15</v>
      </c>
      <c r="J18" s="17" t="s">
        <v>15</v>
      </c>
      <c r="K18" s="17" t="s">
        <v>15</v>
      </c>
      <c r="L18" s="17" t="s">
        <v>15</v>
      </c>
      <c r="M18" s="17" t="s">
        <v>15</v>
      </c>
      <c r="N18" s="17" t="s">
        <v>15</v>
      </c>
      <c r="O18" s="17" t="s">
        <v>15</v>
      </c>
      <c r="P18" s="17" t="s">
        <v>15</v>
      </c>
      <c r="Q18" s="17" t="s">
        <v>15</v>
      </c>
      <c r="R18" s="17" t="s">
        <v>15</v>
      </c>
    </row>
    <row r="19" spans="1:18">
      <c r="A19" s="17" t="s">
        <v>28</v>
      </c>
      <c r="B19" s="46" t="s">
        <v>33</v>
      </c>
      <c r="C19" s="17" t="s">
        <v>14</v>
      </c>
      <c r="D19" s="17" t="s">
        <v>15</v>
      </c>
      <c r="E19" s="17" t="s">
        <v>15</v>
      </c>
      <c r="F19" s="17" t="s">
        <v>15</v>
      </c>
      <c r="G19" s="17" t="s">
        <v>15</v>
      </c>
      <c r="H19" s="17" t="s">
        <v>15</v>
      </c>
      <c r="I19" s="17" t="s">
        <v>15</v>
      </c>
      <c r="J19" s="17" t="s">
        <v>15</v>
      </c>
      <c r="K19" s="17" t="s">
        <v>15</v>
      </c>
      <c r="L19" s="17" t="s">
        <v>15</v>
      </c>
      <c r="M19" s="17" t="s">
        <v>15</v>
      </c>
      <c r="N19" s="17" t="s">
        <v>15</v>
      </c>
      <c r="O19" s="17" t="s">
        <v>15</v>
      </c>
      <c r="P19" s="17" t="s">
        <v>15</v>
      </c>
      <c r="Q19" s="17" t="s">
        <v>15</v>
      </c>
      <c r="R19" s="17" t="s">
        <v>15</v>
      </c>
    </row>
  </sheetData>
  <mergeCells count="2">
    <mergeCell ref="D1:I1"/>
    <mergeCell ref="J1:O1"/>
  </mergeCells>
  <phoneticPr fontId="18" type="noConversion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W132"/>
  <sheetViews>
    <sheetView tabSelected="1" topLeftCell="B1" zoomScale="50" zoomScaleNormal="70" workbookViewId="0">
      <pane ySplit="1" topLeftCell="A111" activePane="bottomLeft" state="frozen"/>
      <selection pane="bottomLeft" activeCell="L39" sqref="L39"/>
    </sheetView>
  </sheetViews>
  <sheetFormatPr baseColWidth="10" defaultColWidth="9.1640625" defaultRowHeight="60" customHeight="1"/>
  <cols>
    <col min="1" max="1" width="52.5" style="73" hidden="1" customWidth="1"/>
    <col min="2" max="2" width="41.33203125" style="85" customWidth="1"/>
    <col min="3" max="3" width="13.1640625" style="85" customWidth="1"/>
    <col min="4" max="4" width="77.1640625" style="85" customWidth="1"/>
    <col min="5" max="5" width="56.6640625" style="85" customWidth="1"/>
    <col min="6" max="10" width="16.5" style="56" hidden="1" customWidth="1"/>
    <col min="11" max="11" width="22.1640625" style="56" hidden="1" customWidth="1"/>
    <col min="12" max="12" width="22.1640625" style="56" customWidth="1"/>
    <col min="13" max="13" width="30" style="56" customWidth="1"/>
    <col min="14" max="14" width="33.1640625" style="56" customWidth="1"/>
    <col min="15" max="15" width="26.1640625" style="56" customWidth="1"/>
    <col min="16" max="17" width="20.33203125" style="56" customWidth="1"/>
    <col min="18" max="18" width="18" style="85" customWidth="1"/>
    <col min="19" max="19" width="45.5" style="86" customWidth="1"/>
    <col min="20" max="20" width="50.6640625" style="85" customWidth="1"/>
    <col min="21" max="21" width="81.5" style="85" customWidth="1"/>
    <col min="22" max="22" width="26" style="87" customWidth="1"/>
    <col min="23" max="16384" width="9.1640625" style="73"/>
  </cols>
  <sheetData>
    <row r="1" spans="1:22" ht="60" customHeight="1">
      <c r="A1" s="69" t="s">
        <v>34</v>
      </c>
      <c r="B1" s="69" t="s">
        <v>35</v>
      </c>
      <c r="C1" s="70" t="s">
        <v>36</v>
      </c>
      <c r="D1" s="70" t="s">
        <v>37</v>
      </c>
      <c r="E1" s="70" t="s">
        <v>38</v>
      </c>
      <c r="F1" s="59" t="s">
        <v>39</v>
      </c>
      <c r="G1" s="59" t="s">
        <v>40</v>
      </c>
      <c r="H1" s="59" t="s">
        <v>41</v>
      </c>
      <c r="I1" s="59" t="s">
        <v>42</v>
      </c>
      <c r="J1" s="59" t="s">
        <v>43</v>
      </c>
      <c r="K1" s="59" t="s">
        <v>44</v>
      </c>
      <c r="L1" s="59" t="s">
        <v>1256</v>
      </c>
      <c r="M1" s="59" t="s">
        <v>1260</v>
      </c>
      <c r="N1" s="59" t="s">
        <v>1261</v>
      </c>
      <c r="O1" s="59" t="s">
        <v>1258</v>
      </c>
      <c r="P1" s="59" t="s">
        <v>1262</v>
      </c>
      <c r="Q1" s="59" t="s">
        <v>45</v>
      </c>
      <c r="R1" s="59" t="s">
        <v>46</v>
      </c>
      <c r="S1" s="71" t="s">
        <v>47</v>
      </c>
      <c r="T1" s="72" t="s">
        <v>48</v>
      </c>
      <c r="U1" s="72" t="s">
        <v>49</v>
      </c>
      <c r="V1" s="72" t="s">
        <v>2</v>
      </c>
    </row>
    <row r="2" spans="1:22" s="65" customFormat="1" ht="60" customHeight="1">
      <c r="A2" s="61" t="s">
        <v>50</v>
      </c>
      <c r="B2" s="61" t="s">
        <v>51</v>
      </c>
      <c r="C2" s="62">
        <v>5</v>
      </c>
      <c r="D2" s="62" t="s">
        <v>1263</v>
      </c>
      <c r="E2" s="62" t="s">
        <v>52</v>
      </c>
      <c r="F2" s="57">
        <f t="shared" ref="F2:F7" si="0">I2*1.6</f>
        <v>6.4</v>
      </c>
      <c r="G2" s="57">
        <f t="shared" ref="G2:G7" si="1">I2*1.4</f>
        <v>5.6</v>
      </c>
      <c r="H2" s="57">
        <f t="shared" ref="H2:H7" si="2">I2*1.2</f>
        <v>4.8</v>
      </c>
      <c r="I2" s="57">
        <v>4</v>
      </c>
      <c r="J2" s="57">
        <f t="shared" ref="J2:J7" si="3">I2*0.8</f>
        <v>3.2</v>
      </c>
      <c r="K2" s="57" t="s">
        <v>53</v>
      </c>
      <c r="L2" s="57" t="s">
        <v>1257</v>
      </c>
      <c r="M2" s="57" t="s">
        <v>1257</v>
      </c>
      <c r="N2" s="57">
        <f>(5.234+3.934+5.067)/3</f>
        <v>4.7450000000000001</v>
      </c>
      <c r="O2" s="57" t="s">
        <v>1259</v>
      </c>
      <c r="P2" s="57" t="s">
        <v>54</v>
      </c>
      <c r="Q2" s="57" t="s">
        <v>55</v>
      </c>
      <c r="R2" s="57" t="s">
        <v>56</v>
      </c>
      <c r="S2" s="60" t="s">
        <v>57</v>
      </c>
      <c r="T2" s="64" t="s">
        <v>1264</v>
      </c>
      <c r="U2" s="64" t="s">
        <v>58</v>
      </c>
      <c r="V2" s="61" t="s">
        <v>59</v>
      </c>
    </row>
    <row r="3" spans="1:22" s="65" customFormat="1" ht="99" customHeight="1">
      <c r="A3" s="61" t="s">
        <v>50</v>
      </c>
      <c r="B3" s="61" t="s">
        <v>51</v>
      </c>
      <c r="C3" s="62">
        <v>6</v>
      </c>
      <c r="D3" s="62" t="s">
        <v>60</v>
      </c>
      <c r="E3" s="62" t="s">
        <v>52</v>
      </c>
      <c r="F3" s="57">
        <f t="shared" si="0"/>
        <v>6.4</v>
      </c>
      <c r="G3" s="57">
        <f t="shared" si="1"/>
        <v>5.6</v>
      </c>
      <c r="H3" s="57">
        <f t="shared" si="2"/>
        <v>4.8</v>
      </c>
      <c r="I3" s="57">
        <v>4</v>
      </c>
      <c r="J3" s="57">
        <f t="shared" si="3"/>
        <v>3.2</v>
      </c>
      <c r="K3" s="57" t="s">
        <v>61</v>
      </c>
      <c r="L3" s="57">
        <v>4</v>
      </c>
      <c r="M3" s="63">
        <v>4.5999999999999996</v>
      </c>
      <c r="N3" s="57">
        <f>(3.8+2+2.567)/3</f>
        <v>2.7890000000000001</v>
      </c>
      <c r="O3" s="57">
        <v>2.322666667</v>
      </c>
      <c r="P3" s="57" t="s">
        <v>54</v>
      </c>
      <c r="Q3" s="57" t="s">
        <v>55</v>
      </c>
      <c r="R3" s="57" t="s">
        <v>56</v>
      </c>
      <c r="S3" s="60" t="s">
        <v>1265</v>
      </c>
      <c r="T3" s="60" t="s">
        <v>1264</v>
      </c>
      <c r="U3" s="64" t="s">
        <v>62</v>
      </c>
      <c r="V3" s="61" t="s">
        <v>59</v>
      </c>
    </row>
    <row r="4" spans="1:22" s="65" customFormat="1" ht="60" customHeight="1">
      <c r="A4" s="61" t="s">
        <v>50</v>
      </c>
      <c r="B4" s="61" t="s">
        <v>51</v>
      </c>
      <c r="C4" s="62">
        <v>7</v>
      </c>
      <c r="D4" s="62" t="s">
        <v>63</v>
      </c>
      <c r="E4" s="62" t="s">
        <v>64</v>
      </c>
      <c r="F4" s="74">
        <f t="shared" si="0"/>
        <v>3.2</v>
      </c>
      <c r="G4" s="74">
        <f t="shared" si="1"/>
        <v>2.8</v>
      </c>
      <c r="H4" s="74">
        <f t="shared" si="2"/>
        <v>2.4</v>
      </c>
      <c r="I4" s="74">
        <v>2</v>
      </c>
      <c r="J4" s="74">
        <f t="shared" si="3"/>
        <v>1.6</v>
      </c>
      <c r="K4" s="57" t="s">
        <v>65</v>
      </c>
      <c r="L4" s="57">
        <v>2</v>
      </c>
      <c r="M4" s="63">
        <v>2.4</v>
      </c>
      <c r="N4" s="57">
        <f>(2.066+1.967+2.3)/3</f>
        <v>2.1109999999999998</v>
      </c>
      <c r="O4" s="57">
        <f>(2.974+4.44+4.01)/3</f>
        <v>3.8079999999999998</v>
      </c>
      <c r="P4" s="57" t="s">
        <v>54</v>
      </c>
      <c r="Q4" s="57" t="s">
        <v>55</v>
      </c>
      <c r="R4" s="57" t="s">
        <v>56</v>
      </c>
      <c r="S4" s="60"/>
      <c r="T4" s="64" t="s">
        <v>66</v>
      </c>
      <c r="U4" s="64" t="s">
        <v>67</v>
      </c>
      <c r="V4" s="61" t="s">
        <v>59</v>
      </c>
    </row>
    <row r="5" spans="1:22" s="65" customFormat="1" ht="60" customHeight="1">
      <c r="A5" s="61" t="s">
        <v>50</v>
      </c>
      <c r="B5" s="61" t="s">
        <v>51</v>
      </c>
      <c r="C5" s="62">
        <v>8</v>
      </c>
      <c r="D5" s="62" t="s">
        <v>68</v>
      </c>
      <c r="E5" s="62" t="s">
        <v>69</v>
      </c>
      <c r="F5" s="74">
        <f t="shared" si="0"/>
        <v>4.8000000000000007</v>
      </c>
      <c r="G5" s="74">
        <f t="shared" si="1"/>
        <v>4.1999999999999993</v>
      </c>
      <c r="H5" s="74">
        <f t="shared" si="2"/>
        <v>3.5999999999999996</v>
      </c>
      <c r="I5" s="74">
        <v>3</v>
      </c>
      <c r="J5" s="74">
        <f t="shared" si="3"/>
        <v>2.4000000000000004</v>
      </c>
      <c r="K5" s="57" t="s">
        <v>65</v>
      </c>
      <c r="L5" s="57">
        <v>3</v>
      </c>
      <c r="M5" s="63">
        <v>3.4499999999999997</v>
      </c>
      <c r="N5" s="57">
        <f>(3.6+3.4+4)/3</f>
        <v>3.6666666666666665</v>
      </c>
      <c r="O5" s="57">
        <f>(5.681+6.7+6.1)/3</f>
        <v>6.1603333333333339</v>
      </c>
      <c r="P5" s="57" t="s">
        <v>54</v>
      </c>
      <c r="Q5" s="57" t="s">
        <v>55</v>
      </c>
      <c r="R5" s="57" t="s">
        <v>56</v>
      </c>
      <c r="S5" s="60"/>
      <c r="T5" s="64" t="s">
        <v>70</v>
      </c>
      <c r="U5" s="64" t="s">
        <v>71</v>
      </c>
      <c r="V5" s="61" t="s">
        <v>59</v>
      </c>
    </row>
    <row r="6" spans="1:22" s="65" customFormat="1" ht="90.75" customHeight="1">
      <c r="A6" s="61"/>
      <c r="B6" s="61" t="s">
        <v>51</v>
      </c>
      <c r="C6" s="62">
        <v>11</v>
      </c>
      <c r="D6" s="62" t="s">
        <v>72</v>
      </c>
      <c r="E6" s="62" t="s">
        <v>73</v>
      </c>
      <c r="F6" s="57">
        <f t="shared" si="0"/>
        <v>6.4</v>
      </c>
      <c r="G6" s="57">
        <f t="shared" si="1"/>
        <v>5.6</v>
      </c>
      <c r="H6" s="57">
        <f t="shared" si="2"/>
        <v>4.8</v>
      </c>
      <c r="I6" s="57">
        <v>4</v>
      </c>
      <c r="J6" s="57">
        <f t="shared" si="3"/>
        <v>3.2</v>
      </c>
      <c r="K6" s="57"/>
      <c r="L6" s="57">
        <v>2</v>
      </c>
      <c r="M6" s="63">
        <v>2.4</v>
      </c>
      <c r="N6" s="57">
        <v>1.9</v>
      </c>
      <c r="O6" s="57" t="s">
        <v>1259</v>
      </c>
      <c r="P6" s="57" t="s">
        <v>54</v>
      </c>
      <c r="Q6" s="57"/>
      <c r="R6" s="57" t="s">
        <v>56</v>
      </c>
      <c r="S6" s="60" t="s">
        <v>74</v>
      </c>
      <c r="T6" s="60" t="s">
        <v>75</v>
      </c>
      <c r="U6" s="64" t="s">
        <v>76</v>
      </c>
      <c r="V6" s="61" t="s">
        <v>59</v>
      </c>
    </row>
    <row r="7" spans="1:22" s="65" customFormat="1" ht="123" customHeight="1">
      <c r="A7" s="61"/>
      <c r="B7" s="61" t="s">
        <v>51</v>
      </c>
      <c r="C7" s="62">
        <v>12</v>
      </c>
      <c r="D7" s="62" t="s">
        <v>77</v>
      </c>
      <c r="E7" s="62" t="s">
        <v>78</v>
      </c>
      <c r="F7" s="57">
        <f t="shared" si="0"/>
        <v>5.28</v>
      </c>
      <c r="G7" s="57">
        <f t="shared" si="1"/>
        <v>4.6199999999999992</v>
      </c>
      <c r="H7" s="57">
        <f t="shared" si="2"/>
        <v>3.9599999999999995</v>
      </c>
      <c r="I7" s="57">
        <v>3.3</v>
      </c>
      <c r="J7" s="57">
        <f t="shared" si="3"/>
        <v>2.64</v>
      </c>
      <c r="K7" s="57"/>
      <c r="L7" s="66">
        <v>3</v>
      </c>
      <c r="M7" s="63">
        <v>3.4499999999999997</v>
      </c>
      <c r="N7" s="57">
        <f>(2.398+2.398+2.365)/3</f>
        <v>2.387</v>
      </c>
      <c r="O7" s="57" t="s">
        <v>1259</v>
      </c>
      <c r="P7" s="57" t="s">
        <v>79</v>
      </c>
      <c r="Q7" s="57" t="s">
        <v>55</v>
      </c>
      <c r="R7" s="57" t="s">
        <v>56</v>
      </c>
      <c r="S7" s="60"/>
      <c r="T7" s="60" t="s">
        <v>80</v>
      </c>
      <c r="U7" s="64" t="s">
        <v>81</v>
      </c>
      <c r="V7" s="61" t="s">
        <v>59</v>
      </c>
    </row>
    <row r="8" spans="1:22" s="65" customFormat="1" ht="90.75" customHeight="1">
      <c r="A8" s="61"/>
      <c r="B8" s="61" t="s">
        <v>51</v>
      </c>
      <c r="C8" s="62">
        <v>13</v>
      </c>
      <c r="D8" s="62" t="s">
        <v>82</v>
      </c>
      <c r="E8" s="62" t="s">
        <v>83</v>
      </c>
      <c r="F8" s="57"/>
      <c r="G8" s="57"/>
      <c r="H8" s="57"/>
      <c r="I8" s="57"/>
      <c r="J8" s="57"/>
      <c r="K8" s="57"/>
      <c r="L8" s="66">
        <v>13</v>
      </c>
      <c r="M8" s="57">
        <v>13.65</v>
      </c>
      <c r="N8" s="57">
        <f>(15.627+17.925+14.761)/3</f>
        <v>16.104333333333333</v>
      </c>
      <c r="O8" s="57" t="s">
        <v>1259</v>
      </c>
      <c r="P8" s="57" t="s">
        <v>79</v>
      </c>
      <c r="Q8" s="57" t="s">
        <v>55</v>
      </c>
      <c r="R8" s="57" t="s">
        <v>56</v>
      </c>
      <c r="S8" s="60"/>
      <c r="T8" s="60" t="s">
        <v>84</v>
      </c>
      <c r="U8" s="64" t="s">
        <v>85</v>
      </c>
      <c r="V8" s="61" t="s">
        <v>59</v>
      </c>
    </row>
    <row r="9" spans="1:22" s="65" customFormat="1" ht="107.25" customHeight="1">
      <c r="A9" s="61" t="s">
        <v>50</v>
      </c>
      <c r="B9" s="61" t="s">
        <v>51</v>
      </c>
      <c r="C9" s="62">
        <v>14</v>
      </c>
      <c r="D9" s="62" t="s">
        <v>86</v>
      </c>
      <c r="E9" s="62" t="s">
        <v>87</v>
      </c>
      <c r="F9" s="57">
        <f t="shared" ref="F9:F40" si="4">I9*1.6</f>
        <v>16</v>
      </c>
      <c r="G9" s="57">
        <f t="shared" ref="G9:G40" si="5">I9*1.4</f>
        <v>14</v>
      </c>
      <c r="H9" s="57">
        <f t="shared" ref="H9:H40" si="6">I9*1.2</f>
        <v>12</v>
      </c>
      <c r="I9" s="57">
        <v>10</v>
      </c>
      <c r="J9" s="57">
        <f t="shared" ref="J9:J32" si="7">I9*0.8</f>
        <v>8</v>
      </c>
      <c r="K9" s="57" t="s">
        <v>88</v>
      </c>
      <c r="L9" s="66">
        <v>13</v>
      </c>
      <c r="M9" s="63">
        <v>13.65</v>
      </c>
      <c r="N9" s="57">
        <f>(13.529+17.427+9.099)/3</f>
        <v>13.351666666666667</v>
      </c>
      <c r="O9" s="57">
        <f>(13.988+12.301+13.511)/3</f>
        <v>13.266666666666666</v>
      </c>
      <c r="P9" s="57" t="s">
        <v>79</v>
      </c>
      <c r="Q9" s="57"/>
      <c r="R9" s="57" t="s">
        <v>56</v>
      </c>
      <c r="S9" s="60"/>
      <c r="T9" s="64" t="s">
        <v>1266</v>
      </c>
      <c r="U9" s="64" t="s">
        <v>89</v>
      </c>
      <c r="V9" s="61" t="s">
        <v>59</v>
      </c>
    </row>
    <row r="10" spans="1:22" s="65" customFormat="1" ht="91" customHeight="1">
      <c r="A10" s="61" t="s">
        <v>50</v>
      </c>
      <c r="B10" s="61" t="s">
        <v>51</v>
      </c>
      <c r="C10" s="62">
        <v>15</v>
      </c>
      <c r="D10" s="62" t="s">
        <v>90</v>
      </c>
      <c r="E10" s="62" t="s">
        <v>91</v>
      </c>
      <c r="F10" s="57">
        <f t="shared" si="4"/>
        <v>1.92</v>
      </c>
      <c r="G10" s="57">
        <f t="shared" si="5"/>
        <v>1.68</v>
      </c>
      <c r="H10" s="57">
        <f t="shared" si="6"/>
        <v>1.44</v>
      </c>
      <c r="I10" s="57">
        <v>1.2</v>
      </c>
      <c r="J10" s="57">
        <f t="shared" si="7"/>
        <v>0.96</v>
      </c>
      <c r="K10" s="57" t="s">
        <v>65</v>
      </c>
      <c r="L10" s="66">
        <v>1.2</v>
      </c>
      <c r="M10" s="57">
        <v>1.44</v>
      </c>
      <c r="N10" s="57">
        <f>(2.066+3.432+5.664)/3</f>
        <v>3.7206666666666663</v>
      </c>
      <c r="O10" s="57">
        <v>4.6109999999999998</v>
      </c>
      <c r="P10" s="57" t="s">
        <v>79</v>
      </c>
      <c r="Q10" s="57"/>
      <c r="R10" s="57" t="s">
        <v>56</v>
      </c>
      <c r="S10" s="60"/>
      <c r="T10" s="64" t="s">
        <v>1267</v>
      </c>
      <c r="U10" s="64" t="s">
        <v>92</v>
      </c>
      <c r="V10" s="61" t="s">
        <v>59</v>
      </c>
    </row>
    <row r="11" spans="1:22" s="65" customFormat="1" ht="60" customHeight="1">
      <c r="A11" s="61" t="s">
        <v>50</v>
      </c>
      <c r="B11" s="61" t="s">
        <v>51</v>
      </c>
      <c r="C11" s="62">
        <v>16</v>
      </c>
      <c r="D11" s="62" t="s">
        <v>93</v>
      </c>
      <c r="E11" s="62" t="s">
        <v>94</v>
      </c>
      <c r="F11" s="57">
        <f t="shared" si="4"/>
        <v>3.2</v>
      </c>
      <c r="G11" s="57">
        <f t="shared" si="5"/>
        <v>2.8</v>
      </c>
      <c r="H11" s="57">
        <f t="shared" si="6"/>
        <v>2.4</v>
      </c>
      <c r="I11" s="57">
        <v>2</v>
      </c>
      <c r="J11" s="57">
        <f t="shared" si="7"/>
        <v>1.6</v>
      </c>
      <c r="K11" s="57" t="s">
        <v>95</v>
      </c>
      <c r="L11" s="66">
        <v>2</v>
      </c>
      <c r="M11" s="63">
        <v>2.4</v>
      </c>
      <c r="N11" s="57">
        <f>(2.198+2.299+1.968)/3</f>
        <v>2.1549999999999998</v>
      </c>
      <c r="O11" s="57">
        <f>(1.87+1.96+1.49)/3</f>
        <v>1.7733333333333334</v>
      </c>
      <c r="P11" s="57" t="s">
        <v>79</v>
      </c>
      <c r="Q11" s="57"/>
      <c r="R11" s="57" t="s">
        <v>56</v>
      </c>
      <c r="S11" s="60"/>
      <c r="T11" s="64" t="s">
        <v>1268</v>
      </c>
      <c r="U11" s="64" t="s">
        <v>96</v>
      </c>
      <c r="V11" s="61" t="s">
        <v>59</v>
      </c>
    </row>
    <row r="12" spans="1:22" s="65" customFormat="1" ht="60" customHeight="1">
      <c r="A12" s="61" t="s">
        <v>50</v>
      </c>
      <c r="B12" s="61" t="s">
        <v>51</v>
      </c>
      <c r="C12" s="62">
        <v>17</v>
      </c>
      <c r="D12" s="62" t="s">
        <v>1269</v>
      </c>
      <c r="E12" s="62" t="s">
        <v>97</v>
      </c>
      <c r="F12" s="57">
        <f t="shared" si="4"/>
        <v>3.2</v>
      </c>
      <c r="G12" s="57">
        <f t="shared" si="5"/>
        <v>2.8</v>
      </c>
      <c r="H12" s="57">
        <f t="shared" si="6"/>
        <v>2.4</v>
      </c>
      <c r="I12" s="57">
        <v>2</v>
      </c>
      <c r="J12" s="57">
        <f t="shared" si="7"/>
        <v>1.6</v>
      </c>
      <c r="K12" s="57" t="s">
        <v>98</v>
      </c>
      <c r="L12" s="57">
        <v>2</v>
      </c>
      <c r="M12" s="63">
        <v>2.4</v>
      </c>
      <c r="N12" s="57">
        <f>(1.933+2.532+2.099)/3</f>
        <v>2.1880000000000002</v>
      </c>
      <c r="O12" s="57">
        <f>(1.77+2.04+2.34)/3</f>
        <v>2.0500000000000003</v>
      </c>
      <c r="P12" s="57" t="s">
        <v>79</v>
      </c>
      <c r="Q12" s="57"/>
      <c r="R12" s="57" t="s">
        <v>56</v>
      </c>
      <c r="S12" s="60"/>
      <c r="T12" s="64" t="s">
        <v>1270</v>
      </c>
      <c r="U12" s="64" t="s">
        <v>99</v>
      </c>
      <c r="V12" s="61" t="s">
        <v>59</v>
      </c>
    </row>
    <row r="13" spans="1:22" s="65" customFormat="1" ht="60" customHeight="1">
      <c r="A13" s="61" t="s">
        <v>50</v>
      </c>
      <c r="B13" s="61" t="s">
        <v>51</v>
      </c>
      <c r="C13" s="62">
        <v>18</v>
      </c>
      <c r="D13" s="62" t="s">
        <v>100</v>
      </c>
      <c r="E13" s="62" t="s">
        <v>101</v>
      </c>
      <c r="F13" s="57">
        <f t="shared" si="4"/>
        <v>25.6</v>
      </c>
      <c r="G13" s="57">
        <f t="shared" si="5"/>
        <v>22.4</v>
      </c>
      <c r="H13" s="57">
        <f t="shared" si="6"/>
        <v>19.2</v>
      </c>
      <c r="I13" s="57">
        <v>16</v>
      </c>
      <c r="J13" s="57">
        <f t="shared" si="7"/>
        <v>12.8</v>
      </c>
      <c r="K13" s="57" t="s">
        <v>102</v>
      </c>
      <c r="L13" s="57">
        <v>16</v>
      </c>
      <c r="M13" s="63">
        <v>16.8</v>
      </c>
      <c r="N13" s="57">
        <f>(10.266+10.2+9.967)/3</f>
        <v>10.144333333333334</v>
      </c>
      <c r="O13" s="57">
        <f>(9.601+9.455+10.179)/3</f>
        <v>9.7449999999999992</v>
      </c>
      <c r="P13" s="57" t="s">
        <v>79</v>
      </c>
      <c r="Q13" s="57"/>
      <c r="R13" s="57" t="s">
        <v>56</v>
      </c>
      <c r="S13" s="60"/>
      <c r="T13" s="60" t="s">
        <v>103</v>
      </c>
      <c r="U13" s="64" t="s">
        <v>104</v>
      </c>
      <c r="V13" s="61" t="s">
        <v>59</v>
      </c>
    </row>
    <row r="14" spans="1:22" s="65" customFormat="1" ht="98.25" customHeight="1">
      <c r="A14" s="61" t="s">
        <v>50</v>
      </c>
      <c r="B14" s="61" t="s">
        <v>51</v>
      </c>
      <c r="C14" s="62">
        <v>19</v>
      </c>
      <c r="D14" s="62" t="s">
        <v>105</v>
      </c>
      <c r="E14" s="62" t="s">
        <v>106</v>
      </c>
      <c r="F14" s="57">
        <f t="shared" si="4"/>
        <v>26.400000000000002</v>
      </c>
      <c r="G14" s="57">
        <f t="shared" si="5"/>
        <v>23.099999999999998</v>
      </c>
      <c r="H14" s="57">
        <f t="shared" si="6"/>
        <v>19.8</v>
      </c>
      <c r="I14" s="57">
        <v>16.5</v>
      </c>
      <c r="J14" s="57">
        <f t="shared" si="7"/>
        <v>13.200000000000001</v>
      </c>
      <c r="K14" s="57" t="s">
        <v>102</v>
      </c>
      <c r="L14" s="57">
        <v>16.5</v>
      </c>
      <c r="M14" s="63">
        <v>17.324999999999999</v>
      </c>
      <c r="N14" s="57">
        <f>(8.9+8.1+8.667)/3</f>
        <v>8.5556666666666672</v>
      </c>
      <c r="O14" s="57">
        <f>(9.767+10.8+13)/3</f>
        <v>11.189</v>
      </c>
      <c r="P14" s="57" t="s">
        <v>54</v>
      </c>
      <c r="Q14" s="57"/>
      <c r="R14" s="57" t="s">
        <v>56</v>
      </c>
      <c r="S14" s="60"/>
      <c r="T14" s="64" t="s">
        <v>107</v>
      </c>
      <c r="U14" s="64" t="s">
        <v>104</v>
      </c>
      <c r="V14" s="61" t="s">
        <v>59</v>
      </c>
    </row>
    <row r="15" spans="1:22" s="65" customFormat="1" ht="115.5" customHeight="1">
      <c r="A15" s="61" t="s">
        <v>50</v>
      </c>
      <c r="B15" s="61" t="s">
        <v>51</v>
      </c>
      <c r="C15" s="62">
        <v>20</v>
      </c>
      <c r="D15" s="62" t="s">
        <v>108</v>
      </c>
      <c r="E15" s="62" t="s">
        <v>109</v>
      </c>
      <c r="F15" s="57">
        <f t="shared" si="4"/>
        <v>8</v>
      </c>
      <c r="G15" s="57">
        <f t="shared" si="5"/>
        <v>7</v>
      </c>
      <c r="H15" s="57">
        <f t="shared" si="6"/>
        <v>6</v>
      </c>
      <c r="I15" s="57">
        <v>5</v>
      </c>
      <c r="J15" s="57">
        <f t="shared" si="7"/>
        <v>4</v>
      </c>
      <c r="K15" s="57" t="s">
        <v>110</v>
      </c>
      <c r="L15" s="57">
        <v>5</v>
      </c>
      <c r="M15" s="63">
        <v>5.75</v>
      </c>
      <c r="N15" s="57">
        <f>(5.4+5.033+5.333)/3</f>
        <v>5.2553333333333336</v>
      </c>
      <c r="O15" s="57">
        <f>(36.634+32.567+34.534)/3</f>
        <v>34.578333333333326</v>
      </c>
      <c r="P15" s="57" t="s">
        <v>54</v>
      </c>
      <c r="Q15" s="57"/>
      <c r="R15" s="57"/>
      <c r="S15" s="60"/>
      <c r="T15" s="64" t="s">
        <v>111</v>
      </c>
      <c r="U15" s="75" t="s">
        <v>1271</v>
      </c>
      <c r="V15" s="61" t="s">
        <v>59</v>
      </c>
    </row>
    <row r="16" spans="1:22" s="65" customFormat="1" ht="60" customHeight="1">
      <c r="A16" s="61" t="s">
        <v>50</v>
      </c>
      <c r="B16" s="61" t="s">
        <v>51</v>
      </c>
      <c r="C16" s="62">
        <v>26</v>
      </c>
      <c r="D16" s="62" t="s">
        <v>113</v>
      </c>
      <c r="E16" s="62" t="s">
        <v>114</v>
      </c>
      <c r="F16" s="57">
        <f t="shared" si="4"/>
        <v>3.2</v>
      </c>
      <c r="G16" s="57">
        <f t="shared" si="5"/>
        <v>2.8</v>
      </c>
      <c r="H16" s="57">
        <f t="shared" si="6"/>
        <v>2.4</v>
      </c>
      <c r="I16" s="57">
        <v>2</v>
      </c>
      <c r="J16" s="57">
        <f t="shared" si="7"/>
        <v>1.6</v>
      </c>
      <c r="K16" s="57"/>
      <c r="L16" s="57">
        <v>4</v>
      </c>
      <c r="M16" s="57">
        <v>4.5999999999999996</v>
      </c>
      <c r="N16" s="57">
        <f>(2.767+2.8+5.234)/3</f>
        <v>3.6003333333333334</v>
      </c>
      <c r="O16" s="57">
        <f>(8.79+7.7+7.01)/3</f>
        <v>7.833333333333333</v>
      </c>
      <c r="P16" s="57" t="s">
        <v>54</v>
      </c>
      <c r="Q16" s="57" t="s">
        <v>55</v>
      </c>
      <c r="R16" s="57" t="s">
        <v>56</v>
      </c>
      <c r="S16" s="60" t="s">
        <v>115</v>
      </c>
      <c r="T16" s="60" t="s">
        <v>116</v>
      </c>
      <c r="U16" s="64" t="s">
        <v>117</v>
      </c>
      <c r="V16" s="61" t="s">
        <v>59</v>
      </c>
    </row>
    <row r="17" spans="1:23" s="65" customFormat="1" ht="60" customHeight="1">
      <c r="A17" s="61" t="s">
        <v>50</v>
      </c>
      <c r="B17" s="61" t="s">
        <v>51</v>
      </c>
      <c r="C17" s="62">
        <v>27</v>
      </c>
      <c r="D17" s="62" t="s">
        <v>118</v>
      </c>
      <c r="E17" s="62" t="s">
        <v>119</v>
      </c>
      <c r="F17" s="57">
        <f t="shared" si="4"/>
        <v>3.2</v>
      </c>
      <c r="G17" s="57">
        <f t="shared" si="5"/>
        <v>2.8</v>
      </c>
      <c r="H17" s="57">
        <f t="shared" si="6"/>
        <v>2.4</v>
      </c>
      <c r="I17" s="57">
        <v>2</v>
      </c>
      <c r="J17" s="57">
        <f t="shared" si="7"/>
        <v>1.6</v>
      </c>
      <c r="K17" s="57" t="s">
        <v>120</v>
      </c>
      <c r="L17" s="57">
        <v>2</v>
      </c>
      <c r="M17" s="57">
        <v>2.4</v>
      </c>
      <c r="N17" s="57">
        <f>(2.5+0.833+0.434)/3</f>
        <v>1.2556666666666667</v>
      </c>
      <c r="O17" s="57">
        <f>(1.905+1.872+1.853)/3</f>
        <v>1.8766666666666667</v>
      </c>
      <c r="P17" s="57" t="s">
        <v>54</v>
      </c>
      <c r="Q17" s="57"/>
      <c r="R17" s="57" t="s">
        <v>56</v>
      </c>
      <c r="S17" s="60" t="s">
        <v>121</v>
      </c>
      <c r="T17" s="60" t="s">
        <v>1272</v>
      </c>
      <c r="U17" s="64" t="s">
        <v>122</v>
      </c>
      <c r="V17" s="61" t="s">
        <v>59</v>
      </c>
    </row>
    <row r="18" spans="1:23" s="65" customFormat="1" ht="60" customHeight="1">
      <c r="A18" s="61" t="s">
        <v>50</v>
      </c>
      <c r="B18" s="61" t="s">
        <v>51</v>
      </c>
      <c r="C18" s="62">
        <v>28</v>
      </c>
      <c r="D18" s="62" t="s">
        <v>123</v>
      </c>
      <c r="E18" s="62" t="s">
        <v>124</v>
      </c>
      <c r="F18" s="57">
        <f t="shared" si="4"/>
        <v>3.2</v>
      </c>
      <c r="G18" s="57">
        <f t="shared" si="5"/>
        <v>2.8</v>
      </c>
      <c r="H18" s="57">
        <f t="shared" si="6"/>
        <v>2.4</v>
      </c>
      <c r="I18" s="57">
        <v>2</v>
      </c>
      <c r="J18" s="57">
        <f t="shared" si="7"/>
        <v>1.6</v>
      </c>
      <c r="K18" s="57" t="s">
        <v>120</v>
      </c>
      <c r="L18" s="66">
        <v>4</v>
      </c>
      <c r="M18" s="63">
        <v>4.5999999999999996</v>
      </c>
      <c r="N18" s="57">
        <f>(2.634+4.663+3.334)/3</f>
        <v>3.5436666666666667</v>
      </c>
      <c r="O18" s="57">
        <f>(2.64+2.339+2.507)/3</f>
        <v>2.4953333333333334</v>
      </c>
      <c r="P18" s="57" t="s">
        <v>54</v>
      </c>
      <c r="Q18" s="57"/>
      <c r="R18" s="57" t="s">
        <v>56</v>
      </c>
      <c r="S18" s="60" t="s">
        <v>125</v>
      </c>
      <c r="T18" s="60" t="s">
        <v>1272</v>
      </c>
      <c r="U18" s="64" t="s">
        <v>126</v>
      </c>
      <c r="V18" s="61" t="s">
        <v>59</v>
      </c>
    </row>
    <row r="19" spans="1:23" s="65" customFormat="1" ht="108.75" customHeight="1">
      <c r="A19" s="61" t="s">
        <v>50</v>
      </c>
      <c r="B19" s="61" t="s">
        <v>51</v>
      </c>
      <c r="C19" s="62">
        <v>35</v>
      </c>
      <c r="D19" s="64" t="s">
        <v>1273</v>
      </c>
      <c r="E19" s="64" t="s">
        <v>127</v>
      </c>
      <c r="F19" s="57">
        <f t="shared" si="4"/>
        <v>2.4000000000000004</v>
      </c>
      <c r="G19" s="57">
        <f t="shared" si="5"/>
        <v>2.0999999999999996</v>
      </c>
      <c r="H19" s="57">
        <f t="shared" si="6"/>
        <v>1.7999999999999998</v>
      </c>
      <c r="I19" s="57">
        <v>1.5</v>
      </c>
      <c r="J19" s="57">
        <f t="shared" si="7"/>
        <v>1.2000000000000002</v>
      </c>
      <c r="K19" s="57" t="s">
        <v>65</v>
      </c>
      <c r="L19" s="66">
        <v>1.5</v>
      </c>
      <c r="M19" s="63">
        <v>1.7999999999999998</v>
      </c>
      <c r="N19" s="57" t="s">
        <v>128</v>
      </c>
      <c r="O19" s="57">
        <f>(1.6+1.934+0.266)/3</f>
        <v>1.2666666666666666</v>
      </c>
      <c r="P19" s="57" t="s">
        <v>129</v>
      </c>
      <c r="Q19" s="57"/>
      <c r="R19" s="57" t="s">
        <v>56</v>
      </c>
      <c r="S19" s="60" t="s">
        <v>130</v>
      </c>
      <c r="T19" s="60" t="s">
        <v>116</v>
      </c>
      <c r="U19" s="76" t="s">
        <v>1274</v>
      </c>
      <c r="V19" s="61" t="s">
        <v>59</v>
      </c>
    </row>
    <row r="20" spans="1:23" s="65" customFormat="1" ht="60" customHeight="1">
      <c r="A20" s="61" t="s">
        <v>50</v>
      </c>
      <c r="B20" s="61" t="s">
        <v>51</v>
      </c>
      <c r="C20" s="62">
        <v>36</v>
      </c>
      <c r="D20" s="64" t="s">
        <v>1275</v>
      </c>
      <c r="E20" s="64" t="s">
        <v>131</v>
      </c>
      <c r="F20" s="57">
        <f t="shared" si="4"/>
        <v>6.7200000000000006</v>
      </c>
      <c r="G20" s="57">
        <f t="shared" si="5"/>
        <v>5.88</v>
      </c>
      <c r="H20" s="57">
        <f t="shared" si="6"/>
        <v>5.04</v>
      </c>
      <c r="I20" s="57">
        <v>4.2</v>
      </c>
      <c r="J20" s="57">
        <f t="shared" si="7"/>
        <v>3.3600000000000003</v>
      </c>
      <c r="K20" s="57" t="s">
        <v>65</v>
      </c>
      <c r="L20" s="66">
        <v>6</v>
      </c>
      <c r="M20" s="63">
        <v>7</v>
      </c>
      <c r="N20" s="57">
        <f>(3.921+4.195+4.023)/3</f>
        <v>4.0463333333333331</v>
      </c>
      <c r="O20" s="57">
        <f>(5.133+4.734+7.6)/3</f>
        <v>5.8223333333333329</v>
      </c>
      <c r="P20" s="57" t="s">
        <v>79</v>
      </c>
      <c r="Q20" s="57"/>
      <c r="R20" s="57" t="s">
        <v>56</v>
      </c>
      <c r="S20" s="60" t="s">
        <v>132</v>
      </c>
      <c r="T20" s="60" t="s">
        <v>116</v>
      </c>
      <c r="U20" s="76" t="s">
        <v>1276</v>
      </c>
      <c r="V20" s="61" t="s">
        <v>59</v>
      </c>
    </row>
    <row r="21" spans="1:23" s="65" customFormat="1" ht="60" customHeight="1">
      <c r="A21" s="61" t="s">
        <v>50</v>
      </c>
      <c r="B21" s="61" t="s">
        <v>51</v>
      </c>
      <c r="C21" s="62">
        <v>37</v>
      </c>
      <c r="D21" s="64" t="s">
        <v>1277</v>
      </c>
      <c r="E21" s="64" t="s">
        <v>133</v>
      </c>
      <c r="F21" s="57">
        <f t="shared" si="4"/>
        <v>8</v>
      </c>
      <c r="G21" s="57">
        <f t="shared" si="5"/>
        <v>7</v>
      </c>
      <c r="H21" s="57">
        <f t="shared" si="6"/>
        <v>6</v>
      </c>
      <c r="I21" s="57">
        <v>5</v>
      </c>
      <c r="J21" s="57">
        <f t="shared" si="7"/>
        <v>4</v>
      </c>
      <c r="K21" s="57" t="s">
        <v>110</v>
      </c>
      <c r="L21" s="66">
        <v>7</v>
      </c>
      <c r="M21" s="63">
        <v>8</v>
      </c>
      <c r="N21" s="57">
        <f>(3.502+3.215+2.735)/3</f>
        <v>3.1506666666666665</v>
      </c>
      <c r="O21" s="57">
        <f>(2.62+2.67+2.732)/3</f>
        <v>2.6739999999999999</v>
      </c>
      <c r="P21" s="57" t="s">
        <v>79</v>
      </c>
      <c r="Q21" s="57"/>
      <c r="R21" s="57" t="s">
        <v>56</v>
      </c>
      <c r="S21" s="60" t="s">
        <v>1278</v>
      </c>
      <c r="T21" s="60" t="s">
        <v>116</v>
      </c>
      <c r="U21" s="76" t="s">
        <v>1279</v>
      </c>
      <c r="V21" s="61" t="s">
        <v>59</v>
      </c>
    </row>
    <row r="22" spans="1:23" s="65" customFormat="1" ht="107.25" customHeight="1">
      <c r="A22" s="61" t="s">
        <v>50</v>
      </c>
      <c r="B22" s="61" t="s">
        <v>51</v>
      </c>
      <c r="C22" s="62">
        <v>38</v>
      </c>
      <c r="D22" s="64" t="s">
        <v>1280</v>
      </c>
      <c r="E22" s="64" t="s">
        <v>134</v>
      </c>
      <c r="F22" s="57">
        <f t="shared" si="4"/>
        <v>24</v>
      </c>
      <c r="G22" s="57">
        <f t="shared" si="5"/>
        <v>21</v>
      </c>
      <c r="H22" s="57">
        <f t="shared" si="6"/>
        <v>18</v>
      </c>
      <c r="I22" s="57">
        <v>15</v>
      </c>
      <c r="J22" s="57">
        <f t="shared" si="7"/>
        <v>12</v>
      </c>
      <c r="K22" s="57" t="s">
        <v>110</v>
      </c>
      <c r="L22" s="66">
        <v>15</v>
      </c>
      <c r="M22" s="63">
        <v>15.75</v>
      </c>
      <c r="N22" s="57">
        <f>(10.916+12.286+11.411)/3</f>
        <v>11.537666666666667</v>
      </c>
      <c r="O22" s="57">
        <v>11.411333300000001</v>
      </c>
      <c r="P22" s="57" t="s">
        <v>79</v>
      </c>
      <c r="Q22" s="57"/>
      <c r="R22" s="57" t="s">
        <v>56</v>
      </c>
      <c r="S22" s="57" t="s">
        <v>1278</v>
      </c>
      <c r="T22" s="60" t="s">
        <v>116</v>
      </c>
      <c r="U22" s="76" t="s">
        <v>1281</v>
      </c>
      <c r="V22" s="61" t="s">
        <v>59</v>
      </c>
    </row>
    <row r="23" spans="1:23" s="65" customFormat="1" ht="60" customHeight="1">
      <c r="A23" s="61" t="s">
        <v>50</v>
      </c>
      <c r="B23" s="61" t="s">
        <v>51</v>
      </c>
      <c r="C23" s="62">
        <v>40</v>
      </c>
      <c r="D23" s="77" t="s">
        <v>1282</v>
      </c>
      <c r="E23" s="77" t="s">
        <v>135</v>
      </c>
      <c r="F23" s="57">
        <f t="shared" si="4"/>
        <v>4.8000000000000007</v>
      </c>
      <c r="G23" s="57">
        <f t="shared" si="5"/>
        <v>4.1999999999999993</v>
      </c>
      <c r="H23" s="57">
        <f t="shared" si="6"/>
        <v>3.5999999999999996</v>
      </c>
      <c r="I23" s="57">
        <v>3</v>
      </c>
      <c r="J23" s="57">
        <f t="shared" si="7"/>
        <v>2.4000000000000004</v>
      </c>
      <c r="K23" s="57" t="s">
        <v>95</v>
      </c>
      <c r="L23" s="66">
        <v>2.5</v>
      </c>
      <c r="M23" s="57">
        <v>3</v>
      </c>
      <c r="N23" s="57">
        <f>(3.9+3.6+2.8)/3</f>
        <v>3.4333333333333336</v>
      </c>
      <c r="O23" s="57" t="s">
        <v>1259</v>
      </c>
      <c r="P23" s="57" t="s">
        <v>54</v>
      </c>
      <c r="Q23" s="57" t="s">
        <v>55</v>
      </c>
      <c r="R23" s="57" t="s">
        <v>56</v>
      </c>
      <c r="S23" s="60" t="s">
        <v>136</v>
      </c>
      <c r="T23" s="60" t="s">
        <v>1283</v>
      </c>
      <c r="U23" s="64" t="s">
        <v>137</v>
      </c>
      <c r="V23" s="61" t="s">
        <v>59</v>
      </c>
    </row>
    <row r="24" spans="1:23" s="65" customFormat="1" ht="69.5" customHeight="1">
      <c r="A24" s="61" t="s">
        <v>50</v>
      </c>
      <c r="B24" s="61" t="s">
        <v>51</v>
      </c>
      <c r="C24" s="62">
        <v>41</v>
      </c>
      <c r="D24" s="77" t="s">
        <v>1284</v>
      </c>
      <c r="E24" s="77" t="s">
        <v>135</v>
      </c>
      <c r="F24" s="57">
        <f t="shared" si="4"/>
        <v>4</v>
      </c>
      <c r="G24" s="57">
        <f t="shared" si="5"/>
        <v>3.5</v>
      </c>
      <c r="H24" s="57">
        <f t="shared" si="6"/>
        <v>3</v>
      </c>
      <c r="I24" s="57">
        <v>2.5</v>
      </c>
      <c r="J24" s="57">
        <f t="shared" si="7"/>
        <v>2</v>
      </c>
      <c r="K24" s="57" t="s">
        <v>95</v>
      </c>
      <c r="L24" s="66">
        <v>2.5</v>
      </c>
      <c r="M24" s="63">
        <v>3</v>
      </c>
      <c r="N24" s="57">
        <f>(3.266+2.733+2.7)/3</f>
        <v>2.8996666666666671</v>
      </c>
      <c r="O24" s="57">
        <f>(1.767+1.7+2.166)/3</f>
        <v>1.8776666666666664</v>
      </c>
      <c r="P24" s="57" t="s">
        <v>54</v>
      </c>
      <c r="Q24" s="57" t="s">
        <v>55</v>
      </c>
      <c r="R24" s="57" t="s">
        <v>56</v>
      </c>
      <c r="S24" s="60" t="s">
        <v>1285</v>
      </c>
      <c r="T24" s="60" t="s">
        <v>1283</v>
      </c>
      <c r="U24" s="64" t="s">
        <v>138</v>
      </c>
      <c r="V24" s="61" t="s">
        <v>59</v>
      </c>
    </row>
    <row r="25" spans="1:23" s="65" customFormat="1" ht="60" customHeight="1">
      <c r="A25" s="61" t="s">
        <v>50</v>
      </c>
      <c r="B25" s="61" t="s">
        <v>51</v>
      </c>
      <c r="C25" s="62">
        <v>42</v>
      </c>
      <c r="D25" s="62" t="s">
        <v>139</v>
      </c>
      <c r="E25" s="62" t="s">
        <v>139</v>
      </c>
      <c r="F25" s="57">
        <f t="shared" si="4"/>
        <v>2.4000000000000004</v>
      </c>
      <c r="G25" s="57">
        <f t="shared" si="5"/>
        <v>2.0999999999999996</v>
      </c>
      <c r="H25" s="57">
        <f t="shared" si="6"/>
        <v>1.7999999999999998</v>
      </c>
      <c r="I25" s="57">
        <v>1.5</v>
      </c>
      <c r="J25" s="57">
        <f t="shared" si="7"/>
        <v>1.2000000000000002</v>
      </c>
      <c r="K25" s="57" t="s">
        <v>95</v>
      </c>
      <c r="L25" s="66">
        <v>1.5</v>
      </c>
      <c r="M25" s="57">
        <v>1.7999999999999998</v>
      </c>
      <c r="N25" s="57">
        <f>(2.433+2.6+1.934)/3</f>
        <v>2.3223333333333334</v>
      </c>
      <c r="O25" s="57">
        <f>(2.842+4.412+3.977)/3</f>
        <v>3.7436666666666665</v>
      </c>
      <c r="P25" s="57" t="s">
        <v>54</v>
      </c>
      <c r="Q25" s="57" t="s">
        <v>55</v>
      </c>
      <c r="R25" s="57" t="s">
        <v>56</v>
      </c>
      <c r="S25" s="60" t="s">
        <v>140</v>
      </c>
      <c r="T25" s="60" t="s">
        <v>141</v>
      </c>
      <c r="U25" s="64" t="s">
        <v>142</v>
      </c>
      <c r="V25" s="61" t="s">
        <v>59</v>
      </c>
    </row>
    <row r="26" spans="1:23" s="65" customFormat="1" ht="60" customHeight="1">
      <c r="A26" s="61" t="s">
        <v>50</v>
      </c>
      <c r="B26" s="61" t="s">
        <v>51</v>
      </c>
      <c r="C26" s="62">
        <v>43</v>
      </c>
      <c r="D26" s="62" t="s">
        <v>143</v>
      </c>
      <c r="E26" s="62" t="s">
        <v>143</v>
      </c>
      <c r="F26" s="57">
        <f t="shared" si="4"/>
        <v>2.4000000000000004</v>
      </c>
      <c r="G26" s="57">
        <f t="shared" si="5"/>
        <v>2.0999999999999996</v>
      </c>
      <c r="H26" s="57">
        <f t="shared" si="6"/>
        <v>1.7999999999999998</v>
      </c>
      <c r="I26" s="57">
        <v>1.5</v>
      </c>
      <c r="J26" s="57">
        <f t="shared" si="7"/>
        <v>1.2000000000000002</v>
      </c>
      <c r="K26" s="57" t="s">
        <v>95</v>
      </c>
      <c r="L26" s="66">
        <v>2</v>
      </c>
      <c r="M26" s="63">
        <v>2.4</v>
      </c>
      <c r="N26" s="57">
        <f>(2.116+2.367+2.3)/3</f>
        <v>2.2610000000000001</v>
      </c>
      <c r="O26" s="57">
        <f>(5.681+6.717+6.116)/3</f>
        <v>6.1713333333333331</v>
      </c>
      <c r="P26" s="57" t="s">
        <v>54</v>
      </c>
      <c r="Q26" s="57" t="s">
        <v>55</v>
      </c>
      <c r="R26" s="57" t="s">
        <v>56</v>
      </c>
      <c r="S26" s="60" t="s">
        <v>140</v>
      </c>
      <c r="T26" s="60" t="s">
        <v>144</v>
      </c>
      <c r="U26" s="64" t="s">
        <v>71</v>
      </c>
      <c r="V26" s="61" t="s">
        <v>59</v>
      </c>
    </row>
    <row r="27" spans="1:23" s="65" customFormat="1" ht="51" customHeight="1">
      <c r="A27" s="61" t="s">
        <v>50</v>
      </c>
      <c r="B27" s="61" t="s">
        <v>51</v>
      </c>
      <c r="C27" s="62">
        <v>44</v>
      </c>
      <c r="D27" s="77" t="s">
        <v>145</v>
      </c>
      <c r="E27" s="77" t="s">
        <v>145</v>
      </c>
      <c r="F27" s="57">
        <f t="shared" si="4"/>
        <v>1.92</v>
      </c>
      <c r="G27" s="57">
        <f t="shared" si="5"/>
        <v>1.68</v>
      </c>
      <c r="H27" s="57">
        <f t="shared" si="6"/>
        <v>1.44</v>
      </c>
      <c r="I27" s="57">
        <v>1.2</v>
      </c>
      <c r="J27" s="57">
        <f t="shared" si="7"/>
        <v>0.96</v>
      </c>
      <c r="K27" s="57" t="s">
        <v>95</v>
      </c>
      <c r="L27" s="66">
        <v>1.8</v>
      </c>
      <c r="M27" s="63">
        <v>2.16</v>
      </c>
      <c r="N27" s="57">
        <f>(1.766+1.734+1.8)/3</f>
        <v>1.7666666666666666</v>
      </c>
      <c r="O27" s="57">
        <f>(1.938+1.9998+1.967)/3</f>
        <v>1.9682666666666666</v>
      </c>
      <c r="P27" s="57" t="s">
        <v>54</v>
      </c>
      <c r="Q27" s="57"/>
      <c r="R27" s="57" t="s">
        <v>56</v>
      </c>
      <c r="S27" s="60" t="s">
        <v>146</v>
      </c>
      <c r="T27" s="60" t="s">
        <v>147</v>
      </c>
      <c r="U27" s="64" t="s">
        <v>148</v>
      </c>
      <c r="V27" s="61" t="s">
        <v>59</v>
      </c>
      <c r="W27" s="78"/>
    </row>
    <row r="28" spans="1:23" s="65" customFormat="1" ht="60" customHeight="1">
      <c r="A28" s="61" t="s">
        <v>50</v>
      </c>
      <c r="B28" s="61" t="s">
        <v>51</v>
      </c>
      <c r="C28" s="62">
        <v>47</v>
      </c>
      <c r="D28" s="77" t="s">
        <v>1286</v>
      </c>
      <c r="E28" s="77" t="s">
        <v>149</v>
      </c>
      <c r="F28" s="57">
        <f t="shared" si="4"/>
        <v>1.92</v>
      </c>
      <c r="G28" s="57">
        <f t="shared" si="5"/>
        <v>1.68</v>
      </c>
      <c r="H28" s="57">
        <f t="shared" si="6"/>
        <v>1.44</v>
      </c>
      <c r="I28" s="57">
        <v>1.2</v>
      </c>
      <c r="J28" s="57">
        <f t="shared" si="7"/>
        <v>0.96</v>
      </c>
      <c r="K28" s="57" t="s">
        <v>95</v>
      </c>
      <c r="L28" s="66">
        <v>1.2</v>
      </c>
      <c r="M28" s="57">
        <v>1.44</v>
      </c>
      <c r="N28" s="57">
        <f>(2.966+2.467+2.867)/3</f>
        <v>2.7666666666666671</v>
      </c>
      <c r="O28" s="57" t="s">
        <v>1259</v>
      </c>
      <c r="P28" s="57" t="s">
        <v>54</v>
      </c>
      <c r="Q28" s="57"/>
      <c r="R28" s="57" t="s">
        <v>56</v>
      </c>
      <c r="S28" s="60" t="s">
        <v>74</v>
      </c>
      <c r="T28" s="60" t="s">
        <v>150</v>
      </c>
      <c r="U28" s="64" t="s">
        <v>151</v>
      </c>
      <c r="V28" s="61" t="s">
        <v>59</v>
      </c>
    </row>
    <row r="29" spans="1:23" s="65" customFormat="1" ht="60" customHeight="1">
      <c r="A29" s="61" t="s">
        <v>50</v>
      </c>
      <c r="B29" s="61" t="s">
        <v>51</v>
      </c>
      <c r="C29" s="62">
        <v>48</v>
      </c>
      <c r="D29" s="79" t="s">
        <v>152</v>
      </c>
      <c r="E29" s="79" t="s">
        <v>152</v>
      </c>
      <c r="F29" s="57">
        <f t="shared" si="4"/>
        <v>1.92</v>
      </c>
      <c r="G29" s="57">
        <f t="shared" si="5"/>
        <v>1.68</v>
      </c>
      <c r="H29" s="57">
        <f t="shared" si="6"/>
        <v>1.44</v>
      </c>
      <c r="I29" s="57">
        <v>1.2</v>
      </c>
      <c r="J29" s="57">
        <f t="shared" si="7"/>
        <v>0.96</v>
      </c>
      <c r="K29" s="57" t="s">
        <v>95</v>
      </c>
      <c r="L29" s="66">
        <v>1.2</v>
      </c>
      <c r="M29" s="63">
        <v>1.44</v>
      </c>
      <c r="N29" s="57">
        <f>(1.5+1.5+1.467)/3</f>
        <v>1.4890000000000001</v>
      </c>
      <c r="O29" s="57">
        <f>(1.3+1.23+1.333)/3</f>
        <v>1.2876666666666667</v>
      </c>
      <c r="P29" s="57" t="s">
        <v>54</v>
      </c>
      <c r="Q29" s="57"/>
      <c r="R29" s="57" t="s">
        <v>56</v>
      </c>
      <c r="S29" s="60" t="s">
        <v>74</v>
      </c>
      <c r="T29" s="60" t="s">
        <v>153</v>
      </c>
      <c r="U29" s="64" t="s">
        <v>154</v>
      </c>
      <c r="V29" s="61" t="s">
        <v>59</v>
      </c>
    </row>
    <row r="30" spans="1:23" s="65" customFormat="1" ht="60" customHeight="1">
      <c r="A30" s="61" t="s">
        <v>50</v>
      </c>
      <c r="B30" s="61" t="s">
        <v>51</v>
      </c>
      <c r="C30" s="62">
        <v>49</v>
      </c>
      <c r="D30" s="79" t="s">
        <v>155</v>
      </c>
      <c r="E30" s="79" t="s">
        <v>155</v>
      </c>
      <c r="F30" s="57">
        <f t="shared" si="4"/>
        <v>1.92</v>
      </c>
      <c r="G30" s="57">
        <f t="shared" si="5"/>
        <v>1.68</v>
      </c>
      <c r="H30" s="57">
        <f t="shared" si="6"/>
        <v>1.44</v>
      </c>
      <c r="I30" s="57">
        <v>1.2</v>
      </c>
      <c r="J30" s="57">
        <f t="shared" si="7"/>
        <v>0.96</v>
      </c>
      <c r="K30" s="57" t="s">
        <v>95</v>
      </c>
      <c r="L30" s="57" t="s">
        <v>1257</v>
      </c>
      <c r="M30" s="57" t="s">
        <v>1257</v>
      </c>
      <c r="N30" s="57">
        <f>(3.4+1.866+1.933)/3</f>
        <v>2.3996666666666666</v>
      </c>
      <c r="O30" s="57" t="s">
        <v>1259</v>
      </c>
      <c r="P30" s="57" t="s">
        <v>54</v>
      </c>
      <c r="Q30" s="57"/>
      <c r="R30" s="57" t="s">
        <v>56</v>
      </c>
      <c r="S30" s="60" t="s">
        <v>74</v>
      </c>
      <c r="T30" s="60" t="s">
        <v>153</v>
      </c>
      <c r="U30" s="64" t="s">
        <v>156</v>
      </c>
      <c r="V30" s="61" t="s">
        <v>59</v>
      </c>
      <c r="W30" s="65">
        <v>3.17</v>
      </c>
    </row>
    <row r="31" spans="1:23" s="65" customFormat="1" ht="60" customHeight="1">
      <c r="A31" s="61" t="s">
        <v>50</v>
      </c>
      <c r="B31" s="61" t="s">
        <v>51</v>
      </c>
      <c r="C31" s="62">
        <v>50</v>
      </c>
      <c r="D31" s="77" t="s">
        <v>157</v>
      </c>
      <c r="E31" s="77" t="s">
        <v>157</v>
      </c>
      <c r="F31" s="57">
        <f t="shared" si="4"/>
        <v>5.28</v>
      </c>
      <c r="G31" s="57">
        <f t="shared" si="5"/>
        <v>4.6199999999999992</v>
      </c>
      <c r="H31" s="57">
        <f t="shared" si="6"/>
        <v>3.9599999999999995</v>
      </c>
      <c r="I31" s="57">
        <v>3.3</v>
      </c>
      <c r="J31" s="57">
        <f t="shared" si="7"/>
        <v>2.64</v>
      </c>
      <c r="K31" s="57" t="s">
        <v>158</v>
      </c>
      <c r="L31" s="66">
        <v>3.3</v>
      </c>
      <c r="M31" s="63">
        <f t="shared" ref="M31:M32" si="8">IF(L31=0,0,IF(L31&lt;0.3,0.3,IF(L31&lt;1,L31*1.3,IF(L31&lt;3,L31*1.2,IF(L31&lt;6,L31*1.15,IF(L31&lt;10,L31+1,IF(L31&gt;50,L31,L31*1.05)))))))</f>
        <v>3.7949999999999995</v>
      </c>
      <c r="N31" s="57">
        <f>(1.769+1.701+1.836)/3</f>
        <v>1.7686666666666666</v>
      </c>
      <c r="O31" s="57">
        <f>(2.84+3.33+2.27)/3</f>
        <v>2.813333333333333</v>
      </c>
      <c r="P31" s="57" t="s">
        <v>79</v>
      </c>
      <c r="Q31" s="57"/>
      <c r="R31" s="57" t="s">
        <v>56</v>
      </c>
      <c r="S31" s="60" t="s">
        <v>159</v>
      </c>
      <c r="T31" s="60" t="s">
        <v>160</v>
      </c>
      <c r="U31" s="64" t="s">
        <v>161</v>
      </c>
      <c r="V31" s="61" t="s">
        <v>59</v>
      </c>
      <c r="W31" s="65">
        <v>2.0299999999999998</v>
      </c>
    </row>
    <row r="32" spans="1:23" s="65" customFormat="1" ht="60" customHeight="1">
      <c r="A32" s="61" t="s">
        <v>50</v>
      </c>
      <c r="B32" s="61" t="s">
        <v>51</v>
      </c>
      <c r="C32" s="62">
        <v>51</v>
      </c>
      <c r="D32" s="62" t="s">
        <v>162</v>
      </c>
      <c r="E32" s="62" t="s">
        <v>162</v>
      </c>
      <c r="F32" s="57">
        <f t="shared" si="4"/>
        <v>1.2800000000000002</v>
      </c>
      <c r="G32" s="57">
        <f t="shared" si="5"/>
        <v>1.1199999999999999</v>
      </c>
      <c r="H32" s="57">
        <f t="shared" si="6"/>
        <v>0.96</v>
      </c>
      <c r="I32" s="57">
        <v>0.8</v>
      </c>
      <c r="J32" s="57">
        <f t="shared" si="7"/>
        <v>0.64000000000000012</v>
      </c>
      <c r="K32" s="57" t="s">
        <v>65</v>
      </c>
      <c r="L32" s="66">
        <v>0.8</v>
      </c>
      <c r="M32" s="63">
        <f t="shared" si="8"/>
        <v>1.04</v>
      </c>
      <c r="N32" s="57">
        <f>(0.8+0.868+1.133)/3</f>
        <v>0.93366666666666676</v>
      </c>
      <c r="O32" s="57">
        <f>(1.21+1.06+1.18)/3</f>
        <v>1.1500000000000001</v>
      </c>
      <c r="P32" s="57" t="s">
        <v>79</v>
      </c>
      <c r="Q32" s="57"/>
      <c r="R32" s="57" t="s">
        <v>56</v>
      </c>
      <c r="S32" s="60" t="s">
        <v>159</v>
      </c>
      <c r="T32" s="60" t="s">
        <v>163</v>
      </c>
      <c r="U32" s="64" t="s">
        <v>164</v>
      </c>
      <c r="V32" s="61" t="s">
        <v>59</v>
      </c>
      <c r="W32" s="65">
        <v>1.1399999999999999</v>
      </c>
    </row>
    <row r="33" spans="1:22" s="65" customFormat="1" ht="102.75" customHeight="1">
      <c r="A33" s="61"/>
      <c r="B33" s="61" t="s">
        <v>51</v>
      </c>
      <c r="C33" s="62">
        <v>55</v>
      </c>
      <c r="D33" s="62" t="s">
        <v>165</v>
      </c>
      <c r="E33" s="62" t="s">
        <v>165</v>
      </c>
      <c r="F33" s="57">
        <f t="shared" si="4"/>
        <v>1</v>
      </c>
      <c r="G33" s="57">
        <f t="shared" si="5"/>
        <v>0.875</v>
      </c>
      <c r="H33" s="57">
        <f t="shared" si="6"/>
        <v>0.75</v>
      </c>
      <c r="I33" s="57">
        <v>0.625</v>
      </c>
      <c r="J33" s="57">
        <v>0.5</v>
      </c>
      <c r="K33" s="57"/>
      <c r="L33" s="57" t="s">
        <v>1257</v>
      </c>
      <c r="M33" s="57" t="s">
        <v>1257</v>
      </c>
      <c r="N33" s="57">
        <f>(0.8+0.2+0.333)/3</f>
        <v>0.4443333333333333</v>
      </c>
      <c r="O33" s="57" t="s">
        <v>1259</v>
      </c>
      <c r="P33" s="57" t="s">
        <v>79</v>
      </c>
      <c r="Q33" s="57"/>
      <c r="R33" s="57"/>
      <c r="S33" s="60"/>
      <c r="T33" s="60" t="s">
        <v>166</v>
      </c>
      <c r="U33" s="64" t="s">
        <v>167</v>
      </c>
      <c r="V33" s="61" t="s">
        <v>59</v>
      </c>
    </row>
    <row r="34" spans="1:22" s="65" customFormat="1" ht="105" customHeight="1">
      <c r="A34" s="61"/>
      <c r="B34" s="61" t="s">
        <v>51</v>
      </c>
      <c r="C34" s="62">
        <v>56</v>
      </c>
      <c r="D34" s="62" t="s">
        <v>168</v>
      </c>
      <c r="E34" s="62" t="s">
        <v>168</v>
      </c>
      <c r="F34" s="57">
        <f t="shared" si="4"/>
        <v>2</v>
      </c>
      <c r="G34" s="57">
        <f t="shared" si="5"/>
        <v>1.75</v>
      </c>
      <c r="H34" s="57">
        <f t="shared" si="6"/>
        <v>1.5</v>
      </c>
      <c r="I34" s="57">
        <v>1.25</v>
      </c>
      <c r="J34" s="57">
        <v>1</v>
      </c>
      <c r="K34" s="57"/>
      <c r="L34" s="57" t="s">
        <v>1257</v>
      </c>
      <c r="M34" s="57" t="s">
        <v>1257</v>
      </c>
      <c r="N34" s="57">
        <f>(1.433+0.8+0.766)/2</f>
        <v>1.4995000000000001</v>
      </c>
      <c r="O34" s="57" t="s">
        <v>1259</v>
      </c>
      <c r="P34" s="57" t="s">
        <v>79</v>
      </c>
      <c r="Q34" s="57"/>
      <c r="R34" s="57"/>
      <c r="S34" s="60"/>
      <c r="T34" s="60" t="s">
        <v>169</v>
      </c>
      <c r="U34" s="64" t="s">
        <v>170</v>
      </c>
      <c r="V34" s="61" t="s">
        <v>59</v>
      </c>
    </row>
    <row r="35" spans="1:22" s="65" customFormat="1" ht="60" customHeight="1">
      <c r="A35" s="61" t="s">
        <v>50</v>
      </c>
      <c r="B35" s="61" t="s">
        <v>51</v>
      </c>
      <c r="C35" s="62">
        <v>58</v>
      </c>
      <c r="D35" s="77" t="s">
        <v>171</v>
      </c>
      <c r="E35" s="77" t="s">
        <v>1287</v>
      </c>
      <c r="F35" s="57">
        <f t="shared" si="4"/>
        <v>0.96</v>
      </c>
      <c r="G35" s="57">
        <f t="shared" si="5"/>
        <v>0.84</v>
      </c>
      <c r="H35" s="57">
        <f t="shared" si="6"/>
        <v>0.72</v>
      </c>
      <c r="I35" s="57">
        <v>0.6</v>
      </c>
      <c r="J35" s="57">
        <f t="shared" ref="J35:J40" si="9">I35*0.8</f>
        <v>0.48</v>
      </c>
      <c r="K35" s="57"/>
      <c r="L35" s="66">
        <v>0.4</v>
      </c>
      <c r="M35" s="63">
        <f>IF(L35=N575,0,IF(L35&lt;0.3,0.3,IF(L35&lt;1,L35*1.3,IF(L35&lt;3,L35*1.2,IF(L35&lt;6,L35*1.15,IF(L35&lt;10,L35+1,IF(L35&gt;50,L35,L35*1.05)))))))</f>
        <v>0.52</v>
      </c>
      <c r="N35" s="57">
        <f>(0.167+0.167+0.166)/3</f>
        <v>0.16666666666666666</v>
      </c>
      <c r="O35" s="57" t="s">
        <v>1259</v>
      </c>
      <c r="P35" s="57" t="s">
        <v>54</v>
      </c>
      <c r="Q35" s="57"/>
      <c r="R35" s="57" t="s">
        <v>172</v>
      </c>
      <c r="S35" s="60"/>
      <c r="T35" s="60" t="s">
        <v>173</v>
      </c>
      <c r="U35" s="64" t="s">
        <v>174</v>
      </c>
      <c r="V35" s="61" t="s">
        <v>59</v>
      </c>
    </row>
    <row r="36" spans="1:22" s="65" customFormat="1" ht="60" customHeight="1">
      <c r="A36" s="61" t="s">
        <v>175</v>
      </c>
      <c r="B36" s="61" t="s">
        <v>51</v>
      </c>
      <c r="C36" s="62">
        <v>59</v>
      </c>
      <c r="D36" s="77" t="s">
        <v>176</v>
      </c>
      <c r="E36" s="77" t="s">
        <v>176</v>
      </c>
      <c r="F36" s="57">
        <f t="shared" si="4"/>
        <v>0.96</v>
      </c>
      <c r="G36" s="57">
        <f t="shared" si="5"/>
        <v>0.84</v>
      </c>
      <c r="H36" s="57">
        <f t="shared" si="6"/>
        <v>0.72</v>
      </c>
      <c r="I36" s="57">
        <v>0.6</v>
      </c>
      <c r="J36" s="57">
        <f t="shared" si="9"/>
        <v>0.48</v>
      </c>
      <c r="K36" s="57"/>
      <c r="L36" s="57" t="s">
        <v>1257</v>
      </c>
      <c r="M36" s="57" t="s">
        <v>1257</v>
      </c>
      <c r="N36" s="57">
        <f>(0.266+0.167+0.2)/3</f>
        <v>0.21099999999999999</v>
      </c>
      <c r="O36" s="57" t="s">
        <v>1259</v>
      </c>
      <c r="P36" s="57" t="s">
        <v>54</v>
      </c>
      <c r="Q36" s="57"/>
      <c r="R36" s="57" t="s">
        <v>172</v>
      </c>
      <c r="S36" s="60"/>
      <c r="T36" s="60" t="s">
        <v>177</v>
      </c>
      <c r="U36" s="64" t="s">
        <v>178</v>
      </c>
      <c r="V36" s="61" t="s">
        <v>59</v>
      </c>
    </row>
    <row r="37" spans="1:22" s="65" customFormat="1" ht="60" customHeight="1">
      <c r="A37" s="61" t="s">
        <v>175</v>
      </c>
      <c r="B37" s="61" t="s">
        <v>51</v>
      </c>
      <c r="C37" s="62">
        <v>60</v>
      </c>
      <c r="D37" s="77" t="s">
        <v>179</v>
      </c>
      <c r="E37" s="77" t="s">
        <v>179</v>
      </c>
      <c r="F37" s="57">
        <f t="shared" si="4"/>
        <v>0.96</v>
      </c>
      <c r="G37" s="57">
        <f t="shared" si="5"/>
        <v>0.84</v>
      </c>
      <c r="H37" s="57">
        <f t="shared" si="6"/>
        <v>0.72</v>
      </c>
      <c r="I37" s="57">
        <v>0.6</v>
      </c>
      <c r="J37" s="57">
        <f t="shared" si="9"/>
        <v>0.48</v>
      </c>
      <c r="K37" s="57" t="s">
        <v>180</v>
      </c>
      <c r="L37" s="57" t="s">
        <v>1257</v>
      </c>
      <c r="M37" s="57" t="s">
        <v>1257</v>
      </c>
      <c r="N37" s="57">
        <f>(0.2+0.2+0.166)/3</f>
        <v>0.18866666666666668</v>
      </c>
      <c r="O37" s="57" t="s">
        <v>1259</v>
      </c>
      <c r="P37" s="57" t="s">
        <v>54</v>
      </c>
      <c r="Q37" s="57"/>
      <c r="R37" s="57" t="s">
        <v>172</v>
      </c>
      <c r="S37" s="60"/>
      <c r="T37" s="60" t="s">
        <v>181</v>
      </c>
      <c r="U37" s="64" t="s">
        <v>182</v>
      </c>
      <c r="V37" s="61" t="s">
        <v>59</v>
      </c>
    </row>
    <row r="38" spans="1:22" s="65" customFormat="1" ht="60" customHeight="1">
      <c r="A38" s="61" t="s">
        <v>175</v>
      </c>
      <c r="B38" s="61" t="s">
        <v>51</v>
      </c>
      <c r="C38" s="62">
        <v>61</v>
      </c>
      <c r="D38" s="77" t="s">
        <v>183</v>
      </c>
      <c r="E38" s="77" t="s">
        <v>183</v>
      </c>
      <c r="F38" s="57">
        <f t="shared" si="4"/>
        <v>1.6</v>
      </c>
      <c r="G38" s="57">
        <f t="shared" si="5"/>
        <v>1.4</v>
      </c>
      <c r="H38" s="57">
        <f t="shared" si="6"/>
        <v>1.2</v>
      </c>
      <c r="I38" s="57">
        <v>1</v>
      </c>
      <c r="J38" s="57">
        <f t="shared" si="9"/>
        <v>0.8</v>
      </c>
      <c r="K38" s="57" t="s">
        <v>180</v>
      </c>
      <c r="L38" s="66">
        <v>1</v>
      </c>
      <c r="M38" s="63">
        <f t="shared" ref="M38" si="10">IF(L38=0,0,IF(L38&lt;0.3,0.3,IF(L38&lt;1,L38*1.3,IF(L38&lt;3,L38*1.2,IF(L38&lt;6,L38*1.15,IF(L38&lt;10,L38+1,IF(L38&gt;50,L38,L38*1.05)))))))</f>
        <v>1.2</v>
      </c>
      <c r="N38" s="57">
        <f>(0.2+0.134+0.166)/3</f>
        <v>0.16666666666666666</v>
      </c>
      <c r="O38" s="57">
        <f>(2.002+2.088+2.087)/3</f>
        <v>2.0589999999999997</v>
      </c>
      <c r="P38" s="57" t="s">
        <v>54</v>
      </c>
      <c r="Q38" s="57"/>
      <c r="R38" s="57" t="s">
        <v>172</v>
      </c>
      <c r="S38" s="60" t="s">
        <v>184</v>
      </c>
      <c r="T38" s="60" t="s">
        <v>185</v>
      </c>
      <c r="U38" s="64" t="s">
        <v>186</v>
      </c>
      <c r="V38" s="61" t="s">
        <v>59</v>
      </c>
    </row>
    <row r="39" spans="1:22" s="65" customFormat="1" ht="60" customHeight="1">
      <c r="A39" s="61" t="s">
        <v>175</v>
      </c>
      <c r="B39" s="61" t="s">
        <v>51</v>
      </c>
      <c r="C39" s="62">
        <v>64</v>
      </c>
      <c r="D39" s="77" t="s">
        <v>187</v>
      </c>
      <c r="E39" s="77" t="s">
        <v>187</v>
      </c>
      <c r="F39" s="57">
        <f t="shared" si="4"/>
        <v>0.96</v>
      </c>
      <c r="G39" s="57">
        <f t="shared" si="5"/>
        <v>0.84</v>
      </c>
      <c r="H39" s="57">
        <f t="shared" si="6"/>
        <v>0.72</v>
      </c>
      <c r="I39" s="57">
        <v>0.6</v>
      </c>
      <c r="J39" s="57">
        <f t="shared" si="9"/>
        <v>0.48</v>
      </c>
      <c r="K39" s="57" t="s">
        <v>180</v>
      </c>
      <c r="L39" s="57" t="s">
        <v>1257</v>
      </c>
      <c r="M39" s="57" t="s">
        <v>1257</v>
      </c>
      <c r="N39" s="57">
        <f>(0.167+0.2+0.2)/3</f>
        <v>0.18899999999999997</v>
      </c>
      <c r="O39" s="57" t="s">
        <v>1259</v>
      </c>
      <c r="P39" s="57" t="s">
        <v>54</v>
      </c>
      <c r="Q39" s="57"/>
      <c r="R39" s="57" t="s">
        <v>172</v>
      </c>
      <c r="S39" s="60" t="s">
        <v>188</v>
      </c>
      <c r="T39" s="60" t="s">
        <v>189</v>
      </c>
      <c r="U39" s="64" t="s">
        <v>156</v>
      </c>
      <c r="V39" s="61" t="s">
        <v>59</v>
      </c>
    </row>
    <row r="40" spans="1:22" s="65" customFormat="1" ht="60" customHeight="1">
      <c r="A40" s="61" t="s">
        <v>175</v>
      </c>
      <c r="B40" s="61" t="s">
        <v>51</v>
      </c>
      <c r="C40" s="62">
        <v>65</v>
      </c>
      <c r="D40" s="77" t="s">
        <v>190</v>
      </c>
      <c r="E40" s="77" t="s">
        <v>190</v>
      </c>
      <c r="F40" s="57">
        <f t="shared" si="4"/>
        <v>8</v>
      </c>
      <c r="G40" s="57">
        <f t="shared" si="5"/>
        <v>7</v>
      </c>
      <c r="H40" s="57">
        <f t="shared" si="6"/>
        <v>6</v>
      </c>
      <c r="I40" s="57">
        <v>5</v>
      </c>
      <c r="J40" s="57">
        <f t="shared" si="9"/>
        <v>4</v>
      </c>
      <c r="K40" s="57" t="s">
        <v>180</v>
      </c>
      <c r="L40" s="66">
        <v>1</v>
      </c>
      <c r="M40" s="63">
        <f t="shared" ref="M40" si="11">IF(L40=0,0,IF(L40&lt;0.3,0.3,IF(L40&lt;1,L40*1.3,IF(L40&lt;3,L40*1.2,IF(L40&lt;6,L40*1.15,IF(L40&lt;10,L40+1,IF(L40&gt;50,L40,L40*1.05)))))))</f>
        <v>1.2</v>
      </c>
      <c r="N40" s="57">
        <f>(0.2+0.166+0.2)/3</f>
        <v>0.18866666666666668</v>
      </c>
      <c r="O40" s="57">
        <f>(0.82+0.73+0.52)/3</f>
        <v>0.69</v>
      </c>
      <c r="P40" s="57" t="s">
        <v>79</v>
      </c>
      <c r="Q40" s="57"/>
      <c r="R40" s="57" t="s">
        <v>172</v>
      </c>
      <c r="S40" s="60"/>
      <c r="T40" s="60" t="s">
        <v>191</v>
      </c>
      <c r="U40" s="64" t="s">
        <v>192</v>
      </c>
      <c r="V40" s="61" t="s">
        <v>59</v>
      </c>
    </row>
    <row r="41" spans="1:22" s="65" customFormat="1" ht="60" customHeight="1">
      <c r="A41" s="61" t="s">
        <v>50</v>
      </c>
      <c r="B41" s="61" t="s">
        <v>193</v>
      </c>
      <c r="C41" s="62">
        <v>66</v>
      </c>
      <c r="D41" s="62" t="s">
        <v>1288</v>
      </c>
      <c r="E41" s="62" t="s">
        <v>194</v>
      </c>
      <c r="F41" s="57"/>
      <c r="G41" s="57"/>
      <c r="H41" s="57"/>
      <c r="I41" s="57"/>
      <c r="J41" s="57"/>
      <c r="K41" s="57" t="s">
        <v>195</v>
      </c>
      <c r="L41" s="66">
        <v>15</v>
      </c>
      <c r="M41" s="58">
        <v>15</v>
      </c>
      <c r="N41" s="57">
        <v>272</v>
      </c>
      <c r="O41" s="57">
        <v>239.33</v>
      </c>
      <c r="P41" s="57" t="s">
        <v>54</v>
      </c>
      <c r="Q41" s="57"/>
      <c r="R41" s="57"/>
      <c r="S41" s="60" t="s">
        <v>196</v>
      </c>
      <c r="T41" s="60" t="s">
        <v>197</v>
      </c>
      <c r="U41" s="64" t="s">
        <v>198</v>
      </c>
      <c r="V41" s="61" t="s">
        <v>14</v>
      </c>
    </row>
    <row r="42" spans="1:22" s="65" customFormat="1" ht="60" customHeight="1">
      <c r="A42" s="61" t="s">
        <v>50</v>
      </c>
      <c r="B42" s="61" t="s">
        <v>193</v>
      </c>
      <c r="C42" s="62">
        <v>67</v>
      </c>
      <c r="D42" s="62" t="s">
        <v>1289</v>
      </c>
      <c r="E42" s="62" t="s">
        <v>199</v>
      </c>
      <c r="F42" s="57"/>
      <c r="G42" s="57"/>
      <c r="H42" s="57"/>
      <c r="I42" s="57"/>
      <c r="J42" s="57"/>
      <c r="K42" s="57" t="s">
        <v>200</v>
      </c>
      <c r="L42" s="66">
        <v>400</v>
      </c>
      <c r="M42" s="58">
        <v>400</v>
      </c>
      <c r="N42" s="57">
        <v>1381458</v>
      </c>
      <c r="O42" s="57">
        <v>1126529</v>
      </c>
      <c r="P42" s="57" t="s">
        <v>54</v>
      </c>
      <c r="Q42" s="57"/>
      <c r="R42" s="57"/>
      <c r="S42" s="60" t="s">
        <v>196</v>
      </c>
      <c r="T42" s="60" t="s">
        <v>201</v>
      </c>
      <c r="U42" s="64" t="s">
        <v>202</v>
      </c>
      <c r="V42" s="61" t="s">
        <v>14</v>
      </c>
    </row>
    <row r="43" spans="1:22" s="65" customFormat="1" ht="60" customHeight="1">
      <c r="A43" s="61" t="s">
        <v>50</v>
      </c>
      <c r="B43" s="61" t="s">
        <v>193</v>
      </c>
      <c r="C43" s="62">
        <v>68</v>
      </c>
      <c r="D43" s="62" t="s">
        <v>1290</v>
      </c>
      <c r="E43" s="62" t="s">
        <v>203</v>
      </c>
      <c r="F43" s="57"/>
      <c r="G43" s="57"/>
      <c r="H43" s="57"/>
      <c r="I43" s="57"/>
      <c r="J43" s="57"/>
      <c r="K43" s="57" t="s">
        <v>200</v>
      </c>
      <c r="L43" s="66">
        <v>40</v>
      </c>
      <c r="M43" s="58">
        <v>40</v>
      </c>
      <c r="N43" s="57">
        <v>78</v>
      </c>
      <c r="O43" s="57">
        <v>77.2</v>
      </c>
      <c r="P43" s="57" t="s">
        <v>54</v>
      </c>
      <c r="Q43" s="57"/>
      <c r="R43" s="57"/>
      <c r="S43" s="60" t="s">
        <v>196</v>
      </c>
      <c r="T43" s="60" t="s">
        <v>204</v>
      </c>
      <c r="U43" s="64" t="s">
        <v>205</v>
      </c>
      <c r="V43" s="61" t="s">
        <v>14</v>
      </c>
    </row>
    <row r="44" spans="1:22" s="65" customFormat="1" ht="60" customHeight="1">
      <c r="A44" s="61" t="s">
        <v>50</v>
      </c>
      <c r="B44" s="61" t="s">
        <v>193</v>
      </c>
      <c r="C44" s="62">
        <v>69</v>
      </c>
      <c r="D44" s="62" t="s">
        <v>206</v>
      </c>
      <c r="E44" s="62" t="s">
        <v>206</v>
      </c>
      <c r="F44" s="57"/>
      <c r="G44" s="57"/>
      <c r="H44" s="57"/>
      <c r="I44" s="57"/>
      <c r="J44" s="57"/>
      <c r="K44" s="57"/>
      <c r="L44" s="66">
        <v>0</v>
      </c>
      <c r="M44" s="63">
        <f t="shared" ref="M44:M46" si="12">IF(L44=0,0,IF(L44&lt;0.3,0.3,IF(L44&lt;1,L44*1.3,IF(L44&lt;3,L44*1.2,IF(L44&lt;6,L44*1.15,IF(L44&lt;10,L44+1,IF(L44&gt;50,L44,L44*1.05)))))))</f>
        <v>0</v>
      </c>
      <c r="N44" s="57">
        <v>0</v>
      </c>
      <c r="O44" s="57">
        <v>0</v>
      </c>
      <c r="P44" s="57" t="s">
        <v>54</v>
      </c>
      <c r="Q44" s="57"/>
      <c r="R44" s="57"/>
      <c r="S44" s="60" t="s">
        <v>196</v>
      </c>
      <c r="T44" s="60" t="s">
        <v>207</v>
      </c>
      <c r="U44" s="64" t="s">
        <v>208</v>
      </c>
      <c r="V44" s="61" t="s">
        <v>14</v>
      </c>
    </row>
    <row r="45" spans="1:22" s="65" customFormat="1" ht="110.25" customHeight="1">
      <c r="A45" s="61" t="s">
        <v>50</v>
      </c>
      <c r="B45" s="61" t="s">
        <v>193</v>
      </c>
      <c r="C45" s="62">
        <v>70</v>
      </c>
      <c r="D45" s="62" t="s">
        <v>209</v>
      </c>
      <c r="E45" s="62" t="s">
        <v>209</v>
      </c>
      <c r="F45" s="57"/>
      <c r="G45" s="57"/>
      <c r="H45" s="57"/>
      <c r="I45" s="57"/>
      <c r="J45" s="57"/>
      <c r="K45" s="57"/>
      <c r="L45" s="66">
        <v>0</v>
      </c>
      <c r="M45" s="57">
        <f t="shared" si="12"/>
        <v>0</v>
      </c>
      <c r="N45" s="57">
        <v>0</v>
      </c>
      <c r="O45" s="57">
        <v>0</v>
      </c>
      <c r="P45" s="57" t="s">
        <v>54</v>
      </c>
      <c r="Q45" s="57"/>
      <c r="R45" s="57"/>
      <c r="S45" s="60" t="s">
        <v>196</v>
      </c>
      <c r="T45" s="60" t="s">
        <v>210</v>
      </c>
      <c r="U45" s="64" t="s">
        <v>211</v>
      </c>
      <c r="V45" s="61" t="s">
        <v>14</v>
      </c>
    </row>
    <row r="46" spans="1:22" s="65" customFormat="1" ht="60" customHeight="1">
      <c r="A46" s="61" t="s">
        <v>50</v>
      </c>
      <c r="B46" s="61" t="s">
        <v>193</v>
      </c>
      <c r="C46" s="62">
        <v>71</v>
      </c>
      <c r="D46" s="62" t="s">
        <v>1291</v>
      </c>
      <c r="E46" s="62" t="s">
        <v>212</v>
      </c>
      <c r="F46" s="57"/>
      <c r="G46" s="57"/>
      <c r="H46" s="57"/>
      <c r="I46" s="57"/>
      <c r="J46" s="57"/>
      <c r="K46" s="57"/>
      <c r="L46" s="67">
        <v>0</v>
      </c>
      <c r="M46" s="63">
        <f t="shared" si="12"/>
        <v>0</v>
      </c>
      <c r="N46" s="57">
        <v>0</v>
      </c>
      <c r="O46" s="80">
        <v>0</v>
      </c>
      <c r="P46" s="57" t="s">
        <v>54</v>
      </c>
      <c r="Q46" s="57"/>
      <c r="R46" s="57"/>
      <c r="S46" s="60" t="s">
        <v>196</v>
      </c>
      <c r="T46" s="60" t="s">
        <v>213</v>
      </c>
      <c r="U46" s="64" t="s">
        <v>214</v>
      </c>
      <c r="V46" s="61" t="s">
        <v>14</v>
      </c>
    </row>
    <row r="47" spans="1:22" s="65" customFormat="1" ht="60" customHeight="1">
      <c r="A47" s="61" t="s">
        <v>50</v>
      </c>
      <c r="B47" s="61" t="s">
        <v>215</v>
      </c>
      <c r="C47" s="62">
        <v>72</v>
      </c>
      <c r="D47" s="62" t="s">
        <v>216</v>
      </c>
      <c r="E47" s="62" t="s">
        <v>216</v>
      </c>
      <c r="F47" s="57"/>
      <c r="G47" s="57"/>
      <c r="H47" s="57"/>
      <c r="I47" s="57"/>
      <c r="J47" s="57"/>
      <c r="K47" s="57"/>
      <c r="L47" s="66">
        <v>0</v>
      </c>
      <c r="M47" s="63">
        <v>0</v>
      </c>
      <c r="N47" s="57">
        <v>0</v>
      </c>
      <c r="O47" s="57">
        <v>0</v>
      </c>
      <c r="P47" s="57" t="s">
        <v>54</v>
      </c>
      <c r="Q47" s="57"/>
      <c r="R47" s="57"/>
      <c r="S47" s="60"/>
      <c r="T47" s="60" t="s">
        <v>217</v>
      </c>
      <c r="U47" s="64" t="s">
        <v>208</v>
      </c>
      <c r="V47" s="61" t="s">
        <v>14</v>
      </c>
    </row>
    <row r="48" spans="1:22" s="65" customFormat="1" ht="60" customHeight="1">
      <c r="A48" s="61" t="s">
        <v>50</v>
      </c>
      <c r="B48" s="61" t="s">
        <v>215</v>
      </c>
      <c r="C48" s="62">
        <v>73</v>
      </c>
      <c r="D48" s="62" t="s">
        <v>218</v>
      </c>
      <c r="E48" s="62" t="s">
        <v>218</v>
      </c>
      <c r="F48" s="57"/>
      <c r="G48" s="57"/>
      <c r="H48" s="57"/>
      <c r="I48" s="57"/>
      <c r="J48" s="57"/>
      <c r="K48" s="57"/>
      <c r="L48" s="66">
        <v>1</v>
      </c>
      <c r="M48" s="63">
        <v>1.2</v>
      </c>
      <c r="N48" s="57">
        <v>0</v>
      </c>
      <c r="O48" s="57">
        <v>0</v>
      </c>
      <c r="P48" s="57" t="s">
        <v>54</v>
      </c>
      <c r="Q48" s="57"/>
      <c r="R48" s="57"/>
      <c r="S48" s="60"/>
      <c r="T48" s="60" t="s">
        <v>219</v>
      </c>
      <c r="U48" s="64" t="s">
        <v>211</v>
      </c>
      <c r="V48" s="61" t="s">
        <v>14</v>
      </c>
    </row>
    <row r="49" spans="1:22" s="65" customFormat="1" ht="60" customHeight="1">
      <c r="A49" s="61" t="s">
        <v>50</v>
      </c>
      <c r="B49" s="61" t="s">
        <v>215</v>
      </c>
      <c r="C49" s="62">
        <v>74</v>
      </c>
      <c r="D49" s="64" t="s">
        <v>220</v>
      </c>
      <c r="E49" s="64" t="s">
        <v>220</v>
      </c>
      <c r="F49" s="57"/>
      <c r="G49" s="57"/>
      <c r="H49" s="57"/>
      <c r="I49" s="57"/>
      <c r="J49" s="57">
        <v>1</v>
      </c>
      <c r="K49" s="57"/>
      <c r="L49" s="63">
        <v>1</v>
      </c>
      <c r="M49" s="63">
        <v>1.2</v>
      </c>
      <c r="N49" s="57">
        <v>1.0669999999999999</v>
      </c>
      <c r="O49" s="57">
        <f>(0.916+0.847+0.941)/3</f>
        <v>0.90133333333333321</v>
      </c>
      <c r="P49" s="81" t="s">
        <v>79</v>
      </c>
      <c r="Q49" s="81"/>
      <c r="R49" s="57"/>
      <c r="S49" s="60"/>
      <c r="T49" s="60" t="s">
        <v>221</v>
      </c>
      <c r="U49" s="64" t="s">
        <v>222</v>
      </c>
      <c r="V49" s="61" t="s">
        <v>14</v>
      </c>
    </row>
    <row r="50" spans="1:22" s="65" customFormat="1" ht="60" customHeight="1">
      <c r="A50" s="61" t="s">
        <v>50</v>
      </c>
      <c r="B50" s="61" t="s">
        <v>51</v>
      </c>
      <c r="C50" s="62">
        <v>75</v>
      </c>
      <c r="D50" s="64" t="s">
        <v>223</v>
      </c>
      <c r="E50" s="64" t="s">
        <v>223</v>
      </c>
      <c r="F50" s="57">
        <f t="shared" ref="F50:F95" si="13">I50*1.6</f>
        <v>2.4000000000000004</v>
      </c>
      <c r="G50" s="57">
        <f t="shared" ref="G50:G95" si="14">I50*1.4</f>
        <v>2.0999999999999996</v>
      </c>
      <c r="H50" s="57">
        <f t="shared" ref="H50:H95" si="15">I50*1.2</f>
        <v>1.7999999999999998</v>
      </c>
      <c r="I50" s="57">
        <v>1.5</v>
      </c>
      <c r="J50" s="57">
        <f t="shared" ref="J50:J95" si="16">I50*0.8</f>
        <v>1.2000000000000002</v>
      </c>
      <c r="K50" s="57" t="s">
        <v>65</v>
      </c>
      <c r="L50" s="66">
        <v>1.5</v>
      </c>
      <c r="M50" s="63">
        <v>1.7999999999999998</v>
      </c>
      <c r="N50" s="57">
        <f>(1.866+1.902+1.968)/3</f>
        <v>1.9119999999999999</v>
      </c>
      <c r="O50" s="57">
        <f>(1.39+1.68+1.44)/3</f>
        <v>1.5033333333333332</v>
      </c>
      <c r="P50" s="57" t="s">
        <v>79</v>
      </c>
      <c r="Q50" s="57" t="s">
        <v>55</v>
      </c>
      <c r="R50" s="57" t="s">
        <v>56</v>
      </c>
      <c r="S50" s="60" t="s">
        <v>224</v>
      </c>
      <c r="T50" s="60" t="s">
        <v>225</v>
      </c>
      <c r="U50" s="64" t="s">
        <v>226</v>
      </c>
      <c r="V50" s="61" t="s">
        <v>59</v>
      </c>
    </row>
    <row r="51" spans="1:22" s="65" customFormat="1" ht="60" customHeight="1">
      <c r="A51" s="61" t="s">
        <v>50</v>
      </c>
      <c r="B51" s="61" t="s">
        <v>51</v>
      </c>
      <c r="C51" s="62">
        <v>76</v>
      </c>
      <c r="D51" s="64" t="s">
        <v>227</v>
      </c>
      <c r="E51" s="64" t="s">
        <v>227</v>
      </c>
      <c r="F51" s="57">
        <f t="shared" si="13"/>
        <v>2.4000000000000004</v>
      </c>
      <c r="G51" s="57">
        <f t="shared" si="14"/>
        <v>2.0999999999999996</v>
      </c>
      <c r="H51" s="57">
        <f t="shared" si="15"/>
        <v>1.7999999999999998</v>
      </c>
      <c r="I51" s="57">
        <v>1.5</v>
      </c>
      <c r="J51" s="57">
        <f t="shared" si="16"/>
        <v>1.2000000000000002</v>
      </c>
      <c r="K51" s="57" t="s">
        <v>65</v>
      </c>
      <c r="L51" s="66">
        <v>1.5</v>
      </c>
      <c r="M51" s="63">
        <v>1.7999999999999998</v>
      </c>
      <c r="N51" s="57">
        <f>(2.063+1.799+1.966)/3</f>
        <v>1.9426666666666668</v>
      </c>
      <c r="O51" s="57">
        <f>(3.088+1.444+1.567)/3</f>
        <v>2.0329999999999999</v>
      </c>
      <c r="P51" s="57" t="s">
        <v>79</v>
      </c>
      <c r="Q51" s="57" t="s">
        <v>55</v>
      </c>
      <c r="R51" s="57" t="s">
        <v>56</v>
      </c>
      <c r="S51" s="60" t="s">
        <v>224</v>
      </c>
      <c r="T51" s="60" t="s">
        <v>228</v>
      </c>
      <c r="U51" s="64" t="s">
        <v>229</v>
      </c>
      <c r="V51" s="61" t="s">
        <v>59</v>
      </c>
    </row>
    <row r="52" spans="1:22" s="65" customFormat="1" ht="60" customHeight="1">
      <c r="A52" s="61" t="s">
        <v>50</v>
      </c>
      <c r="B52" s="61" t="s">
        <v>51</v>
      </c>
      <c r="C52" s="62">
        <v>77</v>
      </c>
      <c r="D52" s="64" t="s">
        <v>230</v>
      </c>
      <c r="E52" s="64" t="s">
        <v>230</v>
      </c>
      <c r="F52" s="57">
        <f t="shared" si="13"/>
        <v>1.2800000000000002</v>
      </c>
      <c r="G52" s="57">
        <f t="shared" si="14"/>
        <v>1.1199999999999999</v>
      </c>
      <c r="H52" s="57">
        <f t="shared" si="15"/>
        <v>0.96</v>
      </c>
      <c r="I52" s="57">
        <v>0.8</v>
      </c>
      <c r="J52" s="57">
        <f t="shared" si="16"/>
        <v>0.64000000000000012</v>
      </c>
      <c r="K52" s="57" t="s">
        <v>65</v>
      </c>
      <c r="L52" s="66">
        <v>0.8</v>
      </c>
      <c r="M52" s="63">
        <v>1.04</v>
      </c>
      <c r="N52" s="57">
        <f>(1.233+0.9+0.833)/3</f>
        <v>0.98866666666666669</v>
      </c>
      <c r="O52" s="57">
        <f>(1.523+1.511+1.523)/3</f>
        <v>1.5189999999999999</v>
      </c>
      <c r="P52" s="57" t="s">
        <v>54</v>
      </c>
      <c r="Q52" s="57" t="s">
        <v>55</v>
      </c>
      <c r="R52" s="57" t="s">
        <v>56</v>
      </c>
      <c r="S52" s="60" t="s">
        <v>231</v>
      </c>
      <c r="T52" s="60" t="s">
        <v>232</v>
      </c>
      <c r="U52" s="64" t="s">
        <v>233</v>
      </c>
      <c r="V52" s="61" t="s">
        <v>59</v>
      </c>
    </row>
    <row r="53" spans="1:22" s="65" customFormat="1" ht="60" customHeight="1">
      <c r="A53" s="61" t="s">
        <v>50</v>
      </c>
      <c r="B53" s="61" t="s">
        <v>51</v>
      </c>
      <c r="C53" s="62">
        <v>78</v>
      </c>
      <c r="D53" s="64" t="s">
        <v>234</v>
      </c>
      <c r="E53" s="64" t="s">
        <v>234</v>
      </c>
      <c r="F53" s="57">
        <f t="shared" si="13"/>
        <v>1.2800000000000002</v>
      </c>
      <c r="G53" s="57">
        <f t="shared" si="14"/>
        <v>1.1199999999999999</v>
      </c>
      <c r="H53" s="57">
        <f t="shared" si="15"/>
        <v>0.96</v>
      </c>
      <c r="I53" s="57">
        <v>0.8</v>
      </c>
      <c r="J53" s="57">
        <f t="shared" si="16"/>
        <v>0.64000000000000012</v>
      </c>
      <c r="K53" s="57" t="s">
        <v>65</v>
      </c>
      <c r="L53" s="66">
        <v>1</v>
      </c>
      <c r="M53" s="63">
        <v>1.2</v>
      </c>
      <c r="N53" s="57">
        <f>(1.233+1.2+1.2)/3</f>
        <v>1.2110000000000001</v>
      </c>
      <c r="O53" s="57">
        <f>(0.8+0.71+0.77)/3</f>
        <v>0.76000000000000012</v>
      </c>
      <c r="P53" s="57" t="s">
        <v>54</v>
      </c>
      <c r="Q53" s="57"/>
      <c r="R53" s="57" t="s">
        <v>56</v>
      </c>
      <c r="S53" s="60" t="s">
        <v>235</v>
      </c>
      <c r="T53" s="60" t="s">
        <v>236</v>
      </c>
      <c r="U53" s="64" t="s">
        <v>237</v>
      </c>
      <c r="V53" s="61" t="s">
        <v>59</v>
      </c>
    </row>
    <row r="54" spans="1:22" s="65" customFormat="1" ht="60" customHeight="1">
      <c r="A54" s="61" t="s">
        <v>50</v>
      </c>
      <c r="B54" s="61" t="s">
        <v>51</v>
      </c>
      <c r="C54" s="62">
        <v>80</v>
      </c>
      <c r="D54" s="64" t="s">
        <v>238</v>
      </c>
      <c r="E54" s="64" t="s">
        <v>238</v>
      </c>
      <c r="F54" s="57">
        <f t="shared" si="13"/>
        <v>4.8000000000000007</v>
      </c>
      <c r="G54" s="57">
        <f t="shared" si="14"/>
        <v>4.1999999999999993</v>
      </c>
      <c r="H54" s="57">
        <f t="shared" si="15"/>
        <v>3.5999999999999996</v>
      </c>
      <c r="I54" s="57">
        <v>3</v>
      </c>
      <c r="J54" s="57">
        <f t="shared" si="16"/>
        <v>2.4000000000000004</v>
      </c>
      <c r="K54" s="57" t="s">
        <v>65</v>
      </c>
      <c r="L54" s="66">
        <v>3</v>
      </c>
      <c r="M54" s="63">
        <v>3.4499999999999997</v>
      </c>
      <c r="N54" s="57">
        <f>(3.121+3.154+2.999)/3</f>
        <v>3.0913333333333335</v>
      </c>
      <c r="O54" s="57">
        <f>(2.767+2.334+2.3)/3</f>
        <v>2.4670000000000001</v>
      </c>
      <c r="P54" s="57" t="s">
        <v>79</v>
      </c>
      <c r="Q54" s="57" t="s">
        <v>55</v>
      </c>
      <c r="R54" s="57" t="s">
        <v>56</v>
      </c>
      <c r="S54" s="60" t="s">
        <v>224</v>
      </c>
      <c r="T54" s="60" t="s">
        <v>239</v>
      </c>
      <c r="U54" s="64" t="s">
        <v>240</v>
      </c>
      <c r="V54" s="61" t="s">
        <v>59</v>
      </c>
    </row>
    <row r="55" spans="1:22" s="65" customFormat="1" ht="60" customHeight="1">
      <c r="A55" s="61" t="s">
        <v>50</v>
      </c>
      <c r="B55" s="61" t="s">
        <v>51</v>
      </c>
      <c r="C55" s="62">
        <v>81</v>
      </c>
      <c r="D55" s="64" t="s">
        <v>241</v>
      </c>
      <c r="E55" s="64" t="s">
        <v>241</v>
      </c>
      <c r="F55" s="57">
        <f t="shared" si="13"/>
        <v>4</v>
      </c>
      <c r="G55" s="57">
        <f t="shared" si="14"/>
        <v>3.5</v>
      </c>
      <c r="H55" s="57">
        <f t="shared" si="15"/>
        <v>3</v>
      </c>
      <c r="I55" s="57">
        <v>2.5</v>
      </c>
      <c r="J55" s="57">
        <f t="shared" si="16"/>
        <v>2</v>
      </c>
      <c r="K55" s="57" t="s">
        <v>65</v>
      </c>
      <c r="L55" s="66">
        <v>2.5</v>
      </c>
      <c r="M55" s="63">
        <v>3</v>
      </c>
      <c r="N55" s="57">
        <f>(2.698+2.532+2.699)/3</f>
        <v>2.6430000000000002</v>
      </c>
      <c r="O55" s="57">
        <f>(2.767+2.38+2.81)/3</f>
        <v>2.6523333333333334</v>
      </c>
      <c r="P55" s="57" t="s">
        <v>79</v>
      </c>
      <c r="Q55" s="57" t="s">
        <v>55</v>
      </c>
      <c r="R55" s="57" t="s">
        <v>56</v>
      </c>
      <c r="S55" s="60" t="s">
        <v>224</v>
      </c>
      <c r="T55" s="60" t="s">
        <v>242</v>
      </c>
      <c r="U55" s="64" t="s">
        <v>240</v>
      </c>
      <c r="V55" s="61" t="s">
        <v>59</v>
      </c>
    </row>
    <row r="56" spans="1:22" s="65" customFormat="1" ht="60" customHeight="1">
      <c r="A56" s="61" t="s">
        <v>50</v>
      </c>
      <c r="B56" s="61" t="s">
        <v>51</v>
      </c>
      <c r="C56" s="62">
        <v>82</v>
      </c>
      <c r="D56" s="64" t="s">
        <v>243</v>
      </c>
      <c r="E56" s="64" t="s">
        <v>243</v>
      </c>
      <c r="F56" s="57">
        <f t="shared" si="13"/>
        <v>8</v>
      </c>
      <c r="G56" s="57">
        <f t="shared" si="14"/>
        <v>7</v>
      </c>
      <c r="H56" s="57">
        <f t="shared" si="15"/>
        <v>6</v>
      </c>
      <c r="I56" s="57">
        <v>5</v>
      </c>
      <c r="J56" s="57">
        <f t="shared" si="16"/>
        <v>4</v>
      </c>
      <c r="K56" s="57" t="s">
        <v>65</v>
      </c>
      <c r="L56" s="66">
        <v>6</v>
      </c>
      <c r="M56" s="63">
        <v>7</v>
      </c>
      <c r="N56" s="57">
        <f>(4.63+5.363+5.164)/3</f>
        <v>5.0523333333333333</v>
      </c>
      <c r="O56" s="57">
        <f>(5.866+5.733+5.333)/3</f>
        <v>5.644000000000001</v>
      </c>
      <c r="P56" s="57" t="s">
        <v>79</v>
      </c>
      <c r="Q56" s="57"/>
      <c r="R56" s="57" t="s">
        <v>56</v>
      </c>
      <c r="S56" s="60" t="s">
        <v>224</v>
      </c>
      <c r="T56" s="60" t="s">
        <v>244</v>
      </c>
      <c r="U56" s="64" t="s">
        <v>245</v>
      </c>
      <c r="V56" s="61" t="s">
        <v>59</v>
      </c>
    </row>
    <row r="57" spans="1:22" s="65" customFormat="1" ht="60" customHeight="1">
      <c r="A57" s="61" t="s">
        <v>50</v>
      </c>
      <c r="B57" s="61" t="s">
        <v>51</v>
      </c>
      <c r="C57" s="62">
        <v>83</v>
      </c>
      <c r="D57" s="64" t="s">
        <v>246</v>
      </c>
      <c r="E57" s="64" t="s">
        <v>246</v>
      </c>
      <c r="F57" s="57">
        <f t="shared" si="13"/>
        <v>8</v>
      </c>
      <c r="G57" s="57">
        <f t="shared" si="14"/>
        <v>7</v>
      </c>
      <c r="H57" s="57">
        <f t="shared" si="15"/>
        <v>6</v>
      </c>
      <c r="I57" s="57">
        <v>5</v>
      </c>
      <c r="J57" s="57">
        <f t="shared" si="16"/>
        <v>4</v>
      </c>
      <c r="K57" s="57" t="s">
        <v>65</v>
      </c>
      <c r="L57" s="66">
        <v>5</v>
      </c>
      <c r="M57" s="63">
        <v>5.75</v>
      </c>
      <c r="N57" s="57">
        <f>(4.767+4.833+4.833)/3</f>
        <v>4.8110000000000008</v>
      </c>
      <c r="O57" s="57">
        <f>(9.966+9.1+8.834)/3</f>
        <v>9.2999999999999989</v>
      </c>
      <c r="P57" s="57" t="s">
        <v>54</v>
      </c>
      <c r="Q57" s="57" t="s">
        <v>55</v>
      </c>
      <c r="R57" s="57" t="s">
        <v>56</v>
      </c>
      <c r="S57" s="60" t="s">
        <v>231</v>
      </c>
      <c r="T57" s="60" t="s">
        <v>247</v>
      </c>
      <c r="U57" s="64" t="s">
        <v>112</v>
      </c>
      <c r="V57" s="61" t="s">
        <v>59</v>
      </c>
    </row>
    <row r="58" spans="1:22" s="65" customFormat="1" ht="60" customHeight="1">
      <c r="A58" s="61" t="s">
        <v>50</v>
      </c>
      <c r="B58" s="61" t="s">
        <v>51</v>
      </c>
      <c r="C58" s="62">
        <v>84</v>
      </c>
      <c r="D58" s="64" t="s">
        <v>248</v>
      </c>
      <c r="E58" s="64" t="s">
        <v>248</v>
      </c>
      <c r="F58" s="57">
        <f t="shared" si="13"/>
        <v>2</v>
      </c>
      <c r="G58" s="57">
        <f t="shared" si="14"/>
        <v>1.75</v>
      </c>
      <c r="H58" s="57">
        <f t="shared" si="15"/>
        <v>1.5</v>
      </c>
      <c r="I58" s="57">
        <v>1.25</v>
      </c>
      <c r="J58" s="57">
        <f t="shared" si="16"/>
        <v>1</v>
      </c>
      <c r="K58" s="57" t="s">
        <v>65</v>
      </c>
      <c r="L58" s="66">
        <v>1</v>
      </c>
      <c r="M58" s="63">
        <v>1.2</v>
      </c>
      <c r="N58" s="57">
        <f>(1.061+1.367+1.767)/3</f>
        <v>1.3983333333333334</v>
      </c>
      <c r="O58" s="57">
        <f>(1.502+1.999+1.521)/3</f>
        <v>1.6740000000000002</v>
      </c>
      <c r="P58" s="57" t="s">
        <v>79</v>
      </c>
      <c r="Q58" s="57" t="s">
        <v>55</v>
      </c>
      <c r="R58" s="57" t="s">
        <v>56</v>
      </c>
      <c r="S58" s="60" t="s">
        <v>235</v>
      </c>
      <c r="T58" s="60" t="s">
        <v>249</v>
      </c>
      <c r="U58" s="64" t="s">
        <v>250</v>
      </c>
      <c r="V58" s="61" t="s">
        <v>59</v>
      </c>
    </row>
    <row r="59" spans="1:22" s="65" customFormat="1" ht="60" customHeight="1">
      <c r="A59" s="61" t="s">
        <v>50</v>
      </c>
      <c r="B59" s="61" t="s">
        <v>51</v>
      </c>
      <c r="C59" s="62">
        <v>85</v>
      </c>
      <c r="D59" s="64" t="s">
        <v>251</v>
      </c>
      <c r="E59" s="64" t="s">
        <v>251</v>
      </c>
      <c r="F59" s="57">
        <f t="shared" si="13"/>
        <v>2.4000000000000004</v>
      </c>
      <c r="G59" s="57">
        <f t="shared" si="14"/>
        <v>2.0999999999999996</v>
      </c>
      <c r="H59" s="57">
        <f t="shared" si="15"/>
        <v>1.7999999999999998</v>
      </c>
      <c r="I59" s="57">
        <v>1.5</v>
      </c>
      <c r="J59" s="57">
        <f t="shared" si="16"/>
        <v>1.2000000000000002</v>
      </c>
      <c r="K59" s="57" t="s">
        <v>65</v>
      </c>
      <c r="L59" s="66">
        <v>1.5</v>
      </c>
      <c r="M59" s="63">
        <v>1.7999999999999998</v>
      </c>
      <c r="N59" s="57">
        <f>(0.819+1.013+1.123)/3</f>
        <v>0.98499999999999999</v>
      </c>
      <c r="O59" s="57">
        <f>(0.766+1.1+0.923)/3</f>
        <v>0.92966666666666675</v>
      </c>
      <c r="P59" s="57" t="s">
        <v>54</v>
      </c>
      <c r="Q59" s="57"/>
      <c r="R59" s="57" t="s">
        <v>56</v>
      </c>
      <c r="S59" s="60" t="s">
        <v>235</v>
      </c>
      <c r="T59" s="60" t="s">
        <v>252</v>
      </c>
      <c r="U59" s="64" t="s">
        <v>253</v>
      </c>
      <c r="V59" s="61" t="s">
        <v>59</v>
      </c>
    </row>
    <row r="60" spans="1:22" s="65" customFormat="1" ht="60" customHeight="1">
      <c r="A60" s="61" t="s">
        <v>175</v>
      </c>
      <c r="B60" s="61" t="s">
        <v>51</v>
      </c>
      <c r="C60" s="62">
        <v>100</v>
      </c>
      <c r="D60" s="61" t="s">
        <v>254</v>
      </c>
      <c r="E60" s="61" t="s">
        <v>254</v>
      </c>
      <c r="F60" s="57">
        <f t="shared" si="13"/>
        <v>0.32000000000000006</v>
      </c>
      <c r="G60" s="57">
        <f t="shared" si="14"/>
        <v>0.27999999999999997</v>
      </c>
      <c r="H60" s="57">
        <f t="shared" si="15"/>
        <v>0.24</v>
      </c>
      <c r="I60" s="57">
        <v>0.2</v>
      </c>
      <c r="J60" s="57">
        <f t="shared" si="16"/>
        <v>0.16000000000000003</v>
      </c>
      <c r="K60" s="74" t="s">
        <v>180</v>
      </c>
      <c r="L60" s="68">
        <v>1</v>
      </c>
      <c r="M60" s="63">
        <v>1.2</v>
      </c>
      <c r="N60" s="74">
        <f>(541+446+512)/3/1000</f>
        <v>0.4996666666666667</v>
      </c>
      <c r="O60" s="74">
        <v>0.55600000000000005</v>
      </c>
      <c r="P60" s="74" t="s">
        <v>54</v>
      </c>
      <c r="Q60" s="74"/>
      <c r="R60" s="61"/>
      <c r="S60" s="82"/>
      <c r="T60" s="64" t="s">
        <v>255</v>
      </c>
      <c r="U60" s="61"/>
      <c r="V60" s="61" t="s">
        <v>59</v>
      </c>
    </row>
    <row r="61" spans="1:22" s="65" customFormat="1" ht="60" customHeight="1">
      <c r="A61" s="61" t="s">
        <v>175</v>
      </c>
      <c r="B61" s="61" t="s">
        <v>51</v>
      </c>
      <c r="C61" s="62">
        <v>101</v>
      </c>
      <c r="D61" s="61" t="s">
        <v>256</v>
      </c>
      <c r="E61" s="61" t="s">
        <v>256</v>
      </c>
      <c r="F61" s="57">
        <f t="shared" si="13"/>
        <v>3.2</v>
      </c>
      <c r="G61" s="57">
        <f t="shared" si="14"/>
        <v>2.8</v>
      </c>
      <c r="H61" s="57">
        <f t="shared" si="15"/>
        <v>2.4</v>
      </c>
      <c r="I61" s="57">
        <v>2</v>
      </c>
      <c r="J61" s="57">
        <f t="shared" si="16"/>
        <v>1.6</v>
      </c>
      <c r="K61" s="57" t="s">
        <v>98</v>
      </c>
      <c r="L61" s="66">
        <v>1.2</v>
      </c>
      <c r="M61" s="57">
        <v>1.44</v>
      </c>
      <c r="N61" s="57">
        <f>(1.7+2.634+1.034)/3</f>
        <v>1.7893333333333332</v>
      </c>
      <c r="O61" s="57">
        <f>(1.267+1.134+1.167)/3</f>
        <v>1.1893333333333331</v>
      </c>
      <c r="P61" s="74" t="s">
        <v>54</v>
      </c>
      <c r="Q61" s="74"/>
      <c r="R61" s="61"/>
      <c r="S61" s="83"/>
      <c r="T61" s="64" t="s">
        <v>257</v>
      </c>
      <c r="U61" s="61" t="s">
        <v>258</v>
      </c>
      <c r="V61" s="61" t="s">
        <v>59</v>
      </c>
    </row>
    <row r="62" spans="1:22" s="65" customFormat="1" ht="60" customHeight="1">
      <c r="A62" s="61" t="s">
        <v>175</v>
      </c>
      <c r="B62" s="61" t="s">
        <v>51</v>
      </c>
      <c r="C62" s="62">
        <v>102</v>
      </c>
      <c r="D62" s="61" t="s">
        <v>259</v>
      </c>
      <c r="E62" s="61" t="s">
        <v>259</v>
      </c>
      <c r="F62" s="57">
        <f t="shared" si="13"/>
        <v>0.32000000000000006</v>
      </c>
      <c r="G62" s="57">
        <f t="shared" si="14"/>
        <v>0.27999999999999997</v>
      </c>
      <c r="H62" s="57">
        <f t="shared" si="15"/>
        <v>0.24</v>
      </c>
      <c r="I62" s="57">
        <v>0.2</v>
      </c>
      <c r="J62" s="57">
        <f t="shared" si="16"/>
        <v>0.16000000000000003</v>
      </c>
      <c r="K62" s="57" t="s">
        <v>180</v>
      </c>
      <c r="L62" s="66">
        <v>0.6</v>
      </c>
      <c r="M62" s="63">
        <v>0.78</v>
      </c>
      <c r="N62" s="57">
        <f>(0.933+0.767+0.766)/3</f>
        <v>0.82200000000000006</v>
      </c>
      <c r="O62" s="57">
        <f>(0.834+0.767+0.9)/3</f>
        <v>0.83366666666666667</v>
      </c>
      <c r="P62" s="74" t="s">
        <v>54</v>
      </c>
      <c r="Q62" s="74"/>
      <c r="R62" s="61"/>
      <c r="S62" s="83"/>
      <c r="T62" s="64" t="s">
        <v>260</v>
      </c>
      <c r="U62" s="61" t="s">
        <v>258</v>
      </c>
      <c r="V62" s="61" t="s">
        <v>59</v>
      </c>
    </row>
    <row r="63" spans="1:22" s="65" customFormat="1" ht="60" customHeight="1">
      <c r="A63" s="61" t="s">
        <v>175</v>
      </c>
      <c r="B63" s="61" t="s">
        <v>51</v>
      </c>
      <c r="C63" s="62">
        <v>103</v>
      </c>
      <c r="D63" s="61" t="s">
        <v>261</v>
      </c>
      <c r="E63" s="61" t="s">
        <v>261</v>
      </c>
      <c r="F63" s="57">
        <f t="shared" si="13"/>
        <v>3.2</v>
      </c>
      <c r="G63" s="57">
        <f t="shared" si="14"/>
        <v>2.8</v>
      </c>
      <c r="H63" s="57">
        <f t="shared" si="15"/>
        <v>2.4</v>
      </c>
      <c r="I63" s="57">
        <v>2</v>
      </c>
      <c r="J63" s="57">
        <f t="shared" si="16"/>
        <v>1.6</v>
      </c>
      <c r="K63" s="57" t="s">
        <v>98</v>
      </c>
      <c r="L63" s="63" t="s">
        <v>15</v>
      </c>
      <c r="M63" s="63" t="s">
        <v>15</v>
      </c>
      <c r="N63" s="57" t="s">
        <v>262</v>
      </c>
      <c r="O63" s="57" t="s">
        <v>262</v>
      </c>
      <c r="P63" s="57" t="s">
        <v>262</v>
      </c>
      <c r="Q63" s="74"/>
      <c r="R63" s="61"/>
      <c r="S63" s="83"/>
      <c r="T63" s="64" t="s">
        <v>263</v>
      </c>
      <c r="U63" s="61" t="s">
        <v>258</v>
      </c>
      <c r="V63" s="61" t="s">
        <v>59</v>
      </c>
    </row>
    <row r="64" spans="1:22" s="65" customFormat="1" ht="60" customHeight="1">
      <c r="A64" s="61" t="s">
        <v>175</v>
      </c>
      <c r="B64" s="61" t="s">
        <v>51</v>
      </c>
      <c r="C64" s="62">
        <v>104</v>
      </c>
      <c r="D64" s="61" t="s">
        <v>264</v>
      </c>
      <c r="E64" s="61" t="s">
        <v>264</v>
      </c>
      <c r="F64" s="57">
        <f t="shared" si="13"/>
        <v>0.32000000000000006</v>
      </c>
      <c r="G64" s="57">
        <f t="shared" si="14"/>
        <v>0.27999999999999997</v>
      </c>
      <c r="H64" s="57">
        <f t="shared" si="15"/>
        <v>0.24</v>
      </c>
      <c r="I64" s="57">
        <v>0.2</v>
      </c>
      <c r="J64" s="57">
        <f t="shared" si="16"/>
        <v>0.16000000000000003</v>
      </c>
      <c r="K64" s="57" t="s">
        <v>180</v>
      </c>
      <c r="L64" s="66" t="s">
        <v>15</v>
      </c>
      <c r="M64" s="63" t="s">
        <v>15</v>
      </c>
      <c r="N64" s="57" t="s">
        <v>262</v>
      </c>
      <c r="O64" s="57" t="s">
        <v>262</v>
      </c>
      <c r="P64" s="57" t="s">
        <v>262</v>
      </c>
      <c r="Q64" s="74"/>
      <c r="R64" s="61"/>
      <c r="S64" s="83"/>
      <c r="T64" s="64" t="s">
        <v>265</v>
      </c>
      <c r="U64" s="61" t="s">
        <v>258</v>
      </c>
      <c r="V64" s="61" t="s">
        <v>59</v>
      </c>
    </row>
    <row r="65" spans="1:22" s="65" customFormat="1" ht="60" customHeight="1">
      <c r="A65" s="61" t="s">
        <v>175</v>
      </c>
      <c r="B65" s="61" t="s">
        <v>51</v>
      </c>
      <c r="C65" s="62">
        <v>105</v>
      </c>
      <c r="D65" s="61" t="s">
        <v>266</v>
      </c>
      <c r="E65" s="61" t="s">
        <v>266</v>
      </c>
      <c r="F65" s="57">
        <f t="shared" si="13"/>
        <v>3.2</v>
      </c>
      <c r="G65" s="57">
        <f t="shared" si="14"/>
        <v>2.8</v>
      </c>
      <c r="H65" s="57">
        <f t="shared" si="15"/>
        <v>2.4</v>
      </c>
      <c r="I65" s="57">
        <v>2</v>
      </c>
      <c r="J65" s="57">
        <f t="shared" si="16"/>
        <v>1.6</v>
      </c>
      <c r="K65" s="57" t="s">
        <v>98</v>
      </c>
      <c r="L65" s="66">
        <v>1.5</v>
      </c>
      <c r="M65" s="63">
        <v>1.7999999999999998</v>
      </c>
      <c r="N65" s="57">
        <f>(1.241+0.977+1.511)/3</f>
        <v>1.2430000000000001</v>
      </c>
      <c r="O65" s="57">
        <f>(1.01+0.98+1.231)/3</f>
        <v>1.0736666666666668</v>
      </c>
      <c r="P65" s="74" t="s">
        <v>54</v>
      </c>
      <c r="Q65" s="74"/>
      <c r="R65" s="61"/>
      <c r="S65" s="83"/>
      <c r="T65" s="64" t="s">
        <v>267</v>
      </c>
      <c r="U65" s="61" t="s">
        <v>258</v>
      </c>
      <c r="V65" s="61" t="s">
        <v>59</v>
      </c>
    </row>
    <row r="66" spans="1:22" s="65" customFormat="1" ht="60" customHeight="1">
      <c r="A66" s="61" t="s">
        <v>175</v>
      </c>
      <c r="B66" s="61" t="s">
        <v>51</v>
      </c>
      <c r="C66" s="62">
        <v>106</v>
      </c>
      <c r="D66" s="61" t="s">
        <v>268</v>
      </c>
      <c r="E66" s="61" t="s">
        <v>268</v>
      </c>
      <c r="F66" s="57">
        <f t="shared" si="13"/>
        <v>0.32000000000000006</v>
      </c>
      <c r="G66" s="57">
        <f t="shared" si="14"/>
        <v>0.27999999999999997</v>
      </c>
      <c r="H66" s="57">
        <f t="shared" si="15"/>
        <v>0.24</v>
      </c>
      <c r="I66" s="57">
        <v>0.2</v>
      </c>
      <c r="J66" s="57">
        <f t="shared" si="16"/>
        <v>0.16000000000000003</v>
      </c>
      <c r="K66" s="57" t="s">
        <v>180</v>
      </c>
      <c r="L66" s="66">
        <v>0.6</v>
      </c>
      <c r="M66" s="63">
        <v>0.78</v>
      </c>
      <c r="N66" s="57">
        <f>(0.551+0.673+0.612)/3</f>
        <v>0.6120000000000001</v>
      </c>
      <c r="O66" s="57">
        <f>(0.667+0.764+0.643)/3</f>
        <v>0.69133333333333324</v>
      </c>
      <c r="P66" s="74" t="s">
        <v>54</v>
      </c>
      <c r="Q66" s="74"/>
      <c r="R66" s="61"/>
      <c r="S66" s="83"/>
      <c r="T66" s="64" t="s">
        <v>269</v>
      </c>
      <c r="U66" s="61" t="s">
        <v>258</v>
      </c>
      <c r="V66" s="61" t="s">
        <v>59</v>
      </c>
    </row>
    <row r="67" spans="1:22" s="65" customFormat="1" ht="60" customHeight="1">
      <c r="A67" s="61" t="s">
        <v>50</v>
      </c>
      <c r="B67" s="61" t="s">
        <v>51</v>
      </c>
      <c r="C67" s="62">
        <v>107</v>
      </c>
      <c r="D67" s="61" t="s">
        <v>270</v>
      </c>
      <c r="E67" s="61" t="s">
        <v>270</v>
      </c>
      <c r="F67" s="57">
        <f t="shared" si="13"/>
        <v>6.4</v>
      </c>
      <c r="G67" s="57">
        <f t="shared" si="14"/>
        <v>5.6</v>
      </c>
      <c r="H67" s="57">
        <f t="shared" si="15"/>
        <v>4.8</v>
      </c>
      <c r="I67" s="57">
        <v>4</v>
      </c>
      <c r="J67" s="57">
        <f t="shared" si="16"/>
        <v>3.2</v>
      </c>
      <c r="K67" s="57" t="s">
        <v>98</v>
      </c>
      <c r="L67" s="66">
        <v>6</v>
      </c>
      <c r="M67" s="63">
        <v>7</v>
      </c>
      <c r="N67" s="57">
        <f>(5.3+4.4+4.366)/3</f>
        <v>4.6886666666666663</v>
      </c>
      <c r="O67" s="57">
        <f>(8.01+7.651+7.03)/3</f>
        <v>7.5636666666666663</v>
      </c>
      <c r="P67" s="74" t="s">
        <v>54</v>
      </c>
      <c r="Q67" s="57" t="s">
        <v>55</v>
      </c>
      <c r="R67" s="61"/>
      <c r="S67" s="83"/>
      <c r="T67" s="64" t="s">
        <v>271</v>
      </c>
      <c r="U67" s="61" t="s">
        <v>258</v>
      </c>
      <c r="V67" s="61" t="s">
        <v>59</v>
      </c>
    </row>
    <row r="68" spans="1:22" s="65" customFormat="1" ht="60" customHeight="1">
      <c r="A68" s="61" t="s">
        <v>175</v>
      </c>
      <c r="B68" s="61" t="s">
        <v>51</v>
      </c>
      <c r="C68" s="62">
        <v>108</v>
      </c>
      <c r="D68" s="61" t="s">
        <v>272</v>
      </c>
      <c r="E68" s="61" t="s">
        <v>272</v>
      </c>
      <c r="F68" s="57">
        <f t="shared" si="13"/>
        <v>0.32000000000000006</v>
      </c>
      <c r="G68" s="57">
        <f t="shared" si="14"/>
        <v>0.27999999999999997</v>
      </c>
      <c r="H68" s="57">
        <f t="shared" si="15"/>
        <v>0.24</v>
      </c>
      <c r="I68" s="57">
        <v>0.2</v>
      </c>
      <c r="J68" s="57">
        <f t="shared" si="16"/>
        <v>0.16000000000000003</v>
      </c>
      <c r="K68" s="57" t="s">
        <v>180</v>
      </c>
      <c r="L68" s="66">
        <v>0.5</v>
      </c>
      <c r="M68" s="63">
        <v>0.65</v>
      </c>
      <c r="N68" s="57">
        <f>(0.2+0.133+0.167)/3</f>
        <v>0.16666666666666666</v>
      </c>
      <c r="O68" s="57">
        <f>(0.937+0.77+0.6)/3</f>
        <v>0.76900000000000002</v>
      </c>
      <c r="P68" s="74" t="s">
        <v>54</v>
      </c>
      <c r="Q68" s="74"/>
      <c r="R68" s="61"/>
      <c r="S68" s="83"/>
      <c r="T68" s="64" t="s">
        <v>273</v>
      </c>
      <c r="U68" s="61" t="s">
        <v>258</v>
      </c>
      <c r="V68" s="61" t="s">
        <v>59</v>
      </c>
    </row>
    <row r="69" spans="1:22" s="65" customFormat="1" ht="60" customHeight="1">
      <c r="A69" s="61" t="s">
        <v>175</v>
      </c>
      <c r="B69" s="61" t="s">
        <v>51</v>
      </c>
      <c r="C69" s="62">
        <v>109</v>
      </c>
      <c r="D69" s="61" t="s">
        <v>274</v>
      </c>
      <c r="E69" s="61" t="s">
        <v>274</v>
      </c>
      <c r="F69" s="57">
        <f t="shared" si="13"/>
        <v>3.2</v>
      </c>
      <c r="G69" s="57">
        <f t="shared" si="14"/>
        <v>2.8</v>
      </c>
      <c r="H69" s="57">
        <f t="shared" si="15"/>
        <v>2.4</v>
      </c>
      <c r="I69" s="57">
        <v>2</v>
      </c>
      <c r="J69" s="57">
        <f t="shared" si="16"/>
        <v>1.6</v>
      </c>
      <c r="K69" s="57" t="s">
        <v>98</v>
      </c>
      <c r="L69" s="66">
        <v>4</v>
      </c>
      <c r="M69" s="63">
        <v>4.5999999999999996</v>
      </c>
      <c r="N69" s="57">
        <f>(4.5+4.6+4.533)/3</f>
        <v>4.5443333333333333</v>
      </c>
      <c r="O69" s="84">
        <f>(3.91+3.776+3.877)/3</f>
        <v>3.8543333333333329</v>
      </c>
      <c r="P69" s="74" t="s">
        <v>54</v>
      </c>
      <c r="Q69" s="74"/>
      <c r="R69" s="61"/>
      <c r="S69" s="83"/>
      <c r="T69" s="64" t="s">
        <v>275</v>
      </c>
      <c r="U69" s="61" t="s">
        <v>258</v>
      </c>
      <c r="V69" s="61" t="s">
        <v>59</v>
      </c>
    </row>
    <row r="70" spans="1:22" s="65" customFormat="1" ht="60" customHeight="1">
      <c r="A70" s="61" t="s">
        <v>175</v>
      </c>
      <c r="B70" s="61" t="s">
        <v>51</v>
      </c>
      <c r="C70" s="62">
        <v>110</v>
      </c>
      <c r="D70" s="61" t="s">
        <v>276</v>
      </c>
      <c r="E70" s="61" t="s">
        <v>276</v>
      </c>
      <c r="F70" s="57">
        <f t="shared" si="13"/>
        <v>0.32000000000000006</v>
      </c>
      <c r="G70" s="57">
        <f t="shared" si="14"/>
        <v>0.27999999999999997</v>
      </c>
      <c r="H70" s="57">
        <f t="shared" si="15"/>
        <v>0.24</v>
      </c>
      <c r="I70" s="57">
        <v>0.2</v>
      </c>
      <c r="J70" s="57">
        <f t="shared" si="16"/>
        <v>0.16000000000000003</v>
      </c>
      <c r="K70" s="57" t="s">
        <v>180</v>
      </c>
      <c r="L70" s="66">
        <v>1</v>
      </c>
      <c r="M70" s="57">
        <v>1.2</v>
      </c>
      <c r="N70" s="57">
        <f>(4.567+4.366+4.534)/3</f>
        <v>4.4889999999999999</v>
      </c>
      <c r="O70" s="84">
        <f>(3.665+2.549+2.587)/3</f>
        <v>2.9336666666666669</v>
      </c>
      <c r="P70" s="74" t="s">
        <v>54</v>
      </c>
      <c r="Q70" s="74"/>
      <c r="R70" s="61"/>
      <c r="S70" s="83"/>
      <c r="T70" s="64" t="s">
        <v>277</v>
      </c>
      <c r="U70" s="61" t="s">
        <v>258</v>
      </c>
      <c r="V70" s="61" t="s">
        <v>59</v>
      </c>
    </row>
    <row r="71" spans="1:22" s="65" customFormat="1" ht="60" customHeight="1">
      <c r="A71" s="61" t="s">
        <v>50</v>
      </c>
      <c r="B71" s="61" t="s">
        <v>51</v>
      </c>
      <c r="C71" s="62">
        <v>111</v>
      </c>
      <c r="D71" s="61" t="s">
        <v>278</v>
      </c>
      <c r="E71" s="61" t="s">
        <v>278</v>
      </c>
      <c r="F71" s="57">
        <f t="shared" si="13"/>
        <v>3.2</v>
      </c>
      <c r="G71" s="57">
        <f t="shared" si="14"/>
        <v>2.8</v>
      </c>
      <c r="H71" s="57">
        <f t="shared" si="15"/>
        <v>2.4</v>
      </c>
      <c r="I71" s="57">
        <v>2</v>
      </c>
      <c r="J71" s="57">
        <f t="shared" si="16"/>
        <v>1.6</v>
      </c>
      <c r="K71" s="57" t="s">
        <v>98</v>
      </c>
      <c r="L71" s="66" t="s">
        <v>15</v>
      </c>
      <c r="M71" s="63" t="s">
        <v>15</v>
      </c>
      <c r="N71" s="57" t="s">
        <v>15</v>
      </c>
      <c r="O71" s="57" t="s">
        <v>15</v>
      </c>
      <c r="P71" s="57" t="s">
        <v>262</v>
      </c>
      <c r="Q71" s="74"/>
      <c r="R71" s="61"/>
      <c r="S71" s="83"/>
      <c r="T71" s="64" t="s">
        <v>279</v>
      </c>
      <c r="U71" s="61" t="s">
        <v>258</v>
      </c>
      <c r="V71" s="61" t="s">
        <v>59</v>
      </c>
    </row>
    <row r="72" spans="1:22" s="65" customFormat="1" ht="60" customHeight="1">
      <c r="A72" s="61" t="s">
        <v>175</v>
      </c>
      <c r="B72" s="61" t="s">
        <v>51</v>
      </c>
      <c r="C72" s="62">
        <v>112</v>
      </c>
      <c r="D72" s="61" t="s">
        <v>280</v>
      </c>
      <c r="E72" s="61" t="s">
        <v>280</v>
      </c>
      <c r="F72" s="57">
        <f t="shared" si="13"/>
        <v>0.32000000000000006</v>
      </c>
      <c r="G72" s="57">
        <f t="shared" si="14"/>
        <v>0.27999999999999997</v>
      </c>
      <c r="H72" s="57">
        <f t="shared" si="15"/>
        <v>0.24</v>
      </c>
      <c r="I72" s="57">
        <v>0.2</v>
      </c>
      <c r="J72" s="57">
        <f t="shared" si="16"/>
        <v>0.16000000000000003</v>
      </c>
      <c r="K72" s="57" t="s">
        <v>180</v>
      </c>
      <c r="L72" s="66" t="s">
        <v>15</v>
      </c>
      <c r="M72" s="63" t="s">
        <v>15</v>
      </c>
      <c r="N72" s="57" t="s">
        <v>262</v>
      </c>
      <c r="O72" s="57" t="s">
        <v>262</v>
      </c>
      <c r="P72" s="57" t="s">
        <v>262</v>
      </c>
      <c r="Q72" s="74"/>
      <c r="R72" s="61"/>
      <c r="S72" s="83"/>
      <c r="T72" s="64" t="s">
        <v>281</v>
      </c>
      <c r="U72" s="61" t="s">
        <v>258</v>
      </c>
      <c r="V72" s="61" t="s">
        <v>59</v>
      </c>
    </row>
    <row r="73" spans="1:22" s="65" customFormat="1" ht="60" customHeight="1">
      <c r="A73" s="61" t="s">
        <v>175</v>
      </c>
      <c r="B73" s="61" t="s">
        <v>51</v>
      </c>
      <c r="C73" s="62">
        <v>113</v>
      </c>
      <c r="D73" s="61" t="s">
        <v>282</v>
      </c>
      <c r="E73" s="61" t="s">
        <v>282</v>
      </c>
      <c r="F73" s="57">
        <f t="shared" si="13"/>
        <v>3.2</v>
      </c>
      <c r="G73" s="57">
        <f t="shared" si="14"/>
        <v>2.8</v>
      </c>
      <c r="H73" s="57">
        <f t="shared" si="15"/>
        <v>2.4</v>
      </c>
      <c r="I73" s="57">
        <v>2</v>
      </c>
      <c r="J73" s="57">
        <f t="shared" si="16"/>
        <v>1.6</v>
      </c>
      <c r="K73" s="57" t="s">
        <v>98</v>
      </c>
      <c r="L73" s="66">
        <v>1.5</v>
      </c>
      <c r="M73" s="63">
        <v>1.7999999999999998</v>
      </c>
      <c r="N73" s="57">
        <f>(1.371+0.974+1.018)/3</f>
        <v>1.1209999999999998</v>
      </c>
      <c r="O73" s="57">
        <f>(1.39+1.44+1.64)/3</f>
        <v>1.49</v>
      </c>
      <c r="P73" s="74" t="s">
        <v>79</v>
      </c>
      <c r="Q73" s="74"/>
      <c r="R73" s="61"/>
      <c r="S73" s="83"/>
      <c r="T73" s="64" t="s">
        <v>283</v>
      </c>
      <c r="U73" s="61" t="s">
        <v>258</v>
      </c>
      <c r="V73" s="61" t="s">
        <v>59</v>
      </c>
    </row>
    <row r="74" spans="1:22" s="65" customFormat="1" ht="60" customHeight="1">
      <c r="A74" s="61" t="s">
        <v>175</v>
      </c>
      <c r="B74" s="61" t="s">
        <v>51</v>
      </c>
      <c r="C74" s="62">
        <v>114</v>
      </c>
      <c r="D74" s="61" t="s">
        <v>284</v>
      </c>
      <c r="E74" s="61" t="s">
        <v>284</v>
      </c>
      <c r="F74" s="57">
        <f t="shared" si="13"/>
        <v>0.32000000000000006</v>
      </c>
      <c r="G74" s="57">
        <f t="shared" si="14"/>
        <v>0.27999999999999997</v>
      </c>
      <c r="H74" s="57">
        <f t="shared" si="15"/>
        <v>0.24</v>
      </c>
      <c r="I74" s="57">
        <v>0.2</v>
      </c>
      <c r="J74" s="57">
        <f t="shared" si="16"/>
        <v>0.16000000000000003</v>
      </c>
      <c r="K74" s="57" t="s">
        <v>180</v>
      </c>
      <c r="L74" s="66">
        <v>1</v>
      </c>
      <c r="M74" s="63">
        <v>1.2</v>
      </c>
      <c r="N74" s="57">
        <f>(0.946+1.024+0.834)/3</f>
        <v>0.93466666666666665</v>
      </c>
      <c r="O74" s="57">
        <f>(0.543+0.577+0.611)/3</f>
        <v>0.57700000000000007</v>
      </c>
      <c r="P74" s="74" t="s">
        <v>79</v>
      </c>
      <c r="Q74" s="74"/>
      <c r="R74" s="61"/>
      <c r="S74" s="83"/>
      <c r="T74" s="64" t="s">
        <v>285</v>
      </c>
      <c r="U74" s="61" t="s">
        <v>258</v>
      </c>
      <c r="V74" s="61" t="s">
        <v>59</v>
      </c>
    </row>
    <row r="75" spans="1:22" s="65" customFormat="1" ht="60" customHeight="1">
      <c r="A75" s="61" t="s">
        <v>50</v>
      </c>
      <c r="B75" s="61" t="s">
        <v>51</v>
      </c>
      <c r="C75" s="62">
        <v>115</v>
      </c>
      <c r="D75" s="61" t="s">
        <v>286</v>
      </c>
      <c r="E75" s="61" t="s">
        <v>286</v>
      </c>
      <c r="F75" s="57">
        <f t="shared" si="13"/>
        <v>2.4000000000000004</v>
      </c>
      <c r="G75" s="57">
        <f t="shared" si="14"/>
        <v>2.0999999999999996</v>
      </c>
      <c r="H75" s="57">
        <f t="shared" si="15"/>
        <v>1.7999999999999998</v>
      </c>
      <c r="I75" s="57">
        <v>1.5</v>
      </c>
      <c r="J75" s="57">
        <f t="shared" si="16"/>
        <v>1.2000000000000002</v>
      </c>
      <c r="K75" s="57" t="s">
        <v>98</v>
      </c>
      <c r="L75" s="66">
        <v>1.5</v>
      </c>
      <c r="M75" s="63">
        <v>1.7999999999999998</v>
      </c>
      <c r="N75" s="57">
        <f>(1.095+0.898+0.923)/3</f>
        <v>0.97199999999999998</v>
      </c>
      <c r="O75" s="57">
        <f>(0.882+0.943+0.994)/3</f>
        <v>0.93966666666666665</v>
      </c>
      <c r="P75" s="74" t="s">
        <v>79</v>
      </c>
      <c r="Q75" s="74"/>
      <c r="R75" s="61"/>
      <c r="S75" s="83"/>
      <c r="T75" s="64" t="s">
        <v>287</v>
      </c>
      <c r="U75" s="61" t="s">
        <v>258</v>
      </c>
      <c r="V75" s="61" t="s">
        <v>59</v>
      </c>
    </row>
    <row r="76" spans="1:22" s="65" customFormat="1" ht="60" customHeight="1">
      <c r="A76" s="61" t="s">
        <v>175</v>
      </c>
      <c r="B76" s="61" t="s">
        <v>51</v>
      </c>
      <c r="C76" s="62">
        <v>116</v>
      </c>
      <c r="D76" s="61" t="s">
        <v>288</v>
      </c>
      <c r="E76" s="61" t="s">
        <v>288</v>
      </c>
      <c r="F76" s="57">
        <f t="shared" si="13"/>
        <v>0.32000000000000006</v>
      </c>
      <c r="G76" s="57">
        <f t="shared" si="14"/>
        <v>0.27999999999999997</v>
      </c>
      <c r="H76" s="57">
        <f t="shared" si="15"/>
        <v>0.24</v>
      </c>
      <c r="I76" s="57">
        <v>0.2</v>
      </c>
      <c r="J76" s="57">
        <f t="shared" si="16"/>
        <v>0.16000000000000003</v>
      </c>
      <c r="K76" s="57" t="s">
        <v>180</v>
      </c>
      <c r="L76" s="66">
        <v>1</v>
      </c>
      <c r="M76" s="63">
        <v>1.2</v>
      </c>
      <c r="N76" s="57">
        <f>(0.607+0.733+0.625)/3</f>
        <v>0.65499999999999992</v>
      </c>
      <c r="O76" s="57">
        <f>(0.766+0.579+0.582)/3</f>
        <v>0.64233333333333331</v>
      </c>
      <c r="P76" s="74" t="s">
        <v>79</v>
      </c>
      <c r="Q76" s="74"/>
      <c r="R76" s="61"/>
      <c r="S76" s="83"/>
      <c r="T76" s="64" t="s">
        <v>289</v>
      </c>
      <c r="U76" s="61" t="s">
        <v>258</v>
      </c>
      <c r="V76" s="61" t="s">
        <v>59</v>
      </c>
    </row>
    <row r="77" spans="1:22" s="65" customFormat="1" ht="60" customHeight="1">
      <c r="A77" s="61" t="s">
        <v>175</v>
      </c>
      <c r="B77" s="61" t="s">
        <v>51</v>
      </c>
      <c r="C77" s="62">
        <v>117</v>
      </c>
      <c r="D77" s="61" t="s">
        <v>290</v>
      </c>
      <c r="E77" s="61" t="s">
        <v>290</v>
      </c>
      <c r="F77" s="57">
        <f t="shared" si="13"/>
        <v>3.2</v>
      </c>
      <c r="G77" s="57">
        <f t="shared" si="14"/>
        <v>2.8</v>
      </c>
      <c r="H77" s="57">
        <f t="shared" si="15"/>
        <v>2.4</v>
      </c>
      <c r="I77" s="57">
        <v>2</v>
      </c>
      <c r="J77" s="57">
        <f t="shared" si="16"/>
        <v>1.6</v>
      </c>
      <c r="K77" s="57" t="s">
        <v>98</v>
      </c>
      <c r="L77" s="66">
        <v>12</v>
      </c>
      <c r="M77" s="63">
        <v>12.600000000000001</v>
      </c>
      <c r="N77" s="57">
        <v>9.2606666670000006</v>
      </c>
      <c r="O77" s="57">
        <f>(12.82+11.73+11.08)/3</f>
        <v>11.876666666666667</v>
      </c>
      <c r="P77" s="74"/>
      <c r="Q77" s="74"/>
      <c r="R77" s="61"/>
      <c r="S77" s="83" t="s">
        <v>291</v>
      </c>
      <c r="T77" s="64" t="s">
        <v>292</v>
      </c>
      <c r="U77" s="61" t="s">
        <v>293</v>
      </c>
      <c r="V77" s="61" t="s">
        <v>59</v>
      </c>
    </row>
    <row r="78" spans="1:22" s="65" customFormat="1" ht="60" customHeight="1">
      <c r="A78" s="61" t="s">
        <v>50</v>
      </c>
      <c r="B78" s="61" t="s">
        <v>51</v>
      </c>
      <c r="C78" s="62">
        <v>118</v>
      </c>
      <c r="D78" s="61" t="s">
        <v>294</v>
      </c>
      <c r="E78" s="61" t="s">
        <v>294</v>
      </c>
      <c r="F78" s="57">
        <f t="shared" si="13"/>
        <v>3.2</v>
      </c>
      <c r="G78" s="57">
        <f t="shared" si="14"/>
        <v>2.8</v>
      </c>
      <c r="H78" s="57">
        <f t="shared" si="15"/>
        <v>2.4</v>
      </c>
      <c r="I78" s="57">
        <v>2</v>
      </c>
      <c r="J78" s="57">
        <f t="shared" si="16"/>
        <v>1.6</v>
      </c>
      <c r="K78" s="57" t="s">
        <v>98</v>
      </c>
      <c r="L78" s="66" t="s">
        <v>15</v>
      </c>
      <c r="M78" s="63" t="s">
        <v>15</v>
      </c>
      <c r="N78" s="57" t="s">
        <v>262</v>
      </c>
      <c r="O78" s="57" t="s">
        <v>262</v>
      </c>
      <c r="P78" s="57" t="s">
        <v>262</v>
      </c>
      <c r="Q78" s="74"/>
      <c r="R78" s="61"/>
      <c r="S78" s="83"/>
      <c r="T78" s="64" t="s">
        <v>295</v>
      </c>
      <c r="U78" s="61" t="s">
        <v>258</v>
      </c>
      <c r="V78" s="61" t="s">
        <v>59</v>
      </c>
    </row>
    <row r="79" spans="1:22" s="65" customFormat="1" ht="60" customHeight="1">
      <c r="A79" s="61" t="s">
        <v>175</v>
      </c>
      <c r="B79" s="61" t="s">
        <v>51</v>
      </c>
      <c r="C79" s="62">
        <v>119</v>
      </c>
      <c r="D79" s="61" t="s">
        <v>296</v>
      </c>
      <c r="E79" s="61" t="s">
        <v>296</v>
      </c>
      <c r="F79" s="57">
        <f t="shared" si="13"/>
        <v>0.32000000000000006</v>
      </c>
      <c r="G79" s="57">
        <f t="shared" si="14"/>
        <v>0.27999999999999997</v>
      </c>
      <c r="H79" s="57">
        <f t="shared" si="15"/>
        <v>0.24</v>
      </c>
      <c r="I79" s="57">
        <v>0.2</v>
      </c>
      <c r="J79" s="57">
        <f t="shared" si="16"/>
        <v>0.16000000000000003</v>
      </c>
      <c r="K79" s="57" t="s">
        <v>180</v>
      </c>
      <c r="L79" s="66" t="s">
        <v>15</v>
      </c>
      <c r="M79" s="63" t="s">
        <v>15</v>
      </c>
      <c r="N79" s="57" t="s">
        <v>262</v>
      </c>
      <c r="O79" s="57" t="s">
        <v>262</v>
      </c>
      <c r="P79" s="57" t="s">
        <v>262</v>
      </c>
      <c r="Q79" s="74"/>
      <c r="R79" s="61"/>
      <c r="S79" s="83"/>
      <c r="T79" s="64" t="s">
        <v>297</v>
      </c>
      <c r="U79" s="61" t="s">
        <v>258</v>
      </c>
      <c r="V79" s="61" t="s">
        <v>59</v>
      </c>
    </row>
    <row r="80" spans="1:22" s="65" customFormat="1" ht="60" customHeight="1">
      <c r="A80" s="61" t="s">
        <v>50</v>
      </c>
      <c r="B80" s="61" t="s">
        <v>51</v>
      </c>
      <c r="C80" s="62">
        <v>120</v>
      </c>
      <c r="D80" s="61" t="s">
        <v>298</v>
      </c>
      <c r="E80" s="61" t="s">
        <v>298</v>
      </c>
      <c r="F80" s="57">
        <f t="shared" si="13"/>
        <v>3.2</v>
      </c>
      <c r="G80" s="57">
        <f t="shared" si="14"/>
        <v>2.8</v>
      </c>
      <c r="H80" s="57">
        <f t="shared" si="15"/>
        <v>2.4</v>
      </c>
      <c r="I80" s="57">
        <v>2</v>
      </c>
      <c r="J80" s="57">
        <f t="shared" si="16"/>
        <v>1.6</v>
      </c>
      <c r="K80" s="57" t="s">
        <v>98</v>
      </c>
      <c r="L80" s="66" t="s">
        <v>15</v>
      </c>
      <c r="M80" s="63" t="s">
        <v>15</v>
      </c>
      <c r="N80" s="57" t="s">
        <v>262</v>
      </c>
      <c r="O80" s="57" t="s">
        <v>262</v>
      </c>
      <c r="P80" s="57" t="s">
        <v>262</v>
      </c>
      <c r="Q80" s="74"/>
      <c r="R80" s="61"/>
      <c r="S80" s="83"/>
      <c r="T80" s="64" t="s">
        <v>299</v>
      </c>
      <c r="U80" s="61" t="s">
        <v>258</v>
      </c>
      <c r="V80" s="61" t="s">
        <v>59</v>
      </c>
    </row>
    <row r="81" spans="1:22" s="65" customFormat="1" ht="60" customHeight="1">
      <c r="A81" s="61" t="s">
        <v>175</v>
      </c>
      <c r="B81" s="61" t="s">
        <v>51</v>
      </c>
      <c r="C81" s="62">
        <v>121</v>
      </c>
      <c r="D81" s="61" t="s">
        <v>300</v>
      </c>
      <c r="E81" s="61" t="s">
        <v>300</v>
      </c>
      <c r="F81" s="57">
        <f t="shared" si="13"/>
        <v>0.32000000000000006</v>
      </c>
      <c r="G81" s="57">
        <f t="shared" si="14"/>
        <v>0.27999999999999997</v>
      </c>
      <c r="H81" s="57">
        <f t="shared" si="15"/>
        <v>0.24</v>
      </c>
      <c r="I81" s="57">
        <v>0.2</v>
      </c>
      <c r="J81" s="57">
        <f t="shared" si="16"/>
        <v>0.16000000000000003</v>
      </c>
      <c r="K81" s="57" t="s">
        <v>180</v>
      </c>
      <c r="L81" s="67" t="s">
        <v>15</v>
      </c>
      <c r="M81" s="63" t="s">
        <v>15</v>
      </c>
      <c r="N81" s="57" t="s">
        <v>262</v>
      </c>
      <c r="O81" s="57" t="s">
        <v>262</v>
      </c>
      <c r="P81" s="57" t="s">
        <v>262</v>
      </c>
      <c r="Q81" s="74"/>
      <c r="R81" s="61"/>
      <c r="S81" s="83"/>
      <c r="T81" s="64" t="s">
        <v>301</v>
      </c>
      <c r="U81" s="61" t="s">
        <v>258</v>
      </c>
      <c r="V81" s="61" t="s">
        <v>59</v>
      </c>
    </row>
    <row r="82" spans="1:22" s="65" customFormat="1" ht="60" customHeight="1">
      <c r="A82" s="61" t="s">
        <v>175</v>
      </c>
      <c r="B82" s="61" t="s">
        <v>51</v>
      </c>
      <c r="C82" s="62">
        <v>122</v>
      </c>
      <c r="D82" s="61" t="s">
        <v>302</v>
      </c>
      <c r="E82" s="61" t="s">
        <v>302</v>
      </c>
      <c r="F82" s="57">
        <f t="shared" si="13"/>
        <v>3.2</v>
      </c>
      <c r="G82" s="57">
        <f t="shared" si="14"/>
        <v>2.8</v>
      </c>
      <c r="H82" s="57">
        <f t="shared" si="15"/>
        <v>2.4</v>
      </c>
      <c r="I82" s="57">
        <v>2</v>
      </c>
      <c r="J82" s="57">
        <f t="shared" si="16"/>
        <v>1.6</v>
      </c>
      <c r="K82" s="57" t="s">
        <v>98</v>
      </c>
      <c r="L82" s="67" t="s">
        <v>15</v>
      </c>
      <c r="M82" s="63" t="s">
        <v>15</v>
      </c>
      <c r="N82" s="57" t="s">
        <v>262</v>
      </c>
      <c r="O82" s="57" t="s">
        <v>262</v>
      </c>
      <c r="P82" s="57" t="s">
        <v>262</v>
      </c>
      <c r="Q82" s="74"/>
      <c r="R82" s="61"/>
      <c r="S82" s="83"/>
      <c r="T82" s="64" t="s">
        <v>303</v>
      </c>
      <c r="U82" s="61" t="s">
        <v>258</v>
      </c>
      <c r="V82" s="61" t="s">
        <v>59</v>
      </c>
    </row>
    <row r="83" spans="1:22" s="65" customFormat="1" ht="60" customHeight="1">
      <c r="A83" s="61" t="s">
        <v>175</v>
      </c>
      <c r="B83" s="61" t="s">
        <v>51</v>
      </c>
      <c r="C83" s="62">
        <v>123</v>
      </c>
      <c r="D83" s="61" t="s">
        <v>304</v>
      </c>
      <c r="E83" s="61" t="s">
        <v>304</v>
      </c>
      <c r="F83" s="57">
        <f t="shared" si="13"/>
        <v>0.32000000000000006</v>
      </c>
      <c r="G83" s="57">
        <f t="shared" si="14"/>
        <v>0.27999999999999997</v>
      </c>
      <c r="H83" s="57">
        <f t="shared" si="15"/>
        <v>0.24</v>
      </c>
      <c r="I83" s="57">
        <v>0.2</v>
      </c>
      <c r="J83" s="57">
        <f t="shared" si="16"/>
        <v>0.16000000000000003</v>
      </c>
      <c r="K83" s="57" t="s">
        <v>180</v>
      </c>
      <c r="L83" s="67" t="s">
        <v>15</v>
      </c>
      <c r="M83" s="63" t="s">
        <v>15</v>
      </c>
      <c r="N83" s="57" t="s">
        <v>262</v>
      </c>
      <c r="O83" s="57" t="s">
        <v>262</v>
      </c>
      <c r="P83" s="57" t="s">
        <v>262</v>
      </c>
      <c r="Q83" s="74"/>
      <c r="R83" s="61"/>
      <c r="S83" s="83"/>
      <c r="T83" s="64" t="s">
        <v>305</v>
      </c>
      <c r="U83" s="61" t="s">
        <v>258</v>
      </c>
      <c r="V83" s="61" t="s">
        <v>59</v>
      </c>
    </row>
    <row r="84" spans="1:22" s="65" customFormat="1" ht="60" customHeight="1">
      <c r="A84" s="61" t="s">
        <v>50</v>
      </c>
      <c r="B84" s="61" t="s">
        <v>51</v>
      </c>
      <c r="C84" s="62">
        <v>124</v>
      </c>
      <c r="D84" s="61" t="s">
        <v>306</v>
      </c>
      <c r="E84" s="61" t="s">
        <v>306</v>
      </c>
      <c r="F84" s="57">
        <f t="shared" si="13"/>
        <v>3.2</v>
      </c>
      <c r="G84" s="57">
        <f t="shared" si="14"/>
        <v>2.8</v>
      </c>
      <c r="H84" s="57">
        <f t="shared" si="15"/>
        <v>2.4</v>
      </c>
      <c r="I84" s="57">
        <v>2</v>
      </c>
      <c r="J84" s="57">
        <f t="shared" si="16"/>
        <v>1.6</v>
      </c>
      <c r="K84" s="57" t="s">
        <v>98</v>
      </c>
      <c r="L84" s="66">
        <v>1</v>
      </c>
      <c r="M84" s="63">
        <v>1.2</v>
      </c>
      <c r="N84" s="57">
        <f>(0.7+0.667+0.666)/3</f>
        <v>0.67766666666666664</v>
      </c>
      <c r="O84" s="57">
        <f>(0.936+1.237+0.936)/3</f>
        <v>1.0363333333333333</v>
      </c>
      <c r="P84" s="74" t="s">
        <v>54</v>
      </c>
      <c r="Q84" s="74"/>
      <c r="R84" s="61"/>
      <c r="S84" s="83"/>
      <c r="T84" s="64" t="s">
        <v>307</v>
      </c>
      <c r="U84" s="61" t="s">
        <v>308</v>
      </c>
      <c r="V84" s="61" t="s">
        <v>59</v>
      </c>
    </row>
    <row r="85" spans="1:22" s="65" customFormat="1" ht="60" customHeight="1">
      <c r="A85" s="61" t="s">
        <v>175</v>
      </c>
      <c r="B85" s="61" t="s">
        <v>51</v>
      </c>
      <c r="C85" s="62">
        <v>125</v>
      </c>
      <c r="D85" s="61" t="s">
        <v>309</v>
      </c>
      <c r="E85" s="61" t="s">
        <v>309</v>
      </c>
      <c r="F85" s="57">
        <f t="shared" si="13"/>
        <v>0.32000000000000006</v>
      </c>
      <c r="G85" s="57">
        <f t="shared" si="14"/>
        <v>0.27999999999999997</v>
      </c>
      <c r="H85" s="57">
        <f t="shared" si="15"/>
        <v>0.24</v>
      </c>
      <c r="I85" s="57">
        <v>0.2</v>
      </c>
      <c r="J85" s="57">
        <f t="shared" si="16"/>
        <v>0.16000000000000003</v>
      </c>
      <c r="K85" s="57" t="s">
        <v>180</v>
      </c>
      <c r="L85" s="66">
        <v>1</v>
      </c>
      <c r="M85" s="63">
        <v>1.2</v>
      </c>
      <c r="N85" s="57">
        <f>(0.5+0.566+0.5)/3</f>
        <v>0.52199999999999991</v>
      </c>
      <c r="O85" s="57">
        <f>(0.799+0.688+0.736)/3</f>
        <v>0.74099999999999999</v>
      </c>
      <c r="P85" s="74" t="s">
        <v>54</v>
      </c>
      <c r="Q85" s="74"/>
      <c r="R85" s="61"/>
      <c r="S85" s="83"/>
      <c r="T85" s="64" t="s">
        <v>310</v>
      </c>
      <c r="U85" s="61" t="s">
        <v>308</v>
      </c>
      <c r="V85" s="61" t="s">
        <v>59</v>
      </c>
    </row>
    <row r="86" spans="1:22" s="65" customFormat="1" ht="60" customHeight="1">
      <c r="A86" s="61" t="s">
        <v>175</v>
      </c>
      <c r="B86" s="61" t="s">
        <v>51</v>
      </c>
      <c r="C86" s="62">
        <v>126</v>
      </c>
      <c r="D86" s="61" t="s">
        <v>311</v>
      </c>
      <c r="E86" s="61" t="s">
        <v>311</v>
      </c>
      <c r="F86" s="57">
        <f t="shared" si="13"/>
        <v>3.2</v>
      </c>
      <c r="G86" s="57">
        <f t="shared" si="14"/>
        <v>2.8</v>
      </c>
      <c r="H86" s="57">
        <f t="shared" si="15"/>
        <v>2.4</v>
      </c>
      <c r="I86" s="57">
        <v>2</v>
      </c>
      <c r="J86" s="57">
        <f t="shared" si="16"/>
        <v>1.6</v>
      </c>
      <c r="K86" s="57" t="s">
        <v>98</v>
      </c>
      <c r="L86" s="66">
        <v>1</v>
      </c>
      <c r="M86" s="63">
        <v>1.2</v>
      </c>
      <c r="N86" s="57">
        <f>(1.167+1+0.998)/3</f>
        <v>1.0549999999999999</v>
      </c>
      <c r="O86" s="74">
        <v>0.93333333299999999</v>
      </c>
      <c r="P86" s="74" t="s">
        <v>79</v>
      </c>
      <c r="Q86" s="74"/>
      <c r="R86" s="61"/>
      <c r="S86" s="83"/>
      <c r="T86" s="64" t="s">
        <v>312</v>
      </c>
      <c r="U86" s="61" t="s">
        <v>258</v>
      </c>
      <c r="V86" s="61" t="s">
        <v>59</v>
      </c>
    </row>
    <row r="87" spans="1:22" s="65" customFormat="1" ht="60" customHeight="1">
      <c r="A87" s="61" t="s">
        <v>175</v>
      </c>
      <c r="B87" s="61" t="s">
        <v>51</v>
      </c>
      <c r="C87" s="62">
        <v>127</v>
      </c>
      <c r="D87" s="61" t="s">
        <v>313</v>
      </c>
      <c r="E87" s="61" t="s">
        <v>313</v>
      </c>
      <c r="F87" s="57">
        <f t="shared" si="13"/>
        <v>0.32000000000000006</v>
      </c>
      <c r="G87" s="57">
        <f t="shared" si="14"/>
        <v>0.27999999999999997</v>
      </c>
      <c r="H87" s="57">
        <f t="shared" si="15"/>
        <v>0.24</v>
      </c>
      <c r="I87" s="57">
        <v>0.2</v>
      </c>
      <c r="J87" s="57">
        <f t="shared" si="16"/>
        <v>0.16000000000000003</v>
      </c>
      <c r="K87" s="57" t="s">
        <v>180</v>
      </c>
      <c r="L87" s="66">
        <v>0.6</v>
      </c>
      <c r="M87" s="63">
        <v>0.78</v>
      </c>
      <c r="N87" s="57">
        <f>(0.434+0.334+0.267)/3</f>
        <v>0.34500000000000003</v>
      </c>
      <c r="O87" s="57">
        <f>(0.61+0.412+0.496)/3</f>
        <v>0.50600000000000001</v>
      </c>
      <c r="P87" s="74" t="s">
        <v>79</v>
      </c>
      <c r="Q87" s="74"/>
      <c r="R87" s="61"/>
      <c r="S87" s="83"/>
      <c r="T87" s="64" t="s">
        <v>314</v>
      </c>
      <c r="U87" s="61" t="s">
        <v>258</v>
      </c>
      <c r="V87" s="61" t="s">
        <v>59</v>
      </c>
    </row>
    <row r="88" spans="1:22" s="65" customFormat="1" ht="60" customHeight="1">
      <c r="A88" s="61" t="s">
        <v>175</v>
      </c>
      <c r="B88" s="61" t="s">
        <v>51</v>
      </c>
      <c r="C88" s="62">
        <v>128</v>
      </c>
      <c r="D88" s="61" t="s">
        <v>315</v>
      </c>
      <c r="E88" s="61" t="s">
        <v>315</v>
      </c>
      <c r="F88" s="57">
        <f t="shared" si="13"/>
        <v>3.2</v>
      </c>
      <c r="G88" s="57">
        <f t="shared" si="14"/>
        <v>2.8</v>
      </c>
      <c r="H88" s="57">
        <f t="shared" si="15"/>
        <v>2.4</v>
      </c>
      <c r="I88" s="57">
        <v>2</v>
      </c>
      <c r="J88" s="57">
        <f t="shared" si="16"/>
        <v>1.6</v>
      </c>
      <c r="K88" s="57" t="s">
        <v>98</v>
      </c>
      <c r="L88" s="66">
        <v>4</v>
      </c>
      <c r="M88" s="63">
        <v>4.5999999999999996</v>
      </c>
      <c r="N88" s="57">
        <v>3.24</v>
      </c>
      <c r="O88" s="74">
        <f>(2.299+2.334+2.266)/3</f>
        <v>2.2996666666666665</v>
      </c>
      <c r="P88" s="74" t="s">
        <v>54</v>
      </c>
      <c r="Q88" s="57" t="s">
        <v>55</v>
      </c>
      <c r="R88" s="61"/>
      <c r="S88" s="83"/>
      <c r="T88" s="64" t="s">
        <v>316</v>
      </c>
      <c r="U88" s="61" t="s">
        <v>317</v>
      </c>
      <c r="V88" s="61" t="s">
        <v>59</v>
      </c>
    </row>
    <row r="89" spans="1:22" s="65" customFormat="1" ht="60" customHeight="1">
      <c r="A89" s="61" t="s">
        <v>175</v>
      </c>
      <c r="B89" s="61" t="s">
        <v>51</v>
      </c>
      <c r="C89" s="62">
        <v>129</v>
      </c>
      <c r="D89" s="61" t="s">
        <v>318</v>
      </c>
      <c r="E89" s="61" t="s">
        <v>318</v>
      </c>
      <c r="F89" s="57">
        <f t="shared" si="13"/>
        <v>0.32000000000000006</v>
      </c>
      <c r="G89" s="57">
        <f t="shared" si="14"/>
        <v>0.27999999999999997</v>
      </c>
      <c r="H89" s="57">
        <f t="shared" si="15"/>
        <v>0.24</v>
      </c>
      <c r="I89" s="57">
        <v>0.2</v>
      </c>
      <c r="J89" s="57">
        <f t="shared" si="16"/>
        <v>0.16000000000000003</v>
      </c>
      <c r="K89" s="57" t="s">
        <v>180</v>
      </c>
      <c r="L89" s="66">
        <v>0.6</v>
      </c>
      <c r="M89" s="63">
        <v>0.78</v>
      </c>
      <c r="N89" s="57">
        <v>0.122</v>
      </c>
      <c r="O89" s="57">
        <f>(0.133+0.1+0.121)/3</f>
        <v>0.11799999999999999</v>
      </c>
      <c r="P89" s="74" t="s">
        <v>54</v>
      </c>
      <c r="Q89" s="74"/>
      <c r="R89" s="61"/>
      <c r="S89" s="83"/>
      <c r="T89" s="64" t="s">
        <v>319</v>
      </c>
      <c r="U89" s="61" t="s">
        <v>317</v>
      </c>
      <c r="V89" s="61" t="s">
        <v>59</v>
      </c>
    </row>
    <row r="90" spans="1:22" s="65" customFormat="1" ht="60" customHeight="1">
      <c r="A90" s="61" t="s">
        <v>175</v>
      </c>
      <c r="B90" s="61" t="s">
        <v>51</v>
      </c>
      <c r="C90" s="62">
        <v>130</v>
      </c>
      <c r="D90" s="61" t="s">
        <v>320</v>
      </c>
      <c r="E90" s="61" t="s">
        <v>320</v>
      </c>
      <c r="F90" s="57">
        <f t="shared" si="13"/>
        <v>3.2</v>
      </c>
      <c r="G90" s="57">
        <f t="shared" si="14"/>
        <v>2.8</v>
      </c>
      <c r="H90" s="57">
        <f t="shared" si="15"/>
        <v>2.4</v>
      </c>
      <c r="I90" s="57">
        <v>2</v>
      </c>
      <c r="J90" s="57">
        <f t="shared" si="16"/>
        <v>1.6</v>
      </c>
      <c r="K90" s="57" t="s">
        <v>98</v>
      </c>
      <c r="L90" s="66">
        <v>3</v>
      </c>
      <c r="M90" s="63">
        <v>3.4499999999999997</v>
      </c>
      <c r="N90" s="57">
        <v>2.84</v>
      </c>
      <c r="O90" s="57">
        <f>(2.333+2.601+2.634)/3</f>
        <v>2.5226666666666664</v>
      </c>
      <c r="P90" s="74" t="s">
        <v>54</v>
      </c>
      <c r="Q90" s="57" t="s">
        <v>55</v>
      </c>
      <c r="R90" s="61"/>
      <c r="S90" s="83"/>
      <c r="T90" s="64" t="s">
        <v>321</v>
      </c>
      <c r="U90" s="61" t="s">
        <v>258</v>
      </c>
      <c r="V90" s="61" t="s">
        <v>59</v>
      </c>
    </row>
    <row r="91" spans="1:22" s="65" customFormat="1" ht="60" customHeight="1">
      <c r="A91" s="61" t="s">
        <v>175</v>
      </c>
      <c r="B91" s="61" t="s">
        <v>51</v>
      </c>
      <c r="C91" s="62">
        <v>131</v>
      </c>
      <c r="D91" s="61" t="s">
        <v>322</v>
      </c>
      <c r="E91" s="61" t="s">
        <v>322</v>
      </c>
      <c r="F91" s="57">
        <f t="shared" si="13"/>
        <v>0.32000000000000006</v>
      </c>
      <c r="G91" s="57">
        <f t="shared" si="14"/>
        <v>0.27999999999999997</v>
      </c>
      <c r="H91" s="57">
        <f t="shared" si="15"/>
        <v>0.24</v>
      </c>
      <c r="I91" s="57">
        <v>0.2</v>
      </c>
      <c r="J91" s="57">
        <f t="shared" si="16"/>
        <v>0.16000000000000003</v>
      </c>
      <c r="K91" s="57" t="s">
        <v>180</v>
      </c>
      <c r="L91" s="66">
        <v>0.6</v>
      </c>
      <c r="M91" s="63">
        <v>0.78</v>
      </c>
      <c r="N91" s="57">
        <v>0.1</v>
      </c>
      <c r="O91" s="57">
        <f>(0.101+0.13+0.133)/3</f>
        <v>0.12133333333333333</v>
      </c>
      <c r="P91" s="74" t="s">
        <v>54</v>
      </c>
      <c r="Q91" s="74"/>
      <c r="R91" s="61"/>
      <c r="S91" s="83"/>
      <c r="T91" s="64" t="s">
        <v>323</v>
      </c>
      <c r="U91" s="61" t="s">
        <v>258</v>
      </c>
      <c r="V91" s="61" t="s">
        <v>59</v>
      </c>
    </row>
    <row r="92" spans="1:22" s="65" customFormat="1" ht="60" customHeight="1">
      <c r="A92" s="61" t="s">
        <v>175</v>
      </c>
      <c r="B92" s="61" t="s">
        <v>51</v>
      </c>
      <c r="C92" s="62">
        <v>132</v>
      </c>
      <c r="D92" s="61" t="s">
        <v>324</v>
      </c>
      <c r="E92" s="61" t="s">
        <v>324</v>
      </c>
      <c r="F92" s="57">
        <f t="shared" si="13"/>
        <v>3.2</v>
      </c>
      <c r="G92" s="57">
        <f t="shared" si="14"/>
        <v>2.8</v>
      </c>
      <c r="H92" s="57">
        <f t="shared" si="15"/>
        <v>2.4</v>
      </c>
      <c r="I92" s="57">
        <v>2</v>
      </c>
      <c r="J92" s="57">
        <f t="shared" si="16"/>
        <v>1.6</v>
      </c>
      <c r="K92" s="57" t="s">
        <v>98</v>
      </c>
      <c r="L92" s="66">
        <v>3</v>
      </c>
      <c r="M92" s="57">
        <v>3.4499999999999997</v>
      </c>
      <c r="N92" s="57">
        <v>3.7066666669999999</v>
      </c>
      <c r="O92" s="57">
        <v>4.8666666669999996</v>
      </c>
      <c r="P92" s="74" t="s">
        <v>54</v>
      </c>
      <c r="Q92" s="57" t="s">
        <v>55</v>
      </c>
      <c r="R92" s="61"/>
      <c r="S92" s="83"/>
      <c r="T92" s="64" t="s">
        <v>325</v>
      </c>
      <c r="U92" s="61" t="s">
        <v>258</v>
      </c>
      <c r="V92" s="61" t="s">
        <v>59</v>
      </c>
    </row>
    <row r="93" spans="1:22" s="65" customFormat="1" ht="60" customHeight="1">
      <c r="A93" s="61" t="s">
        <v>175</v>
      </c>
      <c r="B93" s="61" t="s">
        <v>51</v>
      </c>
      <c r="C93" s="62">
        <v>133</v>
      </c>
      <c r="D93" s="61" t="s">
        <v>326</v>
      </c>
      <c r="E93" s="61" t="s">
        <v>326</v>
      </c>
      <c r="F93" s="57">
        <f t="shared" si="13"/>
        <v>0.32000000000000006</v>
      </c>
      <c r="G93" s="57">
        <f t="shared" si="14"/>
        <v>0.27999999999999997</v>
      </c>
      <c r="H93" s="57">
        <f t="shared" si="15"/>
        <v>0.24</v>
      </c>
      <c r="I93" s="57">
        <v>0.2</v>
      </c>
      <c r="J93" s="57">
        <f t="shared" si="16"/>
        <v>0.16000000000000003</v>
      </c>
      <c r="K93" s="57" t="s">
        <v>180</v>
      </c>
      <c r="L93" s="66">
        <v>0.6</v>
      </c>
      <c r="M93" s="63">
        <v>0.78</v>
      </c>
      <c r="N93" s="57">
        <v>0.155</v>
      </c>
      <c r="O93" s="57">
        <f>(0.11+0.115+0.133)/3</f>
        <v>0.11933333333333333</v>
      </c>
      <c r="P93" s="74" t="s">
        <v>54</v>
      </c>
      <c r="Q93" s="74"/>
      <c r="R93" s="61"/>
      <c r="S93" s="83"/>
      <c r="T93" s="64" t="s">
        <v>327</v>
      </c>
      <c r="U93" s="61" t="s">
        <v>258</v>
      </c>
      <c r="V93" s="61" t="s">
        <v>59</v>
      </c>
    </row>
    <row r="94" spans="1:22" s="65" customFormat="1" ht="60" customHeight="1">
      <c r="A94" s="61" t="s">
        <v>175</v>
      </c>
      <c r="B94" s="61" t="s">
        <v>51</v>
      </c>
      <c r="C94" s="62">
        <v>134</v>
      </c>
      <c r="D94" s="61" t="s">
        <v>328</v>
      </c>
      <c r="E94" s="61" t="s">
        <v>328</v>
      </c>
      <c r="F94" s="57">
        <f t="shared" si="13"/>
        <v>3.2</v>
      </c>
      <c r="G94" s="57">
        <f t="shared" si="14"/>
        <v>2.8</v>
      </c>
      <c r="H94" s="57">
        <f t="shared" si="15"/>
        <v>2.4</v>
      </c>
      <c r="I94" s="57">
        <v>2</v>
      </c>
      <c r="J94" s="57">
        <f t="shared" si="16"/>
        <v>1.6</v>
      </c>
      <c r="K94" s="57" t="s">
        <v>98</v>
      </c>
      <c r="L94" s="66">
        <v>3</v>
      </c>
      <c r="M94" s="63">
        <v>3.4499999999999997</v>
      </c>
      <c r="N94" s="57">
        <v>2.4066666670000001</v>
      </c>
      <c r="O94" s="57">
        <f>(1.434+1.333+1.367)/3</f>
        <v>1.3780000000000001</v>
      </c>
      <c r="P94" s="74" t="s">
        <v>54</v>
      </c>
      <c r="Q94" s="57" t="s">
        <v>55</v>
      </c>
      <c r="R94" s="61"/>
      <c r="S94" s="83"/>
      <c r="T94" s="64" t="s">
        <v>329</v>
      </c>
      <c r="U94" s="61" t="s">
        <v>258</v>
      </c>
      <c r="V94" s="61" t="s">
        <v>59</v>
      </c>
    </row>
    <row r="95" spans="1:22" s="65" customFormat="1" ht="60" customHeight="1">
      <c r="A95" s="61" t="s">
        <v>175</v>
      </c>
      <c r="B95" s="61" t="s">
        <v>51</v>
      </c>
      <c r="C95" s="62">
        <v>135</v>
      </c>
      <c r="D95" s="61" t="s">
        <v>330</v>
      </c>
      <c r="E95" s="61" t="s">
        <v>330</v>
      </c>
      <c r="F95" s="57">
        <f t="shared" si="13"/>
        <v>0.32000000000000006</v>
      </c>
      <c r="G95" s="57">
        <f t="shared" si="14"/>
        <v>0.27999999999999997</v>
      </c>
      <c r="H95" s="57">
        <f t="shared" si="15"/>
        <v>0.24</v>
      </c>
      <c r="I95" s="57">
        <v>0.2</v>
      </c>
      <c r="J95" s="57">
        <f t="shared" si="16"/>
        <v>0.16000000000000003</v>
      </c>
      <c r="K95" s="57" t="s">
        <v>180</v>
      </c>
      <c r="L95" s="66">
        <v>0.6</v>
      </c>
      <c r="M95" s="63">
        <v>0.78</v>
      </c>
      <c r="N95" s="57">
        <v>0.155</v>
      </c>
      <c r="O95" s="57">
        <f>(0.167+0.171+0.159)/3</f>
        <v>0.16566666666666666</v>
      </c>
      <c r="P95" s="74" t="s">
        <v>54</v>
      </c>
      <c r="Q95" s="74"/>
      <c r="R95" s="61"/>
      <c r="S95" s="83"/>
      <c r="T95" s="64" t="s">
        <v>331</v>
      </c>
      <c r="U95" s="61" t="s">
        <v>258</v>
      </c>
      <c r="V95" s="61" t="s">
        <v>59</v>
      </c>
    </row>
    <row r="96" spans="1:22" s="65" customFormat="1" ht="60" customHeight="1">
      <c r="A96" s="61" t="s">
        <v>175</v>
      </c>
      <c r="B96" s="61" t="s">
        <v>193</v>
      </c>
      <c r="C96" s="62">
        <v>136</v>
      </c>
      <c r="D96" s="64" t="s">
        <v>1292</v>
      </c>
      <c r="E96" s="64" t="s">
        <v>332</v>
      </c>
      <c r="F96" s="57"/>
      <c r="G96" s="57"/>
      <c r="H96" s="57"/>
      <c r="I96" s="57"/>
      <c r="J96" s="57"/>
      <c r="K96" s="74"/>
      <c r="L96" s="68">
        <v>0</v>
      </c>
      <c r="M96" s="63">
        <v>0</v>
      </c>
      <c r="N96" s="74">
        <v>0</v>
      </c>
      <c r="O96" s="74">
        <v>0</v>
      </c>
      <c r="P96" s="74" t="s">
        <v>54</v>
      </c>
      <c r="Q96" s="74"/>
      <c r="R96" s="61"/>
      <c r="S96" s="83"/>
      <c r="T96" s="64"/>
      <c r="U96" s="61"/>
      <c r="V96" s="61" t="s">
        <v>59</v>
      </c>
    </row>
    <row r="97" spans="1:22" s="65" customFormat="1" ht="60" customHeight="1">
      <c r="A97" s="61" t="s">
        <v>175</v>
      </c>
      <c r="B97" s="61" t="s">
        <v>193</v>
      </c>
      <c r="C97" s="62">
        <v>137</v>
      </c>
      <c r="D97" s="64" t="s">
        <v>1293</v>
      </c>
      <c r="E97" s="64" t="s">
        <v>333</v>
      </c>
      <c r="F97" s="57"/>
      <c r="G97" s="57"/>
      <c r="H97" s="57"/>
      <c r="I97" s="57"/>
      <c r="J97" s="57"/>
      <c r="K97" s="74"/>
      <c r="L97" s="68">
        <v>0</v>
      </c>
      <c r="M97" s="63">
        <v>0</v>
      </c>
      <c r="N97" s="74">
        <v>0</v>
      </c>
      <c r="O97" s="74">
        <v>0</v>
      </c>
      <c r="P97" s="74" t="s">
        <v>54</v>
      </c>
      <c r="Q97" s="74"/>
      <c r="R97" s="61"/>
      <c r="S97" s="83"/>
      <c r="T97" s="61"/>
      <c r="U97" s="61"/>
      <c r="V97" s="61" t="s">
        <v>59</v>
      </c>
    </row>
    <row r="98" spans="1:22" s="65" customFormat="1" ht="60" customHeight="1">
      <c r="A98" s="61" t="s">
        <v>175</v>
      </c>
      <c r="B98" s="61" t="s">
        <v>193</v>
      </c>
      <c r="C98" s="62">
        <v>138</v>
      </c>
      <c r="D98" s="64" t="s">
        <v>1294</v>
      </c>
      <c r="E98" s="64" t="s">
        <v>334</v>
      </c>
      <c r="F98" s="57"/>
      <c r="G98" s="57"/>
      <c r="H98" s="57"/>
      <c r="I98" s="57"/>
      <c r="J98" s="57"/>
      <c r="K98" s="74"/>
      <c r="L98" s="68">
        <v>0</v>
      </c>
      <c r="M98" s="63">
        <v>0</v>
      </c>
      <c r="N98" s="74">
        <v>0</v>
      </c>
      <c r="O98" s="74">
        <v>0</v>
      </c>
      <c r="P98" s="74" t="s">
        <v>54</v>
      </c>
      <c r="Q98" s="74"/>
      <c r="R98" s="61"/>
      <c r="S98" s="83"/>
      <c r="T98" s="64"/>
      <c r="U98" s="61"/>
      <c r="V98" s="61" t="s">
        <v>59</v>
      </c>
    </row>
    <row r="99" spans="1:22" s="65" customFormat="1" ht="60" customHeight="1">
      <c r="A99" s="61" t="s">
        <v>175</v>
      </c>
      <c r="B99" s="61" t="s">
        <v>193</v>
      </c>
      <c r="C99" s="62">
        <v>139</v>
      </c>
      <c r="D99" s="64" t="s">
        <v>1295</v>
      </c>
      <c r="E99" s="64" t="s">
        <v>335</v>
      </c>
      <c r="F99" s="57"/>
      <c r="G99" s="57"/>
      <c r="H99" s="57"/>
      <c r="I99" s="57"/>
      <c r="J99" s="57"/>
      <c r="K99" s="74"/>
      <c r="L99" s="68">
        <v>0</v>
      </c>
      <c r="M99" s="63">
        <v>0</v>
      </c>
      <c r="N99" s="74">
        <v>0</v>
      </c>
      <c r="O99" s="74">
        <v>0</v>
      </c>
      <c r="P99" s="74" t="s">
        <v>54</v>
      </c>
      <c r="Q99" s="74"/>
      <c r="R99" s="61"/>
      <c r="S99" s="83"/>
      <c r="T99" s="64"/>
      <c r="U99" s="61"/>
      <c r="V99" s="61" t="s">
        <v>59</v>
      </c>
    </row>
    <row r="100" spans="1:22" s="65" customFormat="1" ht="60" customHeight="1">
      <c r="A100" s="61" t="s">
        <v>175</v>
      </c>
      <c r="B100" s="61" t="s">
        <v>193</v>
      </c>
      <c r="C100" s="62">
        <v>140</v>
      </c>
      <c r="D100" s="64" t="s">
        <v>1296</v>
      </c>
      <c r="E100" s="64" t="s">
        <v>336</v>
      </c>
      <c r="F100" s="57"/>
      <c r="G100" s="57"/>
      <c r="H100" s="57"/>
      <c r="I100" s="57"/>
      <c r="J100" s="57"/>
      <c r="K100" s="74"/>
      <c r="L100" s="68">
        <v>0</v>
      </c>
      <c r="M100" s="63">
        <v>0</v>
      </c>
      <c r="N100" s="74">
        <v>0</v>
      </c>
      <c r="O100" s="74">
        <v>1</v>
      </c>
      <c r="P100" s="74" t="s">
        <v>54</v>
      </c>
      <c r="Q100" s="74"/>
      <c r="R100" s="61"/>
      <c r="S100" s="83"/>
      <c r="T100" s="64"/>
      <c r="U100" s="61"/>
      <c r="V100" s="61" t="s">
        <v>59</v>
      </c>
    </row>
    <row r="102" spans="1:22" ht="60" customHeight="1">
      <c r="P102" s="85"/>
      <c r="Q102" s="86"/>
    </row>
    <row r="103" spans="1:22" ht="60" customHeight="1">
      <c r="B103" s="90" t="s">
        <v>337</v>
      </c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2"/>
    </row>
    <row r="104" spans="1:22" ht="60" customHeight="1">
      <c r="B104" s="61" t="s">
        <v>1297</v>
      </c>
      <c r="C104" s="93" t="s">
        <v>338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5"/>
    </row>
    <row r="105" spans="1:22" ht="60" customHeight="1">
      <c r="B105" s="61" t="s">
        <v>1298</v>
      </c>
      <c r="C105" s="93" t="s">
        <v>339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5"/>
    </row>
    <row r="106" spans="1:22" ht="60" customHeight="1">
      <c r="B106" s="61" t="s">
        <v>1299</v>
      </c>
      <c r="C106" s="93" t="s">
        <v>340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5"/>
    </row>
    <row r="107" spans="1:22" ht="60" customHeight="1">
      <c r="B107" s="61" t="s">
        <v>1300</v>
      </c>
      <c r="C107" s="93" t="s">
        <v>341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5"/>
    </row>
    <row r="108" spans="1:22" ht="60" customHeight="1">
      <c r="B108" s="61" t="s">
        <v>1301</v>
      </c>
      <c r="C108" s="93" t="s">
        <v>342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5"/>
    </row>
    <row r="109" spans="1:22" ht="60" customHeight="1">
      <c r="B109" s="61" t="s">
        <v>1302</v>
      </c>
      <c r="C109" s="93" t="s">
        <v>343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5"/>
    </row>
    <row r="110" spans="1:22" ht="60" customHeight="1">
      <c r="B110" s="61" t="s">
        <v>1303</v>
      </c>
      <c r="C110" s="93" t="s">
        <v>344</v>
      </c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5"/>
    </row>
    <row r="111" spans="1:22" ht="60" customHeight="1">
      <c r="B111" s="61" t="s">
        <v>1304</v>
      </c>
      <c r="C111" s="93" t="s">
        <v>345</v>
      </c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5"/>
    </row>
    <row r="112" spans="1:22" ht="60" customHeight="1">
      <c r="B112" s="61" t="s">
        <v>1305</v>
      </c>
      <c r="C112" s="93" t="s">
        <v>346</v>
      </c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5"/>
    </row>
    <row r="113" spans="2:17" ht="60" customHeight="1">
      <c r="B113" s="90" t="s">
        <v>21</v>
      </c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2"/>
    </row>
    <row r="114" spans="2:17" ht="60" customHeight="1">
      <c r="B114" s="61" t="s">
        <v>1297</v>
      </c>
      <c r="C114" s="96" t="s">
        <v>347</v>
      </c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8"/>
    </row>
    <row r="115" spans="2:17" ht="60" customHeight="1">
      <c r="B115" s="61" t="s">
        <v>1298</v>
      </c>
      <c r="C115" s="96" t="s">
        <v>348</v>
      </c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8"/>
    </row>
    <row r="116" spans="2:17" ht="60" customHeight="1">
      <c r="B116" s="61" t="s">
        <v>1299</v>
      </c>
      <c r="C116" s="96" t="s">
        <v>349</v>
      </c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8"/>
    </row>
    <row r="117" spans="2:17" ht="60" customHeight="1">
      <c r="B117" s="61" t="s">
        <v>1306</v>
      </c>
      <c r="C117" s="96" t="s">
        <v>350</v>
      </c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8"/>
    </row>
    <row r="118" spans="2:17" ht="60" customHeight="1">
      <c r="B118" s="61" t="s">
        <v>1300</v>
      </c>
      <c r="C118" s="96" t="s">
        <v>351</v>
      </c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8"/>
    </row>
    <row r="119" spans="2:17" ht="60" customHeight="1">
      <c r="B119" s="61" t="s">
        <v>1302</v>
      </c>
      <c r="C119" s="96" t="s">
        <v>352</v>
      </c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8"/>
    </row>
    <row r="120" spans="2:17" ht="60" customHeight="1">
      <c r="B120" s="61" t="s">
        <v>1303</v>
      </c>
      <c r="C120" s="96" t="s">
        <v>344</v>
      </c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8"/>
    </row>
    <row r="121" spans="2:17" ht="60" customHeight="1">
      <c r="B121" s="61" t="s">
        <v>1304</v>
      </c>
      <c r="C121" s="96" t="s">
        <v>345</v>
      </c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8"/>
    </row>
    <row r="122" spans="2:17" ht="60" customHeight="1">
      <c r="B122" s="61" t="s">
        <v>1305</v>
      </c>
      <c r="C122" s="96" t="s">
        <v>346</v>
      </c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8"/>
    </row>
    <row r="123" spans="2:17" ht="60" customHeight="1">
      <c r="B123" s="90" t="s">
        <v>353</v>
      </c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2"/>
    </row>
    <row r="124" spans="2:17" ht="60" customHeight="1">
      <c r="B124" s="61" t="s">
        <v>1297</v>
      </c>
      <c r="C124" s="93" t="s">
        <v>338</v>
      </c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5"/>
    </row>
    <row r="125" spans="2:17" ht="60" customHeight="1">
      <c r="B125" s="61" t="s">
        <v>1298</v>
      </c>
      <c r="C125" s="93" t="s">
        <v>354</v>
      </c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5"/>
    </row>
    <row r="126" spans="2:17" ht="60" customHeight="1">
      <c r="B126" s="61" t="s">
        <v>1299</v>
      </c>
      <c r="C126" s="93" t="s">
        <v>340</v>
      </c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5"/>
    </row>
    <row r="127" spans="2:17" ht="60" customHeight="1">
      <c r="B127" s="61" t="s">
        <v>1300</v>
      </c>
      <c r="C127" s="93" t="s">
        <v>355</v>
      </c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5"/>
    </row>
    <row r="128" spans="2:17" ht="60" customHeight="1">
      <c r="B128" s="61" t="s">
        <v>1302</v>
      </c>
      <c r="C128" s="93" t="s">
        <v>343</v>
      </c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5"/>
    </row>
    <row r="129" spans="2:17" ht="60" customHeight="1">
      <c r="B129" s="61" t="s">
        <v>1303</v>
      </c>
      <c r="C129" s="93" t="s">
        <v>344</v>
      </c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5"/>
    </row>
    <row r="130" spans="2:17" ht="60" customHeight="1">
      <c r="B130" s="61" t="s">
        <v>1304</v>
      </c>
      <c r="C130" s="93" t="s">
        <v>345</v>
      </c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5"/>
    </row>
    <row r="131" spans="2:17" ht="60" customHeight="1">
      <c r="B131" s="61" t="s">
        <v>1305</v>
      </c>
      <c r="C131" s="93" t="s">
        <v>346</v>
      </c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5"/>
    </row>
    <row r="132" spans="2:17" ht="60" customHeight="1">
      <c r="P132" s="85"/>
      <c r="Q132" s="86"/>
    </row>
  </sheetData>
  <autoFilter ref="A1:DX1" xr:uid="{00000000-0001-0000-0100-000000000000}"/>
  <sortState xmlns:xlrd2="http://schemas.microsoft.com/office/spreadsheetml/2017/richdata2" ref="B2:AE90">
    <sortCondition ref="C2:C90"/>
  </sortState>
  <mergeCells count="29">
    <mergeCell ref="C128:Q128"/>
    <mergeCell ref="C129:Q129"/>
    <mergeCell ref="C130:Q130"/>
    <mergeCell ref="C131:Q131"/>
    <mergeCell ref="B123:Q123"/>
    <mergeCell ref="C124:Q124"/>
    <mergeCell ref="C125:Q125"/>
    <mergeCell ref="C126:Q126"/>
    <mergeCell ref="C127:Q127"/>
    <mergeCell ref="C118:Q118"/>
    <mergeCell ref="C119:Q119"/>
    <mergeCell ref="C120:Q120"/>
    <mergeCell ref="C121:Q121"/>
    <mergeCell ref="C122:Q122"/>
    <mergeCell ref="B113:Q113"/>
    <mergeCell ref="C114:Q114"/>
    <mergeCell ref="C115:Q115"/>
    <mergeCell ref="C116:Q116"/>
    <mergeCell ref="C117:Q117"/>
    <mergeCell ref="C108:Q108"/>
    <mergeCell ref="C109:Q109"/>
    <mergeCell ref="C110:Q110"/>
    <mergeCell ref="C111:Q111"/>
    <mergeCell ref="C112:Q112"/>
    <mergeCell ref="B103:Q103"/>
    <mergeCell ref="C104:Q104"/>
    <mergeCell ref="C105:Q105"/>
    <mergeCell ref="C106:Q106"/>
    <mergeCell ref="C107:Q107"/>
  </mergeCells>
  <phoneticPr fontId="18" type="noConversion"/>
  <conditionalFormatting sqref="J19">
    <cfRule type="expression" dxfId="13" priority="245">
      <formula>#REF!&gt;#REF!</formula>
    </cfRule>
  </conditionalFormatting>
  <conditionalFormatting sqref="V23">
    <cfRule type="containsText" dxfId="12" priority="142" operator="containsText" text="Desay">
      <formula>NOT(ISERROR(SEARCH("Desay",V23)))</formula>
    </cfRule>
  </conditionalFormatting>
  <conditionalFormatting sqref="J31">
    <cfRule type="expression" dxfId="11" priority="234">
      <formula>$J29&gt;$Y29</formula>
    </cfRule>
  </conditionalFormatting>
  <conditionalFormatting sqref="J39">
    <cfRule type="expression" dxfId="10" priority="1">
      <formula>#REF!&gt;#REF!</formula>
    </cfRule>
    <cfRule type="expression" dxfId="9" priority="2">
      <formula>#REF!&gt;#REF!</formula>
    </cfRule>
  </conditionalFormatting>
  <conditionalFormatting sqref="J40">
    <cfRule type="expression" dxfId="8" priority="248">
      <formula>#REF!&gt;#REF!</formula>
    </cfRule>
  </conditionalFormatting>
  <conditionalFormatting sqref="J69">
    <cfRule type="expression" dxfId="7" priority="157">
      <formula>#REF!&gt;#REF!</formula>
    </cfRule>
  </conditionalFormatting>
  <conditionalFormatting sqref="V35:V36">
    <cfRule type="containsText" dxfId="6" priority="141" operator="containsText" text="Desay">
      <formula>NOT(ISERROR(SEARCH("Desay",V35)))</formula>
    </cfRule>
  </conditionalFormatting>
  <conditionalFormatting sqref="J50:J95 J40 J9:J38 J2:J7">
    <cfRule type="expression" dxfId="5" priority="215">
      <formula>#REF!&gt;#REF!</formula>
    </cfRule>
  </conditionalFormatting>
  <conditionalFormatting sqref="J6 J23 J28 J16 J2">
    <cfRule type="expression" dxfId="4" priority="249">
      <formula>#REF!&gt;#REF!</formula>
    </cfRule>
  </conditionalFormatting>
  <conditionalFormatting sqref="J7 J3:J5 J17:J18 J9:J15 J32 J20:J22 J29:J30 J24:J27 J61:J68 J70:J95 J55:J59 J50:J53 J36:J38 J34">
    <cfRule type="expression" dxfId="3" priority="223">
      <formula>$J2&gt;$Y2</formula>
    </cfRule>
  </conditionalFormatting>
  <conditionalFormatting sqref="V9:V18 V24 V27 V37:V38 V40">
    <cfRule type="containsText" dxfId="2" priority="145" operator="containsText" text="Desay">
      <formula>NOT(ISERROR(SEARCH("Desay",V9)))</formula>
    </cfRule>
  </conditionalFormatting>
  <conditionalFormatting sqref="V29:V34 V19:V22 V50:V1048576">
    <cfRule type="containsText" dxfId="1" priority="153" operator="containsText" text="Desay">
      <formula>NOT(ISERROR(SEARCH("Desay",V19)))</formula>
    </cfRule>
  </conditionalFormatting>
  <conditionalFormatting sqref="J60 J54 J35 J33">
    <cfRule type="expression" dxfId="0" priority="247">
      <formula>#REF!&gt;#REF!</formula>
    </cfRule>
  </conditionalFormatting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71"/>
  <sheetViews>
    <sheetView zoomScale="95" zoomScaleNormal="95" workbookViewId="0">
      <selection activeCell="F35" sqref="F35"/>
    </sheetView>
  </sheetViews>
  <sheetFormatPr baseColWidth="10" defaultColWidth="8.6640625" defaultRowHeight="15"/>
  <cols>
    <col min="1" max="1" width="17.83203125" style="20" customWidth="1"/>
    <col min="2" max="2" width="20.5" style="20" customWidth="1"/>
    <col min="3" max="3" width="81.83203125" style="20" customWidth="1"/>
    <col min="4" max="4" width="0.1640625" style="20" customWidth="1"/>
    <col min="5" max="6" width="16.5" style="21" customWidth="1"/>
    <col min="7" max="7" width="25.5" style="22" customWidth="1"/>
    <col min="8" max="8" width="17.5" style="19" hidden="1" customWidth="1"/>
    <col min="9" max="9" width="18" style="19" hidden="1" customWidth="1"/>
    <col min="10" max="10" width="30.33203125" style="19" hidden="1" customWidth="1"/>
    <col min="11" max="11" width="35.1640625" style="19" hidden="1" customWidth="1"/>
    <col min="12" max="12" width="14.6640625" style="19" customWidth="1"/>
    <col min="13" max="16384" width="8.6640625" style="20"/>
  </cols>
  <sheetData>
    <row r="1" spans="1:12" ht="209">
      <c r="A1" s="23" t="s">
        <v>356</v>
      </c>
      <c r="B1" s="23" t="s">
        <v>357</v>
      </c>
      <c r="C1" s="23" t="s">
        <v>358</v>
      </c>
      <c r="D1" s="23" t="s">
        <v>359</v>
      </c>
      <c r="E1" s="38" t="s">
        <v>360</v>
      </c>
      <c r="F1" s="39" t="s">
        <v>361</v>
      </c>
      <c r="G1" s="39" t="s">
        <v>362</v>
      </c>
      <c r="H1" s="38" t="s">
        <v>363</v>
      </c>
      <c r="I1" s="38" t="s">
        <v>364</v>
      </c>
      <c r="J1" s="38" t="s">
        <v>365</v>
      </c>
      <c r="K1" s="38" t="s">
        <v>366</v>
      </c>
      <c r="L1" s="38" t="s">
        <v>2</v>
      </c>
    </row>
    <row r="2" spans="1:12" ht="32">
      <c r="A2" s="101" t="s">
        <v>367</v>
      </c>
      <c r="B2" s="102" t="s">
        <v>368</v>
      </c>
      <c r="C2" s="24" t="s">
        <v>369</v>
      </c>
      <c r="D2" s="24"/>
      <c r="E2" s="36" t="s">
        <v>370</v>
      </c>
      <c r="F2" s="36">
        <f>(0.19+0.18+0.18)/3</f>
        <v>0.18333333333333335</v>
      </c>
      <c r="G2" s="36">
        <f>(0.18+0.17+0.16)/3</f>
        <v>0.17</v>
      </c>
      <c r="H2" s="41"/>
      <c r="I2" s="41"/>
      <c r="J2" s="44"/>
      <c r="K2" s="41"/>
      <c r="L2" s="41" t="s">
        <v>59</v>
      </c>
    </row>
    <row r="3" spans="1:12" ht="16">
      <c r="A3" s="101"/>
      <c r="B3" s="103"/>
      <c r="C3" s="24" t="s">
        <v>371</v>
      </c>
      <c r="D3" s="24"/>
      <c r="E3" s="36"/>
      <c r="F3" s="36">
        <f>(0.26+0.26+0.16)/3</f>
        <v>0.22666666666666668</v>
      </c>
      <c r="G3" s="36">
        <f>(0.1+0.15+0.13)/3</f>
        <v>0.12666666666666668</v>
      </c>
      <c r="H3" s="41"/>
      <c r="I3" s="41"/>
      <c r="J3" s="44"/>
      <c r="K3" s="41"/>
      <c r="L3" s="41" t="s">
        <v>59</v>
      </c>
    </row>
    <row r="4" spans="1:12" ht="16">
      <c r="A4" s="101"/>
      <c r="B4" s="103"/>
      <c r="C4" s="24" t="s">
        <v>372</v>
      </c>
      <c r="D4" s="24"/>
      <c r="E4" s="36"/>
      <c r="F4" s="36">
        <f>(0.06+0.1+0.14)/3</f>
        <v>0.10000000000000002</v>
      </c>
      <c r="G4" s="36">
        <f>(0.12+0.14+0.13)/3</f>
        <v>0.13</v>
      </c>
      <c r="H4" s="41"/>
      <c r="I4" s="41"/>
      <c r="J4" s="44"/>
      <c r="K4" s="41"/>
      <c r="L4" s="41" t="s">
        <v>59</v>
      </c>
    </row>
    <row r="5" spans="1:12" ht="16">
      <c r="A5" s="101"/>
      <c r="B5" s="103"/>
      <c r="C5" s="24" t="s">
        <v>373</v>
      </c>
      <c r="D5" s="24"/>
      <c r="E5" s="36"/>
      <c r="F5" s="36">
        <v>0.54700000000000004</v>
      </c>
      <c r="G5" s="36">
        <v>0.48199999999999998</v>
      </c>
      <c r="H5" s="41"/>
      <c r="I5" s="41"/>
      <c r="J5" s="44"/>
      <c r="K5" s="41"/>
      <c r="L5" s="41" t="s">
        <v>59</v>
      </c>
    </row>
    <row r="6" spans="1:12" ht="16">
      <c r="A6" s="101"/>
      <c r="B6" s="103"/>
      <c r="C6" s="24" t="s">
        <v>374</v>
      </c>
      <c r="D6" s="24"/>
      <c r="E6" s="36"/>
      <c r="F6" s="36">
        <f>(14.42+12.34+20.64)/3</f>
        <v>15.799999999999999</v>
      </c>
      <c r="G6" s="36">
        <f>(8.3+7.8+5.7)/3</f>
        <v>7.2666666666666666</v>
      </c>
      <c r="H6" s="41"/>
      <c r="I6" s="41"/>
      <c r="J6" s="44"/>
      <c r="K6" s="41"/>
      <c r="L6" s="41" t="s">
        <v>59</v>
      </c>
    </row>
    <row r="7" spans="1:12" ht="16">
      <c r="A7" s="101"/>
      <c r="B7" s="103"/>
      <c r="C7" s="24" t="s">
        <v>375</v>
      </c>
      <c r="D7" s="24"/>
      <c r="E7" s="36"/>
      <c r="F7" s="36">
        <f>(0.767+0.466+0.5)/3</f>
        <v>0.57766666666666666</v>
      </c>
      <c r="G7" s="36">
        <f>(0.723+0.837+0.771)/3</f>
        <v>0.77700000000000002</v>
      </c>
      <c r="H7" s="41"/>
      <c r="I7" s="41"/>
      <c r="J7" s="44"/>
      <c r="K7" s="41"/>
      <c r="L7" s="41" t="s">
        <v>59</v>
      </c>
    </row>
    <row r="8" spans="1:12" ht="16">
      <c r="A8" s="101"/>
      <c r="B8" s="103"/>
      <c r="C8" s="24" t="s">
        <v>376</v>
      </c>
      <c r="D8" s="24"/>
      <c r="E8" s="36"/>
      <c r="F8" s="36">
        <f>(0.533+0.566+0.6)/3</f>
        <v>0.56633333333333324</v>
      </c>
      <c r="G8" s="36">
        <f>(0.615+0.478+0.575)/3</f>
        <v>0.55599999999999994</v>
      </c>
      <c r="H8" s="41"/>
      <c r="I8" s="41"/>
      <c r="J8" s="44"/>
      <c r="K8" s="41"/>
      <c r="L8" s="41" t="s">
        <v>59</v>
      </c>
    </row>
    <row r="9" spans="1:12" ht="17">
      <c r="A9" s="101"/>
      <c r="B9" s="103"/>
      <c r="C9" s="25" t="s">
        <v>377</v>
      </c>
      <c r="D9" s="25"/>
      <c r="E9" s="36"/>
      <c r="F9" s="36">
        <f>(1.89+1.79+1.5)/3</f>
        <v>1.7266666666666666</v>
      </c>
      <c r="G9" s="36">
        <f>(2.37+3.372+1.983)/3</f>
        <v>2.5749999999999997</v>
      </c>
      <c r="H9" s="41"/>
      <c r="I9" s="41"/>
      <c r="J9" s="44"/>
      <c r="K9" s="41"/>
      <c r="L9" s="41" t="s">
        <v>59</v>
      </c>
    </row>
    <row r="10" spans="1:12" ht="17">
      <c r="A10" s="101"/>
      <c r="B10" s="103"/>
      <c r="C10" s="25" t="s">
        <v>378</v>
      </c>
      <c r="D10" s="25"/>
      <c r="E10" s="36"/>
      <c r="F10" s="36">
        <f>(1.832+1.832+2.165)/3</f>
        <v>1.9430000000000003</v>
      </c>
      <c r="G10" s="36">
        <f>(1.873+1.784+1.536)/3</f>
        <v>1.7309999999999999</v>
      </c>
      <c r="H10" s="41"/>
      <c r="I10" s="41"/>
      <c r="J10" s="44"/>
      <c r="K10" s="41"/>
      <c r="L10" s="41" t="s">
        <v>59</v>
      </c>
    </row>
    <row r="11" spans="1:12" ht="17">
      <c r="A11" s="101"/>
      <c r="B11" s="103"/>
      <c r="C11" s="25" t="s">
        <v>379</v>
      </c>
      <c r="D11" s="25"/>
      <c r="E11" s="36"/>
      <c r="F11" s="36">
        <f>(1.366+1.533+2.599)/3</f>
        <v>1.8326666666666667</v>
      </c>
      <c r="G11" s="36">
        <f>(2.123+2.297+2.851)/3</f>
        <v>2.4236666666666666</v>
      </c>
      <c r="H11" s="41"/>
      <c r="I11" s="41"/>
      <c r="J11" s="44"/>
      <c r="K11" s="41"/>
      <c r="L11" s="41" t="s">
        <v>59</v>
      </c>
    </row>
    <row r="12" spans="1:12" ht="17">
      <c r="A12" s="101"/>
      <c r="B12" s="103"/>
      <c r="C12" s="25" t="s">
        <v>380</v>
      </c>
      <c r="D12" s="25"/>
      <c r="E12" s="36"/>
      <c r="F12" s="36">
        <f>(2.832+2.132+2.199)/3</f>
        <v>2.3876666666666666</v>
      </c>
      <c r="G12" s="36">
        <f>(1.873+1.633+1.561)/3</f>
        <v>1.6890000000000001</v>
      </c>
      <c r="H12" s="41"/>
      <c r="I12" s="41"/>
      <c r="J12" s="44"/>
      <c r="K12" s="41"/>
      <c r="L12" s="41" t="s">
        <v>59</v>
      </c>
    </row>
    <row r="13" spans="1:12" ht="16">
      <c r="A13" s="101"/>
      <c r="B13" s="103"/>
      <c r="C13" s="24" t="s">
        <v>381</v>
      </c>
      <c r="D13" s="24"/>
      <c r="E13" s="36"/>
      <c r="F13" s="36">
        <f>(2.998+2.498+2.665)/3</f>
        <v>2.7203333333333339</v>
      </c>
      <c r="G13" s="36">
        <f>(1.7+1.4+1.9)/3</f>
        <v>1.6666666666666667</v>
      </c>
      <c r="H13" s="41"/>
      <c r="I13" s="41"/>
      <c r="J13" s="44"/>
      <c r="K13" s="41"/>
      <c r="L13" s="41" t="s">
        <v>59</v>
      </c>
    </row>
    <row r="14" spans="1:12" ht="16">
      <c r="A14" s="101"/>
      <c r="B14" s="103"/>
      <c r="C14" s="24" t="s">
        <v>382</v>
      </c>
      <c r="D14" s="24"/>
      <c r="E14" s="36"/>
      <c r="F14" s="36">
        <f>(2.599+2.565+2.498)/3</f>
        <v>2.5539999999999998</v>
      </c>
      <c r="G14" s="36">
        <f>(1.4+1.7+1.2)/3</f>
        <v>1.4333333333333333</v>
      </c>
      <c r="H14" s="41"/>
      <c r="I14" s="41"/>
      <c r="J14" s="44"/>
      <c r="K14" s="41"/>
      <c r="L14" s="41" t="s">
        <v>59</v>
      </c>
    </row>
    <row r="15" spans="1:12" ht="16">
      <c r="A15" s="101"/>
      <c r="B15" s="103"/>
      <c r="C15" s="24" t="s">
        <v>383</v>
      </c>
      <c r="D15" s="24"/>
      <c r="E15" s="36"/>
      <c r="F15" s="36">
        <f>(3.298+3.198+3.298)/3</f>
        <v>3.2646666666666668</v>
      </c>
      <c r="G15" s="36">
        <f>(1.9+1.8+1.5)/3</f>
        <v>1.7333333333333334</v>
      </c>
      <c r="H15" s="41"/>
      <c r="I15" s="41"/>
      <c r="J15" s="44"/>
      <c r="K15" s="41"/>
      <c r="L15" s="41" t="s">
        <v>59</v>
      </c>
    </row>
    <row r="16" spans="1:12" ht="16">
      <c r="A16" s="101"/>
      <c r="B16" s="103"/>
      <c r="C16" s="24" t="s">
        <v>384</v>
      </c>
      <c r="D16" s="24"/>
      <c r="E16" s="36"/>
      <c r="F16" s="36">
        <f>(3.332+3.165+3.198)/3</f>
        <v>3.2316666666666669</v>
      </c>
      <c r="G16" s="36">
        <f>(1.8+1.7+1.9)/3</f>
        <v>1.8</v>
      </c>
      <c r="H16" s="41"/>
      <c r="I16" s="41"/>
      <c r="J16" s="44"/>
      <c r="K16" s="41"/>
      <c r="L16" s="41" t="s">
        <v>59</v>
      </c>
    </row>
    <row r="17" spans="1:12" ht="16">
      <c r="A17" s="101"/>
      <c r="B17" s="103"/>
      <c r="C17" s="24" t="s">
        <v>385</v>
      </c>
      <c r="D17" s="24"/>
      <c r="E17" s="36"/>
      <c r="F17" s="36">
        <f>(6.796+6.929+6.796)/3</f>
        <v>6.8403333333333336</v>
      </c>
      <c r="G17" s="36">
        <f>(3.2+3.4+3.3)/3</f>
        <v>3.2999999999999994</v>
      </c>
      <c r="H17" s="41"/>
      <c r="I17" s="41"/>
      <c r="J17" s="44"/>
      <c r="K17" s="41"/>
      <c r="L17" s="41" t="s">
        <v>59</v>
      </c>
    </row>
    <row r="18" spans="1:12" ht="16">
      <c r="A18" s="101"/>
      <c r="B18" s="103"/>
      <c r="C18" s="24" t="s">
        <v>386</v>
      </c>
      <c r="D18" s="24"/>
      <c r="E18" s="36"/>
      <c r="F18" s="36">
        <f>(1.699+1.299+1.466)/3</f>
        <v>1.4880000000000002</v>
      </c>
      <c r="G18" s="36">
        <f>(1.4+1.7+1.5)/3</f>
        <v>1.5333333333333332</v>
      </c>
      <c r="H18" s="41"/>
      <c r="I18" s="41"/>
      <c r="J18" s="44"/>
      <c r="K18" s="41"/>
      <c r="L18" s="41" t="s">
        <v>59</v>
      </c>
    </row>
    <row r="19" spans="1:12" ht="16">
      <c r="A19" s="101"/>
      <c r="B19" s="103"/>
      <c r="C19" s="24" t="s">
        <v>387</v>
      </c>
      <c r="D19" s="24"/>
      <c r="E19" s="36"/>
      <c r="F19" s="36">
        <f>(1.166+0.899+0.533)/3</f>
        <v>0.86599999999999999</v>
      </c>
      <c r="G19" s="36">
        <f>(1.4+1.6+1.7)/3</f>
        <v>1.5666666666666667</v>
      </c>
      <c r="H19" s="41"/>
      <c r="I19" s="41"/>
      <c r="J19" s="44"/>
      <c r="K19" s="41"/>
      <c r="L19" s="41" t="s">
        <v>59</v>
      </c>
    </row>
    <row r="20" spans="1:12" ht="16">
      <c r="A20" s="101"/>
      <c r="B20" s="103"/>
      <c r="C20" s="24" t="s">
        <v>388</v>
      </c>
      <c r="D20" s="24"/>
      <c r="E20" s="36"/>
      <c r="F20" s="36">
        <f>(2.233+2.133+1.832)/3</f>
        <v>2.0659999999999998</v>
      </c>
      <c r="G20" s="36">
        <f>(1.9+2.1+2.2)/3</f>
        <v>2.0666666666666669</v>
      </c>
      <c r="H20" s="41"/>
      <c r="I20" s="41"/>
      <c r="J20" s="44"/>
      <c r="K20" s="41"/>
      <c r="L20" s="41" t="s">
        <v>59</v>
      </c>
    </row>
    <row r="21" spans="1:12" ht="16">
      <c r="A21" s="101"/>
      <c r="B21" s="103"/>
      <c r="C21" s="24" t="s">
        <v>389</v>
      </c>
      <c r="D21" s="24"/>
      <c r="E21" s="36"/>
      <c r="F21" s="36">
        <f>(2.099+2.266+2.066)/3</f>
        <v>2.1436666666666668</v>
      </c>
      <c r="G21" s="36">
        <f>(2+2.1+2.2)/3</f>
        <v>2.1</v>
      </c>
      <c r="H21" s="41"/>
      <c r="I21" s="41"/>
      <c r="J21" s="44"/>
      <c r="K21" s="41"/>
      <c r="L21" s="41" t="s">
        <v>59</v>
      </c>
    </row>
    <row r="22" spans="1:12" ht="16">
      <c r="A22" s="101"/>
      <c r="B22" s="103"/>
      <c r="C22" s="24" t="s">
        <v>390</v>
      </c>
      <c r="D22" s="24"/>
      <c r="E22" s="36"/>
      <c r="F22" s="36">
        <f>(2.466+2.632+2.599)/3</f>
        <v>2.565666666666667</v>
      </c>
      <c r="G22" s="36">
        <f>(3.1+3.2+3.5)/3</f>
        <v>3.2666666666666671</v>
      </c>
      <c r="H22" s="41"/>
      <c r="I22" s="41"/>
      <c r="J22" s="44"/>
      <c r="K22" s="41"/>
      <c r="L22" s="41" t="s">
        <v>59</v>
      </c>
    </row>
    <row r="23" spans="1:12" ht="16">
      <c r="A23" s="101"/>
      <c r="B23" s="103"/>
      <c r="C23" s="24" t="s">
        <v>391</v>
      </c>
      <c r="D23" s="24"/>
      <c r="E23" s="36"/>
      <c r="F23" s="36">
        <f>(3.365+3.632+3.964)/3</f>
        <v>3.6536666666666666</v>
      </c>
      <c r="G23" s="36">
        <f>(3.9+3.7+3.4)/3</f>
        <v>3.6666666666666665</v>
      </c>
      <c r="H23" s="41"/>
      <c r="I23" s="41"/>
      <c r="J23" s="44"/>
      <c r="K23" s="41"/>
      <c r="L23" s="41" t="s">
        <v>59</v>
      </c>
    </row>
    <row r="24" spans="1:12" ht="16">
      <c r="A24" s="101"/>
      <c r="B24" s="103"/>
      <c r="C24" s="24" t="s">
        <v>392</v>
      </c>
      <c r="D24" s="24"/>
      <c r="E24" s="36"/>
      <c r="F24" s="36">
        <f>(4.389+8.124+8.61)/3</f>
        <v>7.0410000000000004</v>
      </c>
      <c r="G24" s="36">
        <f>(7.09+7.83+6.92)/3</f>
        <v>7.28</v>
      </c>
      <c r="H24" s="41"/>
      <c r="I24" s="41"/>
      <c r="J24" s="44"/>
      <c r="K24" s="41"/>
      <c r="L24" s="41" t="s">
        <v>59</v>
      </c>
    </row>
    <row r="25" spans="1:12" ht="16">
      <c r="A25" s="101"/>
      <c r="B25" s="103"/>
      <c r="C25" s="24" t="s">
        <v>393</v>
      </c>
      <c r="D25" s="24"/>
      <c r="E25" s="36"/>
      <c r="F25" s="36">
        <f>(3.358+5.262+5.464)/3</f>
        <v>4.6946666666666665</v>
      </c>
      <c r="G25" s="36">
        <v>6.16</v>
      </c>
      <c r="H25" s="41"/>
      <c r="I25" s="41"/>
      <c r="J25" s="44"/>
      <c r="K25" s="41"/>
      <c r="L25" s="41" t="s">
        <v>59</v>
      </c>
    </row>
    <row r="26" spans="1:12" ht="16">
      <c r="A26" s="101"/>
      <c r="B26" s="103"/>
      <c r="C26" s="24" t="s">
        <v>394</v>
      </c>
      <c r="D26" s="24"/>
      <c r="E26" s="36"/>
      <c r="F26" s="36">
        <f>(9.664+7.938+7.296)/3</f>
        <v>8.2993333333333332</v>
      </c>
      <c r="G26" s="36">
        <v>6.86</v>
      </c>
      <c r="H26" s="41"/>
      <c r="I26" s="41"/>
      <c r="J26" s="44"/>
      <c r="K26" s="41"/>
      <c r="L26" s="41" t="s">
        <v>59</v>
      </c>
    </row>
    <row r="27" spans="1:12" ht="16">
      <c r="A27" s="101"/>
      <c r="B27" s="103"/>
      <c r="C27" s="24" t="s">
        <v>395</v>
      </c>
      <c r="D27" s="24"/>
      <c r="E27" s="36"/>
      <c r="F27" s="36">
        <f>(8.687+5.535+5.807)/3</f>
        <v>6.676333333333333</v>
      </c>
      <c r="G27" s="36">
        <v>4.95</v>
      </c>
      <c r="H27" s="41"/>
      <c r="I27" s="41"/>
      <c r="J27" s="44"/>
      <c r="K27" s="41"/>
      <c r="L27" s="41" t="s">
        <v>59</v>
      </c>
    </row>
    <row r="28" spans="1:12" ht="16">
      <c r="A28" s="101"/>
      <c r="B28" s="103"/>
      <c r="C28" s="24" t="s">
        <v>396</v>
      </c>
      <c r="D28" s="24"/>
      <c r="E28" s="36"/>
      <c r="F28" s="36">
        <f>(7.663+11.407+8.482)/3</f>
        <v>9.1839999999999993</v>
      </c>
      <c r="G28" s="36">
        <v>8.14</v>
      </c>
      <c r="H28" s="41"/>
      <c r="I28" s="41"/>
      <c r="J28" s="44"/>
      <c r="K28" s="41"/>
      <c r="L28" s="41" t="s">
        <v>59</v>
      </c>
    </row>
    <row r="29" spans="1:12" ht="16">
      <c r="A29" s="101"/>
      <c r="B29" s="103"/>
      <c r="C29" s="24" t="s">
        <v>397</v>
      </c>
      <c r="D29" s="24"/>
      <c r="E29" s="36"/>
      <c r="F29" s="36">
        <v>0</v>
      </c>
      <c r="G29" s="36">
        <v>0</v>
      </c>
      <c r="H29" s="41"/>
      <c r="I29" s="41"/>
      <c r="J29" s="44"/>
      <c r="K29" s="41"/>
      <c r="L29" s="41" t="s">
        <v>59</v>
      </c>
    </row>
    <row r="30" spans="1:12" ht="16">
      <c r="A30" s="101"/>
      <c r="B30" s="103"/>
      <c r="C30" s="24" t="s">
        <v>398</v>
      </c>
      <c r="D30" s="24"/>
      <c r="E30" s="36"/>
      <c r="F30" s="36">
        <v>0</v>
      </c>
      <c r="G30" s="36">
        <v>0</v>
      </c>
      <c r="H30" s="41"/>
      <c r="I30" s="41"/>
      <c r="J30" s="44"/>
      <c r="K30" s="41"/>
      <c r="L30" s="41" t="s">
        <v>59</v>
      </c>
    </row>
    <row r="31" spans="1:12" ht="16">
      <c r="A31" s="101"/>
      <c r="B31" s="103"/>
      <c r="C31" s="24" t="s">
        <v>399</v>
      </c>
      <c r="D31" s="24"/>
      <c r="E31" s="36"/>
      <c r="F31" s="36">
        <v>0</v>
      </c>
      <c r="G31" s="36">
        <v>0</v>
      </c>
      <c r="H31" s="41"/>
      <c r="I31" s="41"/>
      <c r="J31" s="44"/>
      <c r="K31" s="41"/>
      <c r="L31" s="41" t="s">
        <v>59</v>
      </c>
    </row>
    <row r="32" spans="1:12" ht="32">
      <c r="A32" s="101"/>
      <c r="B32" s="103"/>
      <c r="C32" s="24" t="s">
        <v>400</v>
      </c>
      <c r="D32" s="24" t="s">
        <v>401</v>
      </c>
      <c r="E32" s="36" t="s">
        <v>402</v>
      </c>
      <c r="F32" s="36" t="s">
        <v>403</v>
      </c>
      <c r="G32" s="36" t="s">
        <v>403</v>
      </c>
      <c r="H32" s="41"/>
      <c r="I32" s="41"/>
      <c r="J32" s="44"/>
      <c r="K32" s="41"/>
      <c r="L32" s="41" t="s">
        <v>59</v>
      </c>
    </row>
    <row r="33" spans="1:12" ht="32">
      <c r="A33" s="101"/>
      <c r="B33" s="103"/>
      <c r="C33" s="24" t="s">
        <v>404</v>
      </c>
      <c r="D33" s="24" t="s">
        <v>401</v>
      </c>
      <c r="E33" s="36" t="s">
        <v>402</v>
      </c>
      <c r="F33" s="36" t="s">
        <v>403</v>
      </c>
      <c r="G33" s="36" t="s">
        <v>403</v>
      </c>
      <c r="H33" s="41"/>
      <c r="I33" s="41"/>
      <c r="J33" s="44"/>
      <c r="K33" s="41"/>
      <c r="L33" s="41" t="s">
        <v>59</v>
      </c>
    </row>
    <row r="34" spans="1:12" ht="16">
      <c r="A34" s="101"/>
      <c r="B34" s="104"/>
      <c r="C34" s="24" t="s">
        <v>405</v>
      </c>
      <c r="D34" s="24"/>
      <c r="E34" s="36" t="s">
        <v>402</v>
      </c>
      <c r="F34" s="36" t="s">
        <v>403</v>
      </c>
      <c r="G34" s="36" t="s">
        <v>403</v>
      </c>
      <c r="H34" s="41"/>
      <c r="I34" s="41"/>
      <c r="J34" s="44"/>
      <c r="K34" s="41"/>
      <c r="L34" s="41" t="s">
        <v>59</v>
      </c>
    </row>
    <row r="35" spans="1:12" ht="16">
      <c r="A35" s="99" t="s">
        <v>406</v>
      </c>
      <c r="B35" s="99" t="s">
        <v>407</v>
      </c>
      <c r="C35" s="24" t="s">
        <v>408</v>
      </c>
      <c r="D35" s="24"/>
      <c r="E35" s="36" t="s">
        <v>409</v>
      </c>
      <c r="F35" s="36">
        <f>(713+621+515)/3</f>
        <v>616.33333333333337</v>
      </c>
      <c r="G35" s="36">
        <f>(615+478+575)/3</f>
        <v>556</v>
      </c>
      <c r="H35" s="41"/>
      <c r="I35" s="41"/>
      <c r="J35" s="44"/>
      <c r="K35" s="41"/>
      <c r="L35" s="41" t="s">
        <v>59</v>
      </c>
    </row>
    <row r="36" spans="1:12" ht="16">
      <c r="A36" s="101"/>
      <c r="B36" s="101"/>
      <c r="C36" s="24" t="s">
        <v>410</v>
      </c>
      <c r="D36" s="26"/>
      <c r="E36" s="32" t="s">
        <v>411</v>
      </c>
      <c r="F36" s="32">
        <f>(1.032+1.624+1.213)/3</f>
        <v>1.2896666666666667</v>
      </c>
      <c r="G36" s="32">
        <f>(1.142+1.735+1.004)/3</f>
        <v>1.2936666666666665</v>
      </c>
      <c r="H36" s="42"/>
      <c r="I36" s="42"/>
      <c r="J36" s="44"/>
      <c r="K36" s="42"/>
      <c r="L36" s="41" t="s">
        <v>59</v>
      </c>
    </row>
    <row r="37" spans="1:12" ht="16">
      <c r="A37" s="108"/>
      <c r="B37" s="101"/>
      <c r="C37" s="24" t="s">
        <v>412</v>
      </c>
      <c r="D37" s="24"/>
      <c r="E37" s="36" t="s">
        <v>413</v>
      </c>
      <c r="F37" s="36">
        <f>(861+531+674)/3</f>
        <v>688.66666666666663</v>
      </c>
      <c r="G37" s="36">
        <f>(0.691+0.769+0.934)/3</f>
        <v>0.79800000000000004</v>
      </c>
      <c r="H37" s="41"/>
      <c r="I37" s="41"/>
      <c r="J37" s="44"/>
      <c r="K37" s="41"/>
      <c r="L37" s="41" t="s">
        <v>59</v>
      </c>
    </row>
    <row r="38" spans="1:12" ht="16">
      <c r="A38" s="101"/>
      <c r="B38" s="101"/>
      <c r="C38" s="27" t="s">
        <v>414</v>
      </c>
      <c r="D38" s="28"/>
      <c r="E38" s="34"/>
      <c r="F38" s="34">
        <f>(1.216+0.921+0.994)/3</f>
        <v>1.0436666666666667</v>
      </c>
      <c r="G38" s="34">
        <f>(0.856+0.641+0.993)/3</f>
        <v>0.83</v>
      </c>
      <c r="H38" s="43"/>
      <c r="I38" s="43"/>
      <c r="J38" s="44"/>
      <c r="K38" s="43"/>
      <c r="L38" s="41" t="s">
        <v>59</v>
      </c>
    </row>
    <row r="39" spans="1:12" ht="16">
      <c r="A39" s="101"/>
      <c r="B39" s="101"/>
      <c r="C39" s="27" t="s">
        <v>415</v>
      </c>
      <c r="D39" s="28"/>
      <c r="E39" s="34"/>
      <c r="F39" s="34">
        <f>(1.273+1.365+1.745)/3</f>
        <v>1.4610000000000001</v>
      </c>
      <c r="G39" s="34">
        <f>(1.17+1.23+1.445)/3</f>
        <v>1.2816666666666665</v>
      </c>
      <c r="H39" s="43"/>
      <c r="I39" s="43"/>
      <c r="J39" s="44"/>
      <c r="K39" s="43"/>
      <c r="L39" s="41" t="s">
        <v>59</v>
      </c>
    </row>
    <row r="40" spans="1:12" ht="16">
      <c r="A40" s="101"/>
      <c r="B40" s="101"/>
      <c r="C40" s="24" t="s">
        <v>416</v>
      </c>
      <c r="D40" s="29"/>
      <c r="E40" s="34" t="s">
        <v>409</v>
      </c>
      <c r="F40" s="34">
        <f>(617+712+562)/3</f>
        <v>630.33333333333337</v>
      </c>
      <c r="G40" s="34">
        <f>(0.459+0.323+0.344)/3</f>
        <v>0.3753333333333333</v>
      </c>
      <c r="H40" s="43"/>
      <c r="I40" s="43"/>
      <c r="J40" s="44"/>
      <c r="K40" s="43"/>
      <c r="L40" s="41" t="s">
        <v>59</v>
      </c>
    </row>
    <row r="41" spans="1:12" ht="16">
      <c r="A41" s="101"/>
      <c r="B41" s="101"/>
      <c r="C41" s="30" t="s">
        <v>417</v>
      </c>
      <c r="D41" s="30"/>
      <c r="E41" s="36" t="s">
        <v>409</v>
      </c>
      <c r="F41" s="36">
        <f>(734+616+442)/3</f>
        <v>597.33333333333337</v>
      </c>
      <c r="G41" s="36">
        <f>(0.273+0.41+0.446)/3</f>
        <v>0.37633333333333335</v>
      </c>
      <c r="H41" s="41"/>
      <c r="I41" s="41"/>
      <c r="J41" s="44"/>
      <c r="K41" s="41"/>
      <c r="L41" s="41" t="s">
        <v>59</v>
      </c>
    </row>
    <row r="42" spans="1:12" ht="16">
      <c r="A42" s="101"/>
      <c r="B42" s="101"/>
      <c r="C42" s="30" t="s">
        <v>418</v>
      </c>
      <c r="D42" s="30"/>
      <c r="E42" s="36" t="s">
        <v>409</v>
      </c>
      <c r="F42" s="34">
        <f>(617+712+562)/3</f>
        <v>630.33333333333337</v>
      </c>
      <c r="G42" s="36">
        <f>(0.459+0.323+0.344)/3</f>
        <v>0.3753333333333333</v>
      </c>
      <c r="H42" s="41"/>
      <c r="I42" s="41"/>
      <c r="J42" s="44"/>
      <c r="K42" s="41"/>
      <c r="L42" s="41" t="s">
        <v>59</v>
      </c>
    </row>
    <row r="43" spans="1:12" ht="16">
      <c r="A43" s="101"/>
      <c r="B43" s="101"/>
      <c r="C43" s="30" t="s">
        <v>419</v>
      </c>
      <c r="D43" s="30"/>
      <c r="E43" s="36" t="s">
        <v>409</v>
      </c>
      <c r="F43" s="40" t="s">
        <v>262</v>
      </c>
      <c r="G43" s="40" t="s">
        <v>262</v>
      </c>
      <c r="H43" s="41"/>
      <c r="I43" s="41"/>
      <c r="J43" s="44"/>
      <c r="K43" s="41"/>
      <c r="L43" s="41" t="s">
        <v>59</v>
      </c>
    </row>
    <row r="44" spans="1:12" ht="16">
      <c r="A44" s="101"/>
      <c r="B44" s="101"/>
      <c r="C44" s="27" t="s">
        <v>420</v>
      </c>
      <c r="D44" s="27"/>
      <c r="E44" s="36"/>
      <c r="F44" s="36">
        <f>(1.817+1.98+1.774)/3</f>
        <v>1.857</v>
      </c>
      <c r="G44" s="36">
        <f>(1.101+1.65+1.974)/3</f>
        <v>1.575</v>
      </c>
      <c r="H44" s="41"/>
      <c r="I44" s="41"/>
      <c r="J44" s="44"/>
      <c r="K44" s="41"/>
      <c r="L44" s="41" t="s">
        <v>59</v>
      </c>
    </row>
    <row r="45" spans="1:12" ht="16">
      <c r="A45" s="101"/>
      <c r="B45" s="101"/>
      <c r="C45" s="27" t="s">
        <v>421</v>
      </c>
      <c r="D45" s="27"/>
      <c r="E45" s="36"/>
      <c r="F45" s="36">
        <f>(1.997+2.413+1.996)/3</f>
        <v>2.1353333333333335</v>
      </c>
      <c r="G45" s="36">
        <f>(2.11+2.75+1.972)/3</f>
        <v>2.277333333333333</v>
      </c>
      <c r="H45" s="41"/>
      <c r="I45" s="41"/>
      <c r="J45" s="44"/>
      <c r="K45" s="41"/>
      <c r="L45" s="41" t="s">
        <v>59</v>
      </c>
    </row>
    <row r="46" spans="1:12" ht="16">
      <c r="A46" s="101"/>
      <c r="B46" s="101"/>
      <c r="C46" s="27" t="s">
        <v>422</v>
      </c>
      <c r="D46" s="27"/>
      <c r="E46" s="36"/>
      <c r="F46" s="36">
        <f>(1.673+1.628+2.17)/3</f>
        <v>1.8236666666666668</v>
      </c>
      <c r="G46" s="36">
        <f>(1.745+1.23+2.7)/3</f>
        <v>1.8916666666666668</v>
      </c>
      <c r="H46" s="41"/>
      <c r="I46" s="41"/>
      <c r="J46" s="44"/>
      <c r="K46" s="41"/>
      <c r="L46" s="41" t="s">
        <v>59</v>
      </c>
    </row>
    <row r="47" spans="1:12" ht="16">
      <c r="A47" s="101"/>
      <c r="B47" s="101"/>
      <c r="C47" s="31" t="s">
        <v>423</v>
      </c>
      <c r="D47" s="31"/>
      <c r="E47" s="36"/>
      <c r="F47" s="36">
        <f>(1.112+1.72+1.999)/3</f>
        <v>1.6103333333333332</v>
      </c>
      <c r="G47" s="36">
        <f>(0.981+1.11+2)/3</f>
        <v>1.3636666666666668</v>
      </c>
      <c r="H47" s="41"/>
      <c r="I47" s="41"/>
      <c r="J47" s="44"/>
      <c r="K47" s="41"/>
      <c r="L47" s="41" t="s">
        <v>59</v>
      </c>
    </row>
    <row r="48" spans="1:12" ht="16">
      <c r="A48" s="101"/>
      <c r="B48" s="101"/>
      <c r="C48" s="31" t="s">
        <v>424</v>
      </c>
      <c r="D48" s="31"/>
      <c r="E48" s="36"/>
      <c r="F48" s="36">
        <f>(2.111+1.651+1.554)/3</f>
        <v>1.7720000000000002</v>
      </c>
      <c r="G48" s="36">
        <f>(2.01+1.77+1.011)/3</f>
        <v>1.5969999999999998</v>
      </c>
      <c r="H48" s="41"/>
      <c r="I48" s="41"/>
      <c r="J48" s="44"/>
      <c r="K48" s="41"/>
      <c r="L48" s="41" t="s">
        <v>59</v>
      </c>
    </row>
    <row r="49" spans="1:12" ht="16">
      <c r="A49" s="101"/>
      <c r="B49" s="101"/>
      <c r="C49" s="24" t="s">
        <v>425</v>
      </c>
      <c r="D49" s="24"/>
      <c r="E49" s="36"/>
      <c r="F49" s="36">
        <f>(713+621+515)/3</f>
        <v>616.33333333333337</v>
      </c>
      <c r="G49" s="36">
        <f>(615+478+575)/3</f>
        <v>556</v>
      </c>
      <c r="H49" s="41"/>
      <c r="I49" s="41"/>
      <c r="J49" s="44"/>
      <c r="K49" s="41"/>
      <c r="L49" s="41" t="s">
        <v>59</v>
      </c>
    </row>
    <row r="50" spans="1:12" ht="16">
      <c r="A50" s="99" t="s">
        <v>426</v>
      </c>
      <c r="B50" s="105" t="s">
        <v>427</v>
      </c>
      <c r="C50" s="30" t="s">
        <v>428</v>
      </c>
      <c r="D50" s="33"/>
      <c r="E50" s="34" t="s">
        <v>429</v>
      </c>
      <c r="F50" s="34">
        <f>(1.233+0.9+0.833)/3</f>
        <v>0.98866666666666669</v>
      </c>
      <c r="G50" s="34">
        <f>(2.44+2.072+1.771)/3</f>
        <v>2.0943333333333336</v>
      </c>
      <c r="H50" s="43"/>
      <c r="I50" s="43"/>
      <c r="J50" s="44"/>
      <c r="K50" s="43"/>
      <c r="L50" s="43" t="s">
        <v>59</v>
      </c>
    </row>
    <row r="51" spans="1:12" ht="16">
      <c r="A51" s="100"/>
      <c r="B51" s="106"/>
      <c r="C51" s="30" t="s">
        <v>430</v>
      </c>
      <c r="D51" s="30"/>
      <c r="E51" s="36" t="s">
        <v>431</v>
      </c>
      <c r="F51" s="36">
        <f>(1.766+1.734+1.8)/3</f>
        <v>1.7666666666666666</v>
      </c>
      <c r="G51" s="36">
        <f>(1.938+1.9998+1.967)/3</f>
        <v>1.9682666666666666</v>
      </c>
      <c r="H51" s="41"/>
      <c r="I51" s="41"/>
      <c r="J51" s="44"/>
      <c r="K51" s="41"/>
      <c r="L51" s="41" t="s">
        <v>59</v>
      </c>
    </row>
    <row r="52" spans="1:12" ht="16">
      <c r="A52" s="105" t="s">
        <v>432</v>
      </c>
      <c r="B52" s="99" t="s">
        <v>427</v>
      </c>
      <c r="C52" s="35" t="s">
        <v>433</v>
      </c>
      <c r="D52" s="35"/>
      <c r="E52" s="36" t="s">
        <v>61</v>
      </c>
      <c r="F52" s="36">
        <v>0.76333333299999995</v>
      </c>
      <c r="G52" s="36">
        <f>(0.867+0.601+0.534)/3</f>
        <v>0.66733333333333322</v>
      </c>
      <c r="H52" s="41"/>
      <c r="I52" s="41"/>
      <c r="J52" s="44"/>
      <c r="K52" s="41"/>
      <c r="L52" s="41" t="s">
        <v>59</v>
      </c>
    </row>
    <row r="53" spans="1:12" ht="16">
      <c r="A53" s="107"/>
      <c r="B53" s="101"/>
      <c r="C53" s="35" t="s">
        <v>434</v>
      </c>
      <c r="D53" s="35"/>
      <c r="E53" s="36" t="s">
        <v>61</v>
      </c>
      <c r="F53" s="36">
        <v>0.58666666700000003</v>
      </c>
      <c r="G53" s="36">
        <f>(0.566+0.6+0.634)/3</f>
        <v>0.6</v>
      </c>
      <c r="H53" s="41"/>
      <c r="I53" s="41"/>
      <c r="J53" s="44"/>
      <c r="K53" s="41"/>
      <c r="L53" s="41" t="s">
        <v>59</v>
      </c>
    </row>
    <row r="54" spans="1:12" ht="16" hidden="1">
      <c r="A54" s="106"/>
      <c r="B54" s="100"/>
      <c r="C54" s="35" t="s">
        <v>435</v>
      </c>
      <c r="D54" s="35"/>
      <c r="E54" s="36" t="s">
        <v>61</v>
      </c>
      <c r="F54" s="36">
        <v>0.83</v>
      </c>
      <c r="G54" s="40"/>
      <c r="H54" s="41"/>
      <c r="I54" s="41"/>
      <c r="J54" s="44"/>
      <c r="K54" s="41"/>
      <c r="L54" s="41" t="s">
        <v>59</v>
      </c>
    </row>
    <row r="55" spans="1:12" ht="16">
      <c r="A55" s="36" t="s">
        <v>436</v>
      </c>
      <c r="B55" s="36" t="s">
        <v>427</v>
      </c>
      <c r="C55" s="35" t="s">
        <v>437</v>
      </c>
      <c r="D55" s="35"/>
      <c r="E55" s="36" t="s">
        <v>61</v>
      </c>
      <c r="F55" s="36">
        <f>(0.83+0.8+0.86)/3</f>
        <v>0.83</v>
      </c>
      <c r="G55" s="36">
        <f>(0.7+0.634+0.633)/3</f>
        <v>0.65566666666666673</v>
      </c>
      <c r="H55" s="41"/>
      <c r="I55" s="41"/>
      <c r="J55" s="44"/>
      <c r="K55" s="41"/>
      <c r="L55" s="41" t="s">
        <v>59</v>
      </c>
    </row>
    <row r="56" spans="1:12" ht="16">
      <c r="A56" s="109" t="s">
        <v>438</v>
      </c>
      <c r="B56" s="105" t="s">
        <v>427</v>
      </c>
      <c r="C56" s="35" t="s">
        <v>439</v>
      </c>
      <c r="D56" s="35"/>
      <c r="E56" s="36" t="s">
        <v>61</v>
      </c>
      <c r="F56" s="36">
        <v>1.606666667</v>
      </c>
      <c r="G56" s="36">
        <f>(1.2+1.033+1.034)/3</f>
        <v>1.0889999999999997</v>
      </c>
      <c r="H56" s="41"/>
      <c r="I56" s="41"/>
      <c r="J56" s="44"/>
      <c r="K56" s="41"/>
      <c r="L56" s="41" t="s">
        <v>59</v>
      </c>
    </row>
    <row r="57" spans="1:12" ht="16" hidden="1">
      <c r="A57" s="110"/>
      <c r="B57" s="106"/>
      <c r="C57" s="35" t="s">
        <v>440</v>
      </c>
      <c r="D57" s="35"/>
      <c r="E57" s="36" t="s">
        <v>95</v>
      </c>
      <c r="F57" s="36"/>
      <c r="G57" s="40"/>
      <c r="H57" s="41"/>
      <c r="I57" s="41"/>
      <c r="J57" s="44"/>
      <c r="K57" s="41"/>
      <c r="L57" s="41" t="s">
        <v>59</v>
      </c>
    </row>
    <row r="58" spans="1:12" ht="16">
      <c r="A58" s="36" t="s">
        <v>441</v>
      </c>
      <c r="B58" s="36" t="s">
        <v>427</v>
      </c>
      <c r="C58" s="35" t="s">
        <v>442</v>
      </c>
      <c r="D58" s="35"/>
      <c r="E58" s="36" t="s">
        <v>61</v>
      </c>
      <c r="F58" s="36">
        <v>0.62333333300000004</v>
      </c>
      <c r="G58" s="36">
        <f>(0.563+0.514+0.511)/3</f>
        <v>0.52933333333333332</v>
      </c>
      <c r="H58" s="41"/>
      <c r="I58" s="41"/>
      <c r="J58" s="44"/>
      <c r="K58" s="41"/>
      <c r="L58" s="41" t="s">
        <v>59</v>
      </c>
    </row>
    <row r="59" spans="1:12" ht="16">
      <c r="A59" s="99" t="s">
        <v>443</v>
      </c>
      <c r="B59" s="105" t="s">
        <v>427</v>
      </c>
      <c r="C59" s="35" t="s">
        <v>444</v>
      </c>
      <c r="D59" s="35"/>
      <c r="E59" s="36" t="s">
        <v>61</v>
      </c>
      <c r="F59" s="40" t="s">
        <v>262</v>
      </c>
      <c r="G59" s="40" t="s">
        <v>262</v>
      </c>
      <c r="H59" s="41"/>
      <c r="I59" s="41"/>
      <c r="J59" s="44"/>
      <c r="K59" s="41"/>
      <c r="L59" s="41" t="s">
        <v>59</v>
      </c>
    </row>
    <row r="60" spans="1:12" ht="16" hidden="1">
      <c r="A60" s="100"/>
      <c r="B60" s="106"/>
      <c r="C60" s="35" t="s">
        <v>445</v>
      </c>
      <c r="D60" s="35"/>
      <c r="E60" s="36" t="s">
        <v>429</v>
      </c>
      <c r="F60" s="36"/>
      <c r="G60" s="40" t="s">
        <v>262</v>
      </c>
      <c r="H60" s="41"/>
      <c r="I60" s="41"/>
      <c r="J60" s="44"/>
      <c r="K60" s="41"/>
      <c r="L60" s="41" t="s">
        <v>59</v>
      </c>
    </row>
    <row r="61" spans="1:12" ht="16">
      <c r="A61" s="99" t="s">
        <v>446</v>
      </c>
      <c r="B61" s="105" t="s">
        <v>427</v>
      </c>
      <c r="C61" s="35" t="s">
        <v>447</v>
      </c>
      <c r="D61" s="35"/>
      <c r="E61" s="36" t="s">
        <v>110</v>
      </c>
      <c r="F61" s="36">
        <f>(1.534+2.034+1.2)/3</f>
        <v>1.5893333333333333</v>
      </c>
      <c r="G61" s="36">
        <f>(5.234+2.6+3.434)/3</f>
        <v>3.7560000000000002</v>
      </c>
      <c r="H61" s="41"/>
      <c r="I61" s="41"/>
      <c r="J61" s="44"/>
      <c r="K61" s="41"/>
      <c r="L61" s="41" t="s">
        <v>59</v>
      </c>
    </row>
    <row r="62" spans="1:12" ht="16">
      <c r="A62" s="101"/>
      <c r="B62" s="107"/>
      <c r="C62" s="35" t="s">
        <v>448</v>
      </c>
      <c r="D62" s="35"/>
      <c r="E62" s="36" t="s">
        <v>110</v>
      </c>
      <c r="F62" s="36">
        <f>(5.734+5.8+6.333)/3</f>
        <v>5.9556666666666658</v>
      </c>
      <c r="G62" s="36">
        <f>(5.066+8.733+6.7)/3</f>
        <v>6.8329999999999993</v>
      </c>
      <c r="H62" s="41"/>
      <c r="I62" s="41"/>
      <c r="J62" s="44"/>
      <c r="K62" s="41"/>
      <c r="L62" s="41" t="s">
        <v>59</v>
      </c>
    </row>
    <row r="63" spans="1:12" ht="16">
      <c r="A63" s="100"/>
      <c r="B63" s="106"/>
      <c r="C63" s="35" t="s">
        <v>449</v>
      </c>
      <c r="D63" s="37"/>
      <c r="E63" s="36" t="s">
        <v>110</v>
      </c>
      <c r="F63" s="36">
        <f>(3.967+3.834+1.867)/3</f>
        <v>3.2226666666666666</v>
      </c>
      <c r="G63" s="36">
        <f>(4.968+3.967+3.967)/3</f>
        <v>4.3006666666666673</v>
      </c>
      <c r="H63" s="41"/>
      <c r="I63" s="41"/>
      <c r="J63" s="44"/>
      <c r="K63" s="41"/>
      <c r="L63" s="41" t="s">
        <v>59</v>
      </c>
    </row>
    <row r="64" spans="1:12" s="19" customFormat="1">
      <c r="A64" s="20"/>
      <c r="B64" s="20"/>
      <c r="C64" s="20"/>
      <c r="D64" s="20"/>
      <c r="E64" s="21"/>
      <c r="F64" s="21"/>
      <c r="G64" s="22"/>
    </row>
    <row r="65" spans="1:7" s="19" customFormat="1">
      <c r="A65" s="20"/>
      <c r="B65" s="20"/>
      <c r="C65" s="20"/>
      <c r="D65" s="20"/>
      <c r="E65" s="21"/>
      <c r="F65" s="21"/>
      <c r="G65" s="22"/>
    </row>
    <row r="66" spans="1:7" s="19" customFormat="1">
      <c r="A66" s="20"/>
      <c r="B66" s="20"/>
      <c r="C66" s="20"/>
      <c r="D66" s="20"/>
      <c r="E66" s="21"/>
      <c r="F66" s="21"/>
      <c r="G66" s="22"/>
    </row>
    <row r="71" spans="1:7" s="19" customFormat="1">
      <c r="A71" s="20"/>
      <c r="B71" s="20"/>
      <c r="C71" s="20"/>
      <c r="D71" s="20"/>
      <c r="E71" s="21"/>
      <c r="F71" s="21"/>
      <c r="G71" s="20"/>
    </row>
  </sheetData>
  <autoFilter ref="A1:L63" xr:uid="{00000000-0009-0000-0000-000002000000}"/>
  <mergeCells count="14">
    <mergeCell ref="A59:A60"/>
    <mergeCell ref="A61:A63"/>
    <mergeCell ref="B2:B34"/>
    <mergeCell ref="B35:B49"/>
    <mergeCell ref="B50:B51"/>
    <mergeCell ref="B52:B54"/>
    <mergeCell ref="B56:B57"/>
    <mergeCell ref="B59:B60"/>
    <mergeCell ref="B61:B63"/>
    <mergeCell ref="A2:A34"/>
    <mergeCell ref="A35:A49"/>
    <mergeCell ref="A50:A51"/>
    <mergeCell ref="A52:A54"/>
    <mergeCell ref="A56:A57"/>
  </mergeCells>
  <phoneticPr fontId="18" type="noConversion"/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7"/>
  <sheetViews>
    <sheetView workbookViewId="0">
      <pane xSplit="1" ySplit="2" topLeftCell="B61" activePane="bottomRight" state="frozen"/>
      <selection pane="topRight"/>
      <selection pane="bottomLeft"/>
      <selection pane="bottomRight" activeCell="N42" sqref="N42"/>
    </sheetView>
  </sheetViews>
  <sheetFormatPr baseColWidth="10" defaultColWidth="9" defaultRowHeight="15"/>
  <cols>
    <col min="1" max="1" width="16.6640625" style="14" customWidth="1"/>
    <col min="2" max="2" width="31.1640625" style="14" customWidth="1"/>
    <col min="3" max="3" width="11.5" style="14" customWidth="1"/>
    <col min="4" max="4" width="18.33203125" style="14" customWidth="1"/>
    <col min="5" max="5" width="9" style="14"/>
    <col min="6" max="6" width="16.6640625" style="14" customWidth="1"/>
    <col min="7" max="9" width="14.1640625" style="14" customWidth="1"/>
    <col min="10" max="10" width="12" style="14" customWidth="1"/>
    <col min="11" max="11" width="12.1640625" style="14" customWidth="1"/>
    <col min="12" max="12" width="14.1640625" style="14" customWidth="1"/>
    <col min="13" max="14" width="17.1640625" style="14" customWidth="1"/>
    <col min="15" max="16" width="18.5" style="14" customWidth="1"/>
    <col min="17" max="17" width="12" style="14" customWidth="1"/>
    <col min="18" max="18" width="12.1640625" style="14" customWidth="1"/>
    <col min="19" max="19" width="26.6640625" style="14" customWidth="1"/>
    <col min="20" max="20" width="24.1640625" style="14" customWidth="1"/>
    <col min="21" max="21" width="27.5" style="14" customWidth="1"/>
    <col min="22" max="22" width="13" style="14" customWidth="1"/>
    <col min="23" max="16384" width="9" style="14"/>
  </cols>
  <sheetData>
    <row r="1" spans="1:22">
      <c r="A1" s="14" t="s">
        <v>450</v>
      </c>
    </row>
    <row r="2" spans="1:22">
      <c r="A2" s="15" t="s">
        <v>451</v>
      </c>
      <c r="B2" s="15" t="s">
        <v>1</v>
      </c>
      <c r="C2" s="15" t="s">
        <v>452</v>
      </c>
      <c r="D2" s="15" t="s">
        <v>453</v>
      </c>
      <c r="E2" s="15" t="s">
        <v>2</v>
      </c>
      <c r="F2" s="15" t="s">
        <v>454</v>
      </c>
      <c r="G2" s="15" t="s">
        <v>455</v>
      </c>
      <c r="H2" s="15" t="s">
        <v>456</v>
      </c>
      <c r="I2" s="15" t="s">
        <v>457</v>
      </c>
      <c r="J2" s="15" t="s">
        <v>458</v>
      </c>
      <c r="K2" s="15" t="s">
        <v>459</v>
      </c>
      <c r="L2" s="15" t="s">
        <v>460</v>
      </c>
      <c r="M2" s="15" t="s">
        <v>454</v>
      </c>
      <c r="N2" s="15" t="s">
        <v>455</v>
      </c>
      <c r="O2" s="15" t="s">
        <v>456</v>
      </c>
      <c r="P2" s="15" t="s">
        <v>457</v>
      </c>
      <c r="Q2" s="15" t="s">
        <v>458</v>
      </c>
      <c r="R2" s="15" t="s">
        <v>459</v>
      </c>
      <c r="S2" s="15" t="s">
        <v>9</v>
      </c>
      <c r="T2" s="15" t="s">
        <v>10</v>
      </c>
      <c r="U2" s="15" t="s">
        <v>461</v>
      </c>
      <c r="V2" s="15" t="s">
        <v>462</v>
      </c>
    </row>
    <row r="3" spans="1:22">
      <c r="A3" s="18" t="s">
        <v>406</v>
      </c>
      <c r="B3" s="18" t="s">
        <v>463</v>
      </c>
      <c r="C3" s="17" t="s">
        <v>464</v>
      </c>
      <c r="D3" s="18" t="s">
        <v>465</v>
      </c>
      <c r="E3" s="17" t="s">
        <v>59</v>
      </c>
      <c r="F3" s="55">
        <v>32.89</v>
      </c>
      <c r="G3" s="55">
        <v>80.3</v>
      </c>
      <c r="H3" s="17">
        <v>314.22000000000003</v>
      </c>
      <c r="I3" s="17">
        <v>344.01</v>
      </c>
      <c r="J3" s="53">
        <v>8</v>
      </c>
      <c r="K3" s="53">
        <v>14</v>
      </c>
      <c r="L3" s="50" t="s">
        <v>466</v>
      </c>
      <c r="M3" s="55">
        <v>17.850000000000001</v>
      </c>
      <c r="N3" s="55">
        <v>41.3</v>
      </c>
      <c r="O3" s="17">
        <v>317.07</v>
      </c>
      <c r="P3" s="17">
        <v>340.44</v>
      </c>
      <c r="Q3" s="53">
        <v>1</v>
      </c>
      <c r="R3" s="53">
        <v>4</v>
      </c>
      <c r="S3" s="17"/>
      <c r="T3" s="17"/>
      <c r="U3" s="17"/>
      <c r="V3" s="17"/>
    </row>
    <row r="4" spans="1:22">
      <c r="A4" s="17"/>
      <c r="B4" s="18" t="s">
        <v>467</v>
      </c>
      <c r="C4" s="17" t="s">
        <v>464</v>
      </c>
      <c r="D4" s="18" t="s">
        <v>465</v>
      </c>
      <c r="E4" s="17" t="s">
        <v>59</v>
      </c>
      <c r="F4" s="55">
        <v>29.64</v>
      </c>
      <c r="G4" s="55">
        <v>62.3</v>
      </c>
      <c r="H4" s="17">
        <v>325.17</v>
      </c>
      <c r="I4" s="17">
        <v>351.25</v>
      </c>
      <c r="J4" s="53">
        <v>9</v>
      </c>
      <c r="K4" s="53">
        <v>16</v>
      </c>
      <c r="L4" s="17" t="s">
        <v>466</v>
      </c>
      <c r="M4" s="55">
        <v>17.059999999999999</v>
      </c>
      <c r="N4" s="55">
        <v>49</v>
      </c>
      <c r="O4" s="17">
        <v>310.45</v>
      </c>
      <c r="P4" s="17">
        <v>325.95</v>
      </c>
      <c r="Q4" s="53">
        <v>0</v>
      </c>
      <c r="R4" s="53">
        <v>11</v>
      </c>
      <c r="S4" s="17"/>
      <c r="T4" s="17"/>
      <c r="U4" s="17"/>
      <c r="V4" s="17"/>
    </row>
    <row r="5" spans="1:22">
      <c r="A5" s="17"/>
      <c r="B5" s="18" t="s">
        <v>468</v>
      </c>
      <c r="C5" s="17" t="s">
        <v>464</v>
      </c>
      <c r="D5" s="18" t="s">
        <v>465</v>
      </c>
      <c r="E5" s="17" t="s">
        <v>59</v>
      </c>
      <c r="F5" s="17">
        <v>22.59</v>
      </c>
      <c r="G5" s="17">
        <v>33</v>
      </c>
      <c r="H5" s="17">
        <v>322.55</v>
      </c>
      <c r="I5" s="17">
        <v>336.77</v>
      </c>
      <c r="J5" s="53">
        <v>5</v>
      </c>
      <c r="K5" s="53">
        <v>11</v>
      </c>
      <c r="L5" s="50" t="s">
        <v>466</v>
      </c>
      <c r="M5" s="17">
        <v>16.059999999999999</v>
      </c>
      <c r="N5" s="17">
        <v>30.6</v>
      </c>
      <c r="O5" s="17">
        <v>271.88</v>
      </c>
      <c r="P5" s="17">
        <v>311.45999999999998</v>
      </c>
      <c r="Q5" s="53">
        <v>0</v>
      </c>
      <c r="R5" s="53">
        <v>5</v>
      </c>
      <c r="S5" s="17"/>
      <c r="T5" s="17"/>
      <c r="U5" s="17"/>
      <c r="V5" s="17"/>
    </row>
    <row r="6" spans="1:22">
      <c r="A6" s="17"/>
      <c r="B6" s="18" t="s">
        <v>469</v>
      </c>
      <c r="C6" s="17" t="s">
        <v>464</v>
      </c>
      <c r="D6" s="18" t="s">
        <v>465</v>
      </c>
      <c r="E6" s="17" t="s">
        <v>59</v>
      </c>
      <c r="F6" s="17">
        <v>14.32</v>
      </c>
      <c r="G6" s="17">
        <v>19.600000000000001</v>
      </c>
      <c r="H6" s="17">
        <v>312.26</v>
      </c>
      <c r="I6" s="17">
        <v>333.15</v>
      </c>
      <c r="J6" s="53">
        <v>5</v>
      </c>
      <c r="K6" s="53">
        <v>19</v>
      </c>
      <c r="L6" s="17" t="s">
        <v>466</v>
      </c>
      <c r="M6" s="17">
        <v>11.96</v>
      </c>
      <c r="N6" s="17">
        <v>15.6</v>
      </c>
      <c r="O6" s="17">
        <v>269.64999999999998</v>
      </c>
      <c r="P6" s="17">
        <v>311.45999999999998</v>
      </c>
      <c r="Q6" s="53">
        <v>0</v>
      </c>
      <c r="R6" s="53">
        <v>5</v>
      </c>
      <c r="S6" s="17"/>
      <c r="T6" s="17"/>
      <c r="U6" s="17"/>
      <c r="V6" s="17"/>
    </row>
    <row r="7" spans="1:22">
      <c r="A7" s="17"/>
      <c r="B7" s="18" t="s">
        <v>470</v>
      </c>
      <c r="C7" s="17" t="s">
        <v>471</v>
      </c>
      <c r="D7" s="18" t="s">
        <v>465</v>
      </c>
      <c r="E7" s="17" t="s">
        <v>59</v>
      </c>
      <c r="F7" s="17">
        <v>13.7</v>
      </c>
      <c r="G7" s="17">
        <v>16.600000000000001</v>
      </c>
      <c r="H7" s="17">
        <v>293.76</v>
      </c>
      <c r="I7" s="17">
        <v>340.39</v>
      </c>
      <c r="J7" s="53">
        <v>2</v>
      </c>
      <c r="K7" s="53">
        <v>9</v>
      </c>
      <c r="L7" s="17" t="s">
        <v>466</v>
      </c>
      <c r="M7" s="17">
        <v>9.5299999999999994</v>
      </c>
      <c r="N7" s="17">
        <v>12.3</v>
      </c>
      <c r="O7" s="17">
        <v>274.91000000000003</v>
      </c>
      <c r="P7" s="17">
        <v>318.70999999999998</v>
      </c>
      <c r="Q7" s="53">
        <v>0</v>
      </c>
      <c r="R7" s="53">
        <v>0</v>
      </c>
      <c r="S7" s="17"/>
      <c r="T7" s="17"/>
      <c r="U7" s="17"/>
      <c r="V7" s="17"/>
    </row>
    <row r="8" spans="1:22" ht="14" customHeight="1">
      <c r="A8" s="17" t="s">
        <v>472</v>
      </c>
      <c r="B8" s="17" t="s">
        <v>473</v>
      </c>
      <c r="C8" s="17" t="s">
        <v>464</v>
      </c>
      <c r="D8" s="17" t="s">
        <v>474</v>
      </c>
      <c r="E8" s="17" t="s">
        <v>59</v>
      </c>
      <c r="F8" s="17">
        <v>0</v>
      </c>
      <c r="G8" s="17">
        <v>0</v>
      </c>
      <c r="H8" s="17">
        <v>122</v>
      </c>
      <c r="I8" s="17">
        <v>122</v>
      </c>
      <c r="J8" s="17">
        <v>0</v>
      </c>
      <c r="K8" s="17">
        <v>0</v>
      </c>
      <c r="L8" s="17" t="s">
        <v>475</v>
      </c>
      <c r="M8" s="17">
        <v>0.05</v>
      </c>
      <c r="N8" s="17">
        <v>3</v>
      </c>
      <c r="O8" s="17">
        <v>93.26</v>
      </c>
      <c r="P8" s="17">
        <v>126.76</v>
      </c>
      <c r="Q8" s="53">
        <v>0</v>
      </c>
      <c r="R8" s="53">
        <v>0</v>
      </c>
      <c r="S8" s="17"/>
      <c r="T8" s="17"/>
      <c r="U8" s="17"/>
      <c r="V8" s="17"/>
    </row>
    <row r="9" spans="1:22">
      <c r="A9" s="17"/>
      <c r="B9" s="17" t="s">
        <v>476</v>
      </c>
      <c r="C9" s="17" t="s">
        <v>464</v>
      </c>
      <c r="D9" s="17" t="s">
        <v>474</v>
      </c>
      <c r="E9" s="17" t="s">
        <v>59</v>
      </c>
      <c r="F9" s="17">
        <v>0</v>
      </c>
      <c r="G9" s="17">
        <v>0</v>
      </c>
      <c r="H9" s="17">
        <v>106</v>
      </c>
      <c r="I9" s="17">
        <v>106</v>
      </c>
      <c r="J9" s="17">
        <v>0</v>
      </c>
      <c r="K9" s="17">
        <v>0</v>
      </c>
      <c r="L9" s="17" t="s">
        <v>475</v>
      </c>
      <c r="M9" s="17">
        <v>0.04</v>
      </c>
      <c r="N9" s="17">
        <v>3.1</v>
      </c>
      <c r="O9" s="17">
        <v>70.02</v>
      </c>
      <c r="P9" s="17">
        <v>105.03</v>
      </c>
      <c r="Q9" s="53">
        <v>0</v>
      </c>
      <c r="R9" s="53">
        <v>0</v>
      </c>
      <c r="S9" s="17"/>
      <c r="T9" s="17"/>
      <c r="U9" s="17"/>
      <c r="V9" s="17"/>
    </row>
    <row r="10" spans="1:22">
      <c r="A10" s="17"/>
      <c r="B10" s="17" t="s">
        <v>477</v>
      </c>
      <c r="C10" s="17" t="s">
        <v>464</v>
      </c>
      <c r="D10" s="17" t="s">
        <v>474</v>
      </c>
      <c r="E10" s="17" t="s">
        <v>59</v>
      </c>
      <c r="F10" s="17">
        <v>11.1</v>
      </c>
      <c r="G10" s="17">
        <v>81.2</v>
      </c>
      <c r="H10" s="17">
        <v>140.4</v>
      </c>
      <c r="I10" s="17">
        <v>154</v>
      </c>
      <c r="J10" s="17">
        <v>2.4666666670000001</v>
      </c>
      <c r="K10" s="17">
        <v>9</v>
      </c>
      <c r="L10" s="17" t="s">
        <v>475</v>
      </c>
      <c r="M10" s="17">
        <v>17.25</v>
      </c>
      <c r="N10" s="17">
        <v>34</v>
      </c>
      <c r="O10" s="17">
        <v>140.9</v>
      </c>
      <c r="P10" s="17">
        <v>162.97</v>
      </c>
      <c r="Q10" s="53">
        <v>2</v>
      </c>
      <c r="R10" s="53">
        <v>2</v>
      </c>
      <c r="S10" s="17"/>
      <c r="T10" s="17"/>
      <c r="U10" s="17"/>
      <c r="V10" s="17"/>
    </row>
    <row r="11" spans="1:22">
      <c r="A11" s="17"/>
      <c r="B11" s="17" t="s">
        <v>470</v>
      </c>
      <c r="C11" s="17" t="s">
        <v>471</v>
      </c>
      <c r="D11" s="17" t="s">
        <v>474</v>
      </c>
      <c r="E11" s="17" t="s">
        <v>59</v>
      </c>
      <c r="F11" s="17">
        <v>0</v>
      </c>
      <c r="G11" s="17">
        <v>0</v>
      </c>
      <c r="H11" s="17">
        <v>112</v>
      </c>
      <c r="I11" s="17">
        <v>112</v>
      </c>
      <c r="J11" s="17">
        <v>1.6666667E-2</v>
      </c>
      <c r="K11" s="17">
        <v>1</v>
      </c>
      <c r="L11" s="17" t="s">
        <v>475</v>
      </c>
      <c r="M11" s="17">
        <v>0</v>
      </c>
      <c r="N11" s="17">
        <v>0</v>
      </c>
      <c r="O11" s="17">
        <v>0</v>
      </c>
      <c r="P11" s="17">
        <v>0</v>
      </c>
      <c r="Q11" s="53">
        <v>0</v>
      </c>
      <c r="R11" s="53">
        <v>0</v>
      </c>
      <c r="S11" s="17"/>
      <c r="T11" s="17"/>
      <c r="U11" s="17"/>
      <c r="V11" s="17"/>
    </row>
    <row r="12" spans="1:22">
      <c r="A12" s="17" t="s">
        <v>478</v>
      </c>
      <c r="B12" s="17" t="s">
        <v>477</v>
      </c>
      <c r="C12" s="17" t="s">
        <v>464</v>
      </c>
      <c r="D12" s="17" t="s">
        <v>479</v>
      </c>
      <c r="E12" s="17" t="s">
        <v>59</v>
      </c>
      <c r="F12" s="17" t="s">
        <v>262</v>
      </c>
      <c r="G12" s="17" t="s">
        <v>262</v>
      </c>
      <c r="H12" s="17" t="s">
        <v>262</v>
      </c>
      <c r="I12" s="17" t="s">
        <v>262</v>
      </c>
      <c r="J12" s="17" t="s">
        <v>262</v>
      </c>
      <c r="K12" s="17" t="s">
        <v>262</v>
      </c>
      <c r="L12" s="17" t="s">
        <v>262</v>
      </c>
      <c r="M12" s="17" t="s">
        <v>262</v>
      </c>
      <c r="N12" s="17" t="s">
        <v>262</v>
      </c>
      <c r="O12" s="17" t="s">
        <v>262</v>
      </c>
      <c r="P12" s="17" t="s">
        <v>262</v>
      </c>
      <c r="Q12" s="17" t="s">
        <v>262</v>
      </c>
      <c r="R12" s="17" t="s">
        <v>262</v>
      </c>
      <c r="S12" s="17"/>
      <c r="T12" s="17"/>
      <c r="U12" s="17"/>
      <c r="V12" s="17"/>
    </row>
    <row r="13" spans="1:22">
      <c r="A13" s="17"/>
      <c r="B13" s="17" t="s">
        <v>470</v>
      </c>
      <c r="C13" s="17" t="s">
        <v>471</v>
      </c>
      <c r="D13" s="17" t="s">
        <v>480</v>
      </c>
      <c r="E13" s="17" t="s">
        <v>59</v>
      </c>
      <c r="F13" s="17" t="s">
        <v>262</v>
      </c>
      <c r="G13" s="17" t="s">
        <v>262</v>
      </c>
      <c r="H13" s="17" t="s">
        <v>262</v>
      </c>
      <c r="I13" s="17" t="s">
        <v>262</v>
      </c>
      <c r="J13" s="17" t="s">
        <v>262</v>
      </c>
      <c r="K13" s="17" t="s">
        <v>262</v>
      </c>
      <c r="L13" s="17" t="s">
        <v>262</v>
      </c>
      <c r="M13" s="17" t="s">
        <v>262</v>
      </c>
      <c r="N13" s="17" t="s">
        <v>262</v>
      </c>
      <c r="O13" s="17" t="s">
        <v>262</v>
      </c>
      <c r="P13" s="17" t="s">
        <v>262</v>
      </c>
      <c r="Q13" s="17" t="s">
        <v>262</v>
      </c>
      <c r="R13" s="17" t="s">
        <v>262</v>
      </c>
      <c r="S13" s="17"/>
      <c r="T13" s="17"/>
      <c r="U13" s="17"/>
      <c r="V13" s="17"/>
    </row>
    <row r="14" spans="1:22">
      <c r="A14" s="17" t="s">
        <v>481</v>
      </c>
      <c r="B14" s="17" t="s">
        <v>477</v>
      </c>
      <c r="C14" s="17" t="s">
        <v>464</v>
      </c>
      <c r="D14" s="17" t="s">
        <v>482</v>
      </c>
      <c r="E14" s="17" t="s">
        <v>59</v>
      </c>
      <c r="F14" s="17">
        <v>4.26</v>
      </c>
      <c r="G14" s="17">
        <v>38.299999999999997</v>
      </c>
      <c r="H14" s="17">
        <v>134.49</v>
      </c>
      <c r="I14" s="17">
        <v>148.47</v>
      </c>
      <c r="J14" s="17">
        <v>9</v>
      </c>
      <c r="K14" s="17">
        <v>29</v>
      </c>
      <c r="L14" s="50" t="s">
        <v>466</v>
      </c>
      <c r="M14" s="17">
        <v>7.26</v>
      </c>
      <c r="N14" s="17">
        <v>32</v>
      </c>
      <c r="O14" s="17">
        <v>142.44999999999999</v>
      </c>
      <c r="P14" s="17">
        <v>152.11000000000001</v>
      </c>
      <c r="Q14" s="53">
        <v>4</v>
      </c>
      <c r="R14" s="53">
        <v>4</v>
      </c>
      <c r="S14" s="17"/>
      <c r="T14" s="17"/>
      <c r="U14" s="17"/>
      <c r="V14" s="17"/>
    </row>
    <row r="15" spans="1:22">
      <c r="A15" s="17"/>
      <c r="B15" s="17" t="s">
        <v>470</v>
      </c>
      <c r="C15" s="17" t="s">
        <v>471</v>
      </c>
      <c r="D15" s="17" t="s">
        <v>482</v>
      </c>
      <c r="E15" s="17" t="s">
        <v>59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 t="s">
        <v>466</v>
      </c>
      <c r="M15" s="17">
        <v>0</v>
      </c>
      <c r="N15" s="17">
        <v>0</v>
      </c>
      <c r="O15" s="17">
        <v>0</v>
      </c>
      <c r="P15" s="17">
        <v>0</v>
      </c>
      <c r="Q15" s="53">
        <v>0</v>
      </c>
      <c r="R15" s="53">
        <v>0</v>
      </c>
      <c r="S15" s="17"/>
      <c r="T15" s="17"/>
      <c r="U15" s="17"/>
      <c r="V15" s="17"/>
    </row>
    <row r="16" spans="1:22">
      <c r="A16" s="17" t="s">
        <v>483</v>
      </c>
      <c r="B16" s="17" t="s">
        <v>484</v>
      </c>
      <c r="C16" s="17" t="s">
        <v>464</v>
      </c>
      <c r="D16" s="17" t="s">
        <v>485</v>
      </c>
      <c r="E16" s="17" t="s">
        <v>59</v>
      </c>
      <c r="F16" s="55">
        <v>74.400000000000006</v>
      </c>
      <c r="G16" s="55">
        <v>209</v>
      </c>
      <c r="H16" s="17">
        <v>127.7</v>
      </c>
      <c r="I16" s="17">
        <v>151</v>
      </c>
      <c r="J16" s="17">
        <v>1.4166666670000001</v>
      </c>
      <c r="K16" s="17">
        <v>8</v>
      </c>
      <c r="L16" s="50" t="s">
        <v>466</v>
      </c>
      <c r="M16" s="55">
        <v>47.7</v>
      </c>
      <c r="N16" s="55">
        <v>75.3</v>
      </c>
      <c r="O16" s="50">
        <v>175.27</v>
      </c>
      <c r="P16" s="50">
        <v>210.06</v>
      </c>
      <c r="Q16" s="53">
        <v>2</v>
      </c>
      <c r="R16" s="53">
        <v>2</v>
      </c>
      <c r="S16" s="17"/>
      <c r="T16" s="17"/>
      <c r="U16" s="17"/>
      <c r="V16" s="17"/>
    </row>
    <row r="17" spans="1:22">
      <c r="A17" s="17"/>
      <c r="B17" s="17" t="s">
        <v>486</v>
      </c>
      <c r="C17" s="17"/>
      <c r="D17" s="17" t="s">
        <v>485</v>
      </c>
      <c r="E17" s="17" t="s">
        <v>59</v>
      </c>
      <c r="F17" s="17">
        <v>15</v>
      </c>
      <c r="G17" s="17">
        <v>36.299999999999997</v>
      </c>
      <c r="H17" s="17">
        <v>223</v>
      </c>
      <c r="I17" s="17">
        <v>226</v>
      </c>
      <c r="J17" s="17">
        <v>3.3333333330000001</v>
      </c>
      <c r="K17" s="17">
        <v>4</v>
      </c>
      <c r="L17" s="17" t="s">
        <v>466</v>
      </c>
      <c r="M17" s="50">
        <v>53.01</v>
      </c>
      <c r="N17" s="50">
        <v>78</v>
      </c>
      <c r="O17" s="50">
        <v>208.41</v>
      </c>
      <c r="P17" s="50">
        <v>220.92</v>
      </c>
      <c r="Q17" s="53">
        <v>3</v>
      </c>
      <c r="R17" s="53">
        <v>3</v>
      </c>
      <c r="S17" s="17"/>
      <c r="T17" s="17"/>
      <c r="U17" s="17"/>
      <c r="V17" s="17"/>
    </row>
    <row r="18" spans="1:22">
      <c r="A18" s="17"/>
      <c r="B18" s="17" t="s">
        <v>487</v>
      </c>
      <c r="C18" s="17" t="s">
        <v>464</v>
      </c>
      <c r="D18" s="17" t="s">
        <v>485</v>
      </c>
      <c r="E18" s="17" t="s">
        <v>59</v>
      </c>
      <c r="F18" s="17">
        <v>70.099999999999994</v>
      </c>
      <c r="G18" s="17">
        <v>232</v>
      </c>
      <c r="H18" s="17">
        <v>254.3</v>
      </c>
      <c r="I18" s="17">
        <v>274</v>
      </c>
      <c r="J18" s="17">
        <v>7.4226804120000001</v>
      </c>
      <c r="K18" s="17">
        <v>13</v>
      </c>
      <c r="L18" s="17" t="s">
        <v>466</v>
      </c>
      <c r="M18" s="50">
        <v>67.05</v>
      </c>
      <c r="N18" s="50">
        <v>90.6</v>
      </c>
      <c r="O18" s="50">
        <v>212.51</v>
      </c>
      <c r="P18" s="50">
        <v>228.16</v>
      </c>
      <c r="Q18" s="17">
        <v>3</v>
      </c>
      <c r="R18" s="17">
        <v>3</v>
      </c>
      <c r="S18" s="17"/>
      <c r="T18" s="17"/>
      <c r="U18" s="17"/>
      <c r="V18" s="17"/>
    </row>
    <row r="19" spans="1:22">
      <c r="A19" s="17"/>
      <c r="B19" s="17" t="s">
        <v>488</v>
      </c>
      <c r="C19" s="17" t="s">
        <v>464</v>
      </c>
      <c r="D19" s="17" t="s">
        <v>485</v>
      </c>
      <c r="E19" s="17" t="s">
        <v>59</v>
      </c>
      <c r="F19" s="17">
        <v>36.299999999999997</v>
      </c>
      <c r="G19" s="17">
        <v>116</v>
      </c>
      <c r="H19" s="17">
        <v>245.1</v>
      </c>
      <c r="I19" s="17">
        <v>282</v>
      </c>
      <c r="J19" s="17">
        <v>3.766666667</v>
      </c>
      <c r="K19" s="17">
        <v>11</v>
      </c>
      <c r="L19" s="50" t="s">
        <v>466</v>
      </c>
      <c r="M19" s="50">
        <v>60.93</v>
      </c>
      <c r="N19" s="50">
        <v>90.6</v>
      </c>
      <c r="O19" s="50">
        <v>226.61</v>
      </c>
      <c r="P19" s="50">
        <v>253.52</v>
      </c>
      <c r="Q19" s="17">
        <v>3</v>
      </c>
      <c r="R19" s="17">
        <v>3</v>
      </c>
      <c r="S19" s="17"/>
      <c r="T19" s="17"/>
      <c r="U19" s="17"/>
      <c r="V19" s="17"/>
    </row>
    <row r="20" spans="1:22">
      <c r="A20" s="17"/>
      <c r="B20" s="17" t="s">
        <v>489</v>
      </c>
      <c r="C20" s="17" t="s">
        <v>464</v>
      </c>
      <c r="D20" s="17" t="s">
        <v>485</v>
      </c>
      <c r="E20" s="17" t="s">
        <v>59</v>
      </c>
      <c r="F20" s="17">
        <v>39.1</v>
      </c>
      <c r="G20" s="17">
        <v>71.8</v>
      </c>
      <c r="H20" s="17">
        <v>261.7</v>
      </c>
      <c r="I20" s="17">
        <v>276</v>
      </c>
      <c r="J20" s="17">
        <v>4.9666666670000001</v>
      </c>
      <c r="K20" s="17">
        <v>6</v>
      </c>
      <c r="L20" s="17" t="s">
        <v>466</v>
      </c>
      <c r="M20" s="50">
        <v>69.260000000000005</v>
      </c>
      <c r="N20" s="50">
        <v>80.599999999999994</v>
      </c>
      <c r="O20" s="50">
        <v>244.6</v>
      </c>
      <c r="P20" s="50">
        <v>257.14</v>
      </c>
      <c r="Q20" s="17">
        <v>6</v>
      </c>
      <c r="R20" s="17">
        <v>6</v>
      </c>
      <c r="S20" s="17"/>
      <c r="T20" s="17"/>
      <c r="U20" s="17"/>
      <c r="V20" s="17"/>
    </row>
    <row r="21" spans="1:22">
      <c r="A21" s="17"/>
      <c r="B21" s="17" t="s">
        <v>470</v>
      </c>
      <c r="C21" s="17" t="s">
        <v>471</v>
      </c>
      <c r="D21" s="17" t="s">
        <v>485</v>
      </c>
      <c r="E21" s="17" t="s">
        <v>59</v>
      </c>
      <c r="F21" s="17">
        <v>4.9000000000000004</v>
      </c>
      <c r="G21" s="17">
        <v>6.2</v>
      </c>
      <c r="H21" s="17">
        <v>152.4</v>
      </c>
      <c r="I21" s="17">
        <v>153</v>
      </c>
      <c r="J21" s="17">
        <v>0</v>
      </c>
      <c r="K21" s="17">
        <v>0</v>
      </c>
      <c r="L21" s="17" t="s">
        <v>466</v>
      </c>
      <c r="M21" s="50">
        <v>60.03</v>
      </c>
      <c r="N21" s="50">
        <v>71.3</v>
      </c>
      <c r="O21" s="50">
        <v>193</v>
      </c>
      <c r="P21" s="50">
        <v>206.43</v>
      </c>
      <c r="Q21" s="17">
        <v>0</v>
      </c>
      <c r="R21" s="17">
        <v>0</v>
      </c>
      <c r="S21" s="17"/>
      <c r="T21" s="17"/>
      <c r="U21" s="17"/>
      <c r="V21" s="17"/>
    </row>
    <row r="22" spans="1:22" s="51" customFormat="1">
      <c r="A22" s="50" t="s">
        <v>490</v>
      </c>
      <c r="B22" s="50" t="s">
        <v>491</v>
      </c>
      <c r="C22" s="50" t="s">
        <v>464</v>
      </c>
      <c r="D22" s="50" t="s">
        <v>492</v>
      </c>
      <c r="E22" s="50" t="s">
        <v>59</v>
      </c>
      <c r="F22" s="55">
        <v>5.39</v>
      </c>
      <c r="G22" s="55">
        <v>7.6</v>
      </c>
      <c r="H22" s="50">
        <v>248.75</v>
      </c>
      <c r="I22" s="50">
        <v>261</v>
      </c>
      <c r="J22" s="17">
        <v>4</v>
      </c>
      <c r="K22" s="17">
        <v>5</v>
      </c>
      <c r="L22" s="50" t="s">
        <v>466</v>
      </c>
      <c r="M22" s="55">
        <v>0.13</v>
      </c>
      <c r="N22" s="55">
        <v>3.1</v>
      </c>
      <c r="O22" s="50">
        <v>136.59</v>
      </c>
      <c r="P22" s="50">
        <v>141.24</v>
      </c>
      <c r="Q22" s="50">
        <v>0</v>
      </c>
      <c r="R22" s="50">
        <v>0</v>
      </c>
      <c r="S22" s="50"/>
      <c r="T22" s="50"/>
      <c r="U22" s="50"/>
      <c r="V22" s="50"/>
    </row>
    <row r="23" spans="1:22">
      <c r="A23" s="17"/>
      <c r="B23" s="17" t="s">
        <v>493</v>
      </c>
      <c r="C23" s="17" t="s">
        <v>464</v>
      </c>
      <c r="D23" s="17" t="s">
        <v>492</v>
      </c>
      <c r="E23" s="17" t="s">
        <v>59</v>
      </c>
      <c r="F23" s="17">
        <v>16.46</v>
      </c>
      <c r="G23" s="17">
        <v>43.6</v>
      </c>
      <c r="H23" s="17">
        <v>281.02999999999997</v>
      </c>
      <c r="I23" s="17">
        <v>313</v>
      </c>
      <c r="J23" s="17">
        <v>5</v>
      </c>
      <c r="K23" s="17">
        <v>6</v>
      </c>
      <c r="L23" s="17" t="s">
        <v>466</v>
      </c>
      <c r="M23" s="17">
        <v>18.739999999999998</v>
      </c>
      <c r="N23" s="17">
        <v>42.3</v>
      </c>
      <c r="O23" s="17">
        <v>193.54</v>
      </c>
      <c r="P23" s="17">
        <v>253.52</v>
      </c>
      <c r="Q23" s="17">
        <v>4</v>
      </c>
      <c r="R23" s="17">
        <v>5</v>
      </c>
      <c r="S23" s="17"/>
      <c r="T23" s="17"/>
      <c r="U23" s="17"/>
      <c r="V23" s="17"/>
    </row>
    <row r="24" spans="1:22">
      <c r="A24" s="17"/>
      <c r="B24" s="17" t="s">
        <v>470</v>
      </c>
      <c r="C24" s="17" t="s">
        <v>471</v>
      </c>
      <c r="D24" s="17" t="s">
        <v>492</v>
      </c>
      <c r="E24" s="17" t="s">
        <v>59</v>
      </c>
      <c r="F24" s="55">
        <v>3.02</v>
      </c>
      <c r="G24" s="55">
        <v>5.3</v>
      </c>
      <c r="H24" s="17">
        <v>254.88</v>
      </c>
      <c r="I24" s="17">
        <v>268</v>
      </c>
      <c r="J24" s="17">
        <v>9</v>
      </c>
      <c r="K24" s="17">
        <v>10</v>
      </c>
      <c r="L24" s="17" t="s">
        <v>466</v>
      </c>
      <c r="M24" s="55">
        <v>0.03</v>
      </c>
      <c r="N24" s="55">
        <v>2</v>
      </c>
      <c r="O24" s="17">
        <v>148.49</v>
      </c>
      <c r="P24" s="17">
        <v>224.54</v>
      </c>
      <c r="Q24" s="17">
        <v>0</v>
      </c>
      <c r="R24" s="17">
        <v>0</v>
      </c>
      <c r="S24" s="17"/>
      <c r="T24" s="17"/>
      <c r="U24" s="17"/>
      <c r="V24" s="17"/>
    </row>
    <row r="25" spans="1:22">
      <c r="A25" s="17" t="s">
        <v>494</v>
      </c>
      <c r="B25" s="17" t="s">
        <v>488</v>
      </c>
      <c r="C25" s="17" t="s">
        <v>464</v>
      </c>
      <c r="D25" s="17" t="s">
        <v>495</v>
      </c>
      <c r="E25" s="17" t="s">
        <v>59</v>
      </c>
      <c r="F25" s="17">
        <v>4.6100000000000003</v>
      </c>
      <c r="G25" s="17">
        <v>25.3</v>
      </c>
      <c r="H25" s="17">
        <v>90.26</v>
      </c>
      <c r="I25" s="17">
        <v>97.77</v>
      </c>
      <c r="J25" s="17">
        <v>5.3330000000000002</v>
      </c>
      <c r="K25" s="17">
        <v>16</v>
      </c>
      <c r="L25" s="17" t="s">
        <v>475</v>
      </c>
      <c r="M25" s="17">
        <v>11.96</v>
      </c>
      <c r="N25" s="17">
        <v>31.6</v>
      </c>
      <c r="O25" s="17">
        <v>94.67</v>
      </c>
      <c r="P25" s="17">
        <v>97.78</v>
      </c>
      <c r="Q25" s="17">
        <v>0</v>
      </c>
      <c r="R25" s="17">
        <v>0</v>
      </c>
      <c r="S25" s="17"/>
      <c r="T25" s="17"/>
      <c r="U25" s="17"/>
      <c r="V25" s="17"/>
    </row>
    <row r="26" spans="1:22">
      <c r="A26" s="17"/>
      <c r="B26" s="17" t="s">
        <v>496</v>
      </c>
      <c r="C26" s="17" t="s">
        <v>464</v>
      </c>
      <c r="D26" s="17" t="s">
        <v>495</v>
      </c>
      <c r="E26" s="17" t="s">
        <v>59</v>
      </c>
      <c r="F26" s="17">
        <v>5</v>
      </c>
      <c r="G26" s="17">
        <v>12.5</v>
      </c>
      <c r="H26" s="17">
        <v>84.6</v>
      </c>
      <c r="I26" s="17">
        <v>86</v>
      </c>
      <c r="J26" s="17">
        <v>0</v>
      </c>
      <c r="K26" s="17">
        <v>0</v>
      </c>
      <c r="L26" s="17" t="s">
        <v>475</v>
      </c>
      <c r="M26" s="17">
        <v>0.03</v>
      </c>
      <c r="N26" s="17">
        <v>3.2</v>
      </c>
      <c r="O26" s="17">
        <v>86.92</v>
      </c>
      <c r="P26" s="17">
        <v>86.92</v>
      </c>
      <c r="Q26" s="17">
        <v>1</v>
      </c>
      <c r="R26" s="17">
        <v>3</v>
      </c>
      <c r="S26" s="17"/>
      <c r="T26" s="17"/>
      <c r="U26" s="17"/>
      <c r="V26" s="17"/>
    </row>
    <row r="27" spans="1:22">
      <c r="A27" s="17"/>
      <c r="B27" s="17" t="s">
        <v>470</v>
      </c>
      <c r="C27" s="17" t="s">
        <v>471</v>
      </c>
      <c r="D27" s="17" t="s">
        <v>495</v>
      </c>
      <c r="E27" s="17" t="s">
        <v>59</v>
      </c>
      <c r="F27" s="17">
        <v>0</v>
      </c>
      <c r="G27" s="17">
        <v>0</v>
      </c>
      <c r="H27" s="17">
        <v>0</v>
      </c>
      <c r="I27" s="17">
        <v>0</v>
      </c>
      <c r="J27" s="17">
        <v>0.03</v>
      </c>
      <c r="K27" s="17">
        <v>1</v>
      </c>
      <c r="L27" s="17" t="s">
        <v>475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1</v>
      </c>
      <c r="S27" s="17"/>
      <c r="T27" s="17"/>
      <c r="U27" s="17"/>
      <c r="V27" s="17"/>
    </row>
    <row r="28" spans="1:22">
      <c r="A28" s="17" t="s">
        <v>443</v>
      </c>
      <c r="B28" s="17" t="s">
        <v>477</v>
      </c>
      <c r="C28" s="17" t="s">
        <v>464</v>
      </c>
      <c r="D28" s="17" t="s">
        <v>497</v>
      </c>
      <c r="E28" s="17" t="s">
        <v>59</v>
      </c>
      <c r="F28" s="17" t="s">
        <v>15</v>
      </c>
      <c r="G28" s="17" t="s">
        <v>15</v>
      </c>
      <c r="H28" s="17" t="s">
        <v>15</v>
      </c>
      <c r="I28" s="17" t="s">
        <v>15</v>
      </c>
      <c r="J28" s="17" t="s">
        <v>262</v>
      </c>
      <c r="K28" s="17" t="s">
        <v>262</v>
      </c>
      <c r="L28" s="17" t="s">
        <v>262</v>
      </c>
      <c r="M28" s="17" t="s">
        <v>262</v>
      </c>
      <c r="N28" s="17" t="s">
        <v>262</v>
      </c>
      <c r="O28" s="17" t="s">
        <v>262</v>
      </c>
      <c r="P28" s="17" t="s">
        <v>262</v>
      </c>
      <c r="Q28" s="17" t="s">
        <v>262</v>
      </c>
      <c r="R28" s="17" t="s">
        <v>262</v>
      </c>
      <c r="S28" s="17"/>
      <c r="T28" s="17"/>
      <c r="U28" s="17"/>
      <c r="V28" s="17"/>
    </row>
    <row r="29" spans="1:22">
      <c r="A29" s="17"/>
      <c r="B29" s="17" t="s">
        <v>470</v>
      </c>
      <c r="C29" s="17" t="s">
        <v>471</v>
      </c>
      <c r="D29" s="17" t="s">
        <v>497</v>
      </c>
      <c r="E29" s="17" t="s">
        <v>59</v>
      </c>
      <c r="F29" s="17" t="s">
        <v>262</v>
      </c>
      <c r="G29" s="17" t="s">
        <v>262</v>
      </c>
      <c r="H29" s="17" t="s">
        <v>262</v>
      </c>
      <c r="I29" s="17" t="s">
        <v>262</v>
      </c>
      <c r="J29" s="17" t="s">
        <v>262</v>
      </c>
      <c r="K29" s="17" t="s">
        <v>262</v>
      </c>
      <c r="L29" s="17" t="s">
        <v>262</v>
      </c>
      <c r="M29" s="17" t="s">
        <v>262</v>
      </c>
      <c r="N29" s="17" t="s">
        <v>262</v>
      </c>
      <c r="O29" s="17" t="s">
        <v>262</v>
      </c>
      <c r="P29" s="17" t="s">
        <v>262</v>
      </c>
      <c r="Q29" s="17" t="s">
        <v>262</v>
      </c>
      <c r="R29" s="17" t="s">
        <v>262</v>
      </c>
      <c r="S29" s="17"/>
      <c r="T29" s="17"/>
      <c r="U29" s="17"/>
      <c r="V29" s="17"/>
    </row>
    <row r="30" spans="1:22">
      <c r="A30" s="17" t="s">
        <v>498</v>
      </c>
      <c r="B30" s="17" t="s">
        <v>484</v>
      </c>
      <c r="C30" s="17" t="s">
        <v>464</v>
      </c>
      <c r="D30" s="17" t="s">
        <v>499</v>
      </c>
      <c r="E30" s="17" t="s">
        <v>59</v>
      </c>
      <c r="F30" s="17">
        <v>20.9</v>
      </c>
      <c r="G30" s="17">
        <v>115</v>
      </c>
      <c r="H30" s="17">
        <v>174.84</v>
      </c>
      <c r="I30" s="17">
        <v>191.92</v>
      </c>
      <c r="J30" s="17">
        <v>2.67</v>
      </c>
      <c r="K30" s="17">
        <v>6</v>
      </c>
      <c r="L30" s="17" t="s">
        <v>466</v>
      </c>
      <c r="M30" s="17">
        <v>22.07</v>
      </c>
      <c r="N30" s="17">
        <v>141</v>
      </c>
      <c r="O30" s="17">
        <v>130.1</v>
      </c>
      <c r="P30" s="17">
        <v>142</v>
      </c>
      <c r="Q30" s="17">
        <v>3</v>
      </c>
      <c r="R30" s="17">
        <v>7</v>
      </c>
      <c r="S30" s="17"/>
      <c r="T30" s="17"/>
      <c r="U30" s="17"/>
      <c r="V30" s="17"/>
    </row>
    <row r="31" spans="1:22">
      <c r="A31" s="17"/>
      <c r="B31" s="17" t="s">
        <v>500</v>
      </c>
      <c r="C31" s="17" t="s">
        <v>464</v>
      </c>
      <c r="D31" s="17" t="s">
        <v>499</v>
      </c>
      <c r="E31" s="17" t="s">
        <v>59</v>
      </c>
      <c r="F31" s="17">
        <v>17.75</v>
      </c>
      <c r="G31" s="17">
        <v>115</v>
      </c>
      <c r="H31" s="17">
        <v>173.65</v>
      </c>
      <c r="I31" s="17">
        <v>184.68</v>
      </c>
      <c r="J31" s="17">
        <v>2.33</v>
      </c>
      <c r="K31" s="17">
        <v>4</v>
      </c>
      <c r="L31" s="17" t="s">
        <v>466</v>
      </c>
      <c r="M31" s="17">
        <v>19.059999999999999</v>
      </c>
      <c r="N31" s="17">
        <v>96.6</v>
      </c>
      <c r="O31" s="17">
        <v>178.4</v>
      </c>
      <c r="P31" s="17">
        <v>185</v>
      </c>
      <c r="Q31" s="17">
        <v>3</v>
      </c>
      <c r="R31" s="17">
        <v>9</v>
      </c>
      <c r="S31" s="17"/>
      <c r="T31" s="17"/>
      <c r="U31" s="17"/>
      <c r="V31" s="17"/>
    </row>
    <row r="32" spans="1:22">
      <c r="A32" s="17"/>
      <c r="B32" s="17" t="s">
        <v>501</v>
      </c>
      <c r="C32" s="17" t="s">
        <v>471</v>
      </c>
      <c r="D32" s="17" t="s">
        <v>499</v>
      </c>
      <c r="E32" s="17" t="s">
        <v>59</v>
      </c>
      <c r="F32" s="17">
        <v>10.91</v>
      </c>
      <c r="G32" s="17">
        <v>23.6</v>
      </c>
      <c r="H32" s="17">
        <v>168.4</v>
      </c>
      <c r="I32" s="17">
        <v>173.82</v>
      </c>
      <c r="J32" s="17">
        <v>1.67</v>
      </c>
      <c r="K32" s="17">
        <v>5</v>
      </c>
      <c r="L32" s="17" t="s">
        <v>466</v>
      </c>
      <c r="M32" s="17">
        <v>11.85</v>
      </c>
      <c r="N32" s="17">
        <v>25.3</v>
      </c>
      <c r="O32" s="17">
        <v>169.12</v>
      </c>
      <c r="P32" s="17">
        <v>183</v>
      </c>
      <c r="Q32" s="17">
        <v>3</v>
      </c>
      <c r="R32" s="17">
        <v>5</v>
      </c>
      <c r="S32" s="17"/>
      <c r="T32" s="17"/>
      <c r="U32" s="17"/>
      <c r="V32" s="17"/>
    </row>
    <row r="33" spans="1:22">
      <c r="A33" s="17"/>
      <c r="B33" s="17" t="s">
        <v>502</v>
      </c>
      <c r="C33" s="17" t="s">
        <v>464</v>
      </c>
      <c r="D33" s="17" t="s">
        <v>499</v>
      </c>
      <c r="E33" s="17" t="s">
        <v>59</v>
      </c>
      <c r="F33" s="17">
        <v>28.69</v>
      </c>
      <c r="G33" s="17">
        <v>184</v>
      </c>
      <c r="H33" s="17">
        <v>205.64</v>
      </c>
      <c r="I33" s="17">
        <v>220.89</v>
      </c>
      <c r="J33" s="17">
        <v>6.67</v>
      </c>
      <c r="K33" s="17">
        <v>12</v>
      </c>
      <c r="L33" s="17" t="s">
        <v>466</v>
      </c>
      <c r="M33" s="17">
        <v>26.92</v>
      </c>
      <c r="N33" s="17">
        <v>92.3</v>
      </c>
      <c r="O33" s="17">
        <v>204.32</v>
      </c>
      <c r="P33" s="17">
        <v>214</v>
      </c>
      <c r="Q33" s="17">
        <v>3</v>
      </c>
      <c r="R33" s="17">
        <v>3</v>
      </c>
      <c r="S33" s="17"/>
      <c r="T33" s="17"/>
      <c r="U33" s="17"/>
      <c r="V33" s="17"/>
    </row>
    <row r="34" spans="1:22">
      <c r="A34" s="17"/>
      <c r="B34" s="17" t="s">
        <v>503</v>
      </c>
      <c r="C34" s="17" t="s">
        <v>464</v>
      </c>
      <c r="D34" s="17" t="s">
        <v>499</v>
      </c>
      <c r="E34" s="17" t="s">
        <v>59</v>
      </c>
      <c r="F34" s="17">
        <v>0.09</v>
      </c>
      <c r="G34" s="17">
        <v>3</v>
      </c>
      <c r="H34" s="17">
        <v>103.2</v>
      </c>
      <c r="I34" s="17">
        <v>137.6</v>
      </c>
      <c r="J34" s="17">
        <v>1</v>
      </c>
      <c r="K34" s="17">
        <v>1</v>
      </c>
      <c r="L34" s="17" t="s">
        <v>466</v>
      </c>
      <c r="M34" s="17">
        <v>0.01</v>
      </c>
      <c r="N34" s="17">
        <v>1</v>
      </c>
      <c r="O34" s="17">
        <v>179</v>
      </c>
      <c r="P34" s="17">
        <v>179</v>
      </c>
      <c r="Q34" s="17">
        <v>3</v>
      </c>
      <c r="R34" s="17">
        <v>3</v>
      </c>
      <c r="S34" s="17"/>
      <c r="T34" s="17"/>
      <c r="U34" s="17"/>
      <c r="V34" s="17"/>
    </row>
    <row r="35" spans="1:22">
      <c r="A35" s="17"/>
      <c r="B35" s="17" t="s">
        <v>504</v>
      </c>
      <c r="C35" s="17" t="s">
        <v>464</v>
      </c>
      <c r="D35" s="17" t="s">
        <v>499</v>
      </c>
      <c r="E35" s="17" t="s">
        <v>59</v>
      </c>
      <c r="F35" s="17">
        <v>0.42</v>
      </c>
      <c r="G35" s="17">
        <v>3.3</v>
      </c>
      <c r="H35" s="17">
        <v>172.94</v>
      </c>
      <c r="I35" s="17">
        <v>177.44</v>
      </c>
      <c r="J35" s="17">
        <v>1</v>
      </c>
      <c r="K35" s="17">
        <v>1</v>
      </c>
      <c r="L35" s="17" t="s">
        <v>466</v>
      </c>
      <c r="M35" s="17">
        <v>0.08</v>
      </c>
      <c r="N35" s="17">
        <v>6.6</v>
      </c>
      <c r="O35" s="17">
        <v>209</v>
      </c>
      <c r="P35" s="17">
        <v>209</v>
      </c>
      <c r="Q35" s="17">
        <v>3</v>
      </c>
      <c r="R35" s="17">
        <v>3</v>
      </c>
      <c r="S35" s="17"/>
      <c r="T35" s="17"/>
      <c r="U35" s="17"/>
      <c r="V35" s="17"/>
    </row>
    <row r="36" spans="1:22">
      <c r="A36" s="17"/>
      <c r="B36" s="17" t="s">
        <v>470</v>
      </c>
      <c r="C36" s="17" t="s">
        <v>471</v>
      </c>
      <c r="D36" s="17" t="s">
        <v>499</v>
      </c>
      <c r="E36" s="17" t="s">
        <v>59</v>
      </c>
      <c r="F36" s="17">
        <v>0</v>
      </c>
      <c r="G36" s="17">
        <v>0</v>
      </c>
      <c r="H36" s="17">
        <v>0</v>
      </c>
      <c r="I36" s="17">
        <v>0</v>
      </c>
      <c r="J36" s="17">
        <v>1</v>
      </c>
      <c r="K36" s="17">
        <v>1</v>
      </c>
      <c r="L36" s="17" t="s">
        <v>466</v>
      </c>
      <c r="M36" s="17">
        <v>0.05</v>
      </c>
      <c r="N36" s="17">
        <v>3</v>
      </c>
      <c r="O36" s="17">
        <v>208.5</v>
      </c>
      <c r="P36" s="17">
        <v>212</v>
      </c>
      <c r="Q36" s="17">
        <v>3</v>
      </c>
      <c r="R36" s="17">
        <v>4</v>
      </c>
      <c r="S36" s="17"/>
      <c r="T36" s="17"/>
      <c r="U36" s="17"/>
      <c r="V36" s="17"/>
    </row>
    <row r="37" spans="1:22" ht="14" customHeight="1">
      <c r="A37" s="17" t="s">
        <v>505</v>
      </c>
      <c r="B37" s="17" t="s">
        <v>506</v>
      </c>
      <c r="C37" s="17" t="s">
        <v>464</v>
      </c>
      <c r="D37" s="17" t="s">
        <v>507</v>
      </c>
      <c r="E37" s="17" t="s">
        <v>59</v>
      </c>
      <c r="F37" s="17">
        <v>4.7699999999999996</v>
      </c>
      <c r="G37" s="17">
        <v>17.600000000000001</v>
      </c>
      <c r="H37" s="17">
        <v>177.8</v>
      </c>
      <c r="I37" s="17">
        <v>82</v>
      </c>
      <c r="J37" s="17">
        <v>7</v>
      </c>
      <c r="K37" s="17">
        <v>9</v>
      </c>
      <c r="L37" s="17" t="s">
        <v>475</v>
      </c>
      <c r="M37" s="17">
        <v>7.68</v>
      </c>
      <c r="N37" s="17">
        <v>15.6</v>
      </c>
      <c r="O37" s="17">
        <v>200.7</v>
      </c>
      <c r="P37" s="17">
        <v>206.43</v>
      </c>
      <c r="Q37" s="17">
        <v>6</v>
      </c>
      <c r="R37" s="17">
        <v>8</v>
      </c>
      <c r="S37" s="17"/>
      <c r="T37" s="17"/>
      <c r="U37" s="17"/>
      <c r="V37" s="17"/>
    </row>
    <row r="38" spans="1:22">
      <c r="A38" s="17"/>
      <c r="B38" s="17" t="s">
        <v>508</v>
      </c>
      <c r="C38" s="17" t="s">
        <v>464</v>
      </c>
      <c r="D38" s="17" t="s">
        <v>507</v>
      </c>
      <c r="E38" s="17" t="s">
        <v>59</v>
      </c>
      <c r="F38" s="17" t="s">
        <v>262</v>
      </c>
      <c r="G38" s="17" t="s">
        <v>262</v>
      </c>
      <c r="H38" s="17" t="s">
        <v>262</v>
      </c>
      <c r="I38" s="17" t="s">
        <v>262</v>
      </c>
      <c r="J38" s="17" t="s">
        <v>262</v>
      </c>
      <c r="K38" s="17" t="s">
        <v>262</v>
      </c>
      <c r="L38" s="17" t="s">
        <v>262</v>
      </c>
      <c r="M38" s="17" t="s">
        <v>262</v>
      </c>
      <c r="N38" s="17" t="s">
        <v>262</v>
      </c>
      <c r="O38" s="17" t="s">
        <v>262</v>
      </c>
      <c r="P38" s="17" t="s">
        <v>262</v>
      </c>
      <c r="Q38" s="17" t="s">
        <v>262</v>
      </c>
      <c r="R38" s="17" t="s">
        <v>262</v>
      </c>
      <c r="S38" s="17"/>
      <c r="T38" s="17"/>
      <c r="U38" s="17"/>
      <c r="V38" s="17"/>
    </row>
    <row r="39" spans="1:22">
      <c r="A39" s="17"/>
      <c r="B39" s="17" t="s">
        <v>509</v>
      </c>
      <c r="C39" s="17" t="s">
        <v>464</v>
      </c>
      <c r="D39" s="17" t="s">
        <v>507</v>
      </c>
      <c r="E39" s="17" t="s">
        <v>59</v>
      </c>
      <c r="F39" s="17" t="s">
        <v>262</v>
      </c>
      <c r="G39" s="17" t="s">
        <v>262</v>
      </c>
      <c r="H39" s="17" t="s">
        <v>262</v>
      </c>
      <c r="I39" s="17" t="s">
        <v>262</v>
      </c>
      <c r="J39" s="17" t="s">
        <v>262</v>
      </c>
      <c r="K39" s="17" t="s">
        <v>262</v>
      </c>
      <c r="L39" s="17" t="s">
        <v>262</v>
      </c>
      <c r="M39" s="17" t="s">
        <v>262</v>
      </c>
      <c r="N39" s="17" t="s">
        <v>262</v>
      </c>
      <c r="O39" s="17" t="s">
        <v>262</v>
      </c>
      <c r="P39" s="17" t="s">
        <v>262</v>
      </c>
      <c r="Q39" s="17" t="s">
        <v>262</v>
      </c>
      <c r="R39" s="17" t="s">
        <v>262</v>
      </c>
      <c r="S39" s="17"/>
      <c r="T39" s="17"/>
      <c r="U39" s="17"/>
      <c r="V39" s="17"/>
    </row>
    <row r="40" spans="1:22">
      <c r="A40" s="17"/>
      <c r="B40" s="17" t="s">
        <v>510</v>
      </c>
      <c r="C40" s="17" t="s">
        <v>464</v>
      </c>
      <c r="D40" s="17" t="s">
        <v>507</v>
      </c>
      <c r="E40" s="17" t="s">
        <v>59</v>
      </c>
      <c r="F40" s="17" t="s">
        <v>262</v>
      </c>
      <c r="G40" s="17" t="s">
        <v>262</v>
      </c>
      <c r="H40" s="17" t="s">
        <v>262</v>
      </c>
      <c r="I40" s="17" t="s">
        <v>262</v>
      </c>
      <c r="J40" s="17" t="s">
        <v>262</v>
      </c>
      <c r="K40" s="17" t="s">
        <v>262</v>
      </c>
      <c r="L40" s="17" t="s">
        <v>262</v>
      </c>
      <c r="M40" s="17" t="s">
        <v>262</v>
      </c>
      <c r="N40" s="17" t="s">
        <v>262</v>
      </c>
      <c r="O40" s="17" t="s">
        <v>262</v>
      </c>
      <c r="P40" s="17" t="s">
        <v>262</v>
      </c>
      <c r="Q40" s="17" t="s">
        <v>262</v>
      </c>
      <c r="R40" s="17" t="s">
        <v>262</v>
      </c>
      <c r="S40" s="17"/>
      <c r="T40" s="17"/>
      <c r="U40" s="17"/>
      <c r="V40" s="17"/>
    </row>
    <row r="41" spans="1:22">
      <c r="A41" s="17" t="s">
        <v>511</v>
      </c>
      <c r="B41" s="17" t="s">
        <v>512</v>
      </c>
      <c r="C41" s="17" t="s">
        <v>471</v>
      </c>
      <c r="D41" s="17" t="s">
        <v>513</v>
      </c>
      <c r="E41" s="17" t="s">
        <v>59</v>
      </c>
      <c r="F41" s="17">
        <v>0</v>
      </c>
      <c r="G41" s="17">
        <v>0</v>
      </c>
      <c r="H41" s="17">
        <v>0</v>
      </c>
      <c r="I41" s="17">
        <v>0</v>
      </c>
      <c r="J41" s="17">
        <v>6</v>
      </c>
      <c r="K41" s="17">
        <v>6</v>
      </c>
      <c r="L41" s="17" t="s">
        <v>475</v>
      </c>
      <c r="M41" s="17">
        <v>0.03</v>
      </c>
      <c r="N41" s="17">
        <v>3</v>
      </c>
      <c r="O41" s="17">
        <v>0</v>
      </c>
      <c r="P41" s="17">
        <v>0</v>
      </c>
      <c r="Q41" s="17">
        <v>1</v>
      </c>
      <c r="R41" s="17">
        <v>3</v>
      </c>
      <c r="S41" s="17"/>
      <c r="T41" s="17"/>
      <c r="U41" s="17"/>
      <c r="V41" s="17"/>
    </row>
    <row r="42" spans="1:22">
      <c r="A42" s="17"/>
      <c r="B42" s="17" t="s">
        <v>514</v>
      </c>
      <c r="C42" s="17" t="s">
        <v>464</v>
      </c>
      <c r="D42" s="17" t="s">
        <v>513</v>
      </c>
      <c r="E42" s="17" t="s">
        <v>59</v>
      </c>
      <c r="F42" s="17">
        <v>0</v>
      </c>
      <c r="G42" s="17">
        <v>0</v>
      </c>
      <c r="H42" s="17">
        <v>0</v>
      </c>
      <c r="I42" s="17">
        <v>0</v>
      </c>
      <c r="J42" s="17">
        <v>6</v>
      </c>
      <c r="K42" s="17">
        <v>6</v>
      </c>
      <c r="L42" s="17" t="s">
        <v>475</v>
      </c>
      <c r="M42" s="17">
        <v>0.15</v>
      </c>
      <c r="N42" s="17">
        <v>12.3</v>
      </c>
      <c r="O42" s="17">
        <v>101.41</v>
      </c>
      <c r="P42" s="17">
        <v>137.62</v>
      </c>
      <c r="Q42" s="17">
        <v>2</v>
      </c>
      <c r="R42" s="17">
        <v>4</v>
      </c>
      <c r="S42" s="17"/>
      <c r="T42" s="17"/>
      <c r="U42" s="17"/>
      <c r="V42" s="17"/>
    </row>
    <row r="43" spans="1:22">
      <c r="A43" s="17"/>
      <c r="B43" s="17" t="s">
        <v>515</v>
      </c>
      <c r="C43" s="17" t="s">
        <v>464</v>
      </c>
      <c r="D43" s="17" t="s">
        <v>513</v>
      </c>
      <c r="E43" s="17" t="s">
        <v>59</v>
      </c>
      <c r="F43" s="17">
        <v>4.79</v>
      </c>
      <c r="G43" s="17">
        <v>22.3</v>
      </c>
      <c r="H43" s="54" t="s">
        <v>516</v>
      </c>
      <c r="I43" s="17">
        <v>177</v>
      </c>
      <c r="J43" s="17">
        <v>6</v>
      </c>
      <c r="K43" s="17">
        <v>8</v>
      </c>
      <c r="L43" s="17" t="s">
        <v>475</v>
      </c>
      <c r="M43" s="17">
        <v>11.32</v>
      </c>
      <c r="N43" s="17">
        <v>66</v>
      </c>
      <c r="O43" s="17">
        <v>197.31</v>
      </c>
      <c r="P43" s="17">
        <v>239.03</v>
      </c>
      <c r="Q43" s="17">
        <v>0</v>
      </c>
      <c r="R43" s="17">
        <v>0</v>
      </c>
      <c r="S43" s="17"/>
      <c r="T43" s="17"/>
      <c r="U43" s="17"/>
      <c r="V43" s="17"/>
    </row>
    <row r="44" spans="1:22">
      <c r="A44" s="17" t="s">
        <v>517</v>
      </c>
      <c r="B44" s="17" t="s">
        <v>518</v>
      </c>
      <c r="C44" s="17" t="s">
        <v>464</v>
      </c>
      <c r="D44" s="17" t="s">
        <v>519</v>
      </c>
      <c r="E44" s="17" t="s">
        <v>59</v>
      </c>
      <c r="F44" s="17">
        <v>28.1</v>
      </c>
      <c r="G44" s="17">
        <v>31.2</v>
      </c>
      <c r="H44" s="17">
        <v>455</v>
      </c>
      <c r="I44" s="17">
        <v>456</v>
      </c>
      <c r="J44" s="17">
        <v>13</v>
      </c>
      <c r="K44" s="17">
        <v>15</v>
      </c>
      <c r="L44" s="17" t="s">
        <v>466</v>
      </c>
      <c r="M44" s="17">
        <v>9.51</v>
      </c>
      <c r="N44" s="17">
        <v>25.8</v>
      </c>
      <c r="O44" s="17">
        <v>250</v>
      </c>
      <c r="P44" s="17">
        <v>252</v>
      </c>
      <c r="Q44" s="17">
        <v>2</v>
      </c>
      <c r="R44" s="17">
        <v>2</v>
      </c>
      <c r="S44" s="17"/>
      <c r="T44" s="17"/>
      <c r="U44" s="17"/>
      <c r="V44" s="17"/>
    </row>
    <row r="45" spans="1:22">
      <c r="A45" s="17"/>
      <c r="B45" s="17" t="s">
        <v>520</v>
      </c>
      <c r="C45" s="17" t="s">
        <v>471</v>
      </c>
      <c r="D45" s="17" t="s">
        <v>519</v>
      </c>
      <c r="E45" s="17" t="s">
        <v>59</v>
      </c>
      <c r="F45" s="17">
        <v>27.32</v>
      </c>
      <c r="G45" s="17">
        <v>31.2</v>
      </c>
      <c r="H45" s="17">
        <v>386</v>
      </c>
      <c r="I45" s="17">
        <v>387</v>
      </c>
      <c r="J45" s="17">
        <v>9</v>
      </c>
      <c r="K45" s="17">
        <v>11</v>
      </c>
      <c r="L45" s="17" t="s">
        <v>466</v>
      </c>
      <c r="M45" s="17">
        <v>7.92</v>
      </c>
      <c r="N45" s="17">
        <v>16.100000000000001</v>
      </c>
      <c r="O45" s="17">
        <v>219</v>
      </c>
      <c r="P45" s="17">
        <v>220</v>
      </c>
      <c r="Q45" s="17">
        <v>3</v>
      </c>
      <c r="R45" s="17">
        <v>2</v>
      </c>
      <c r="S45" s="17"/>
      <c r="T45" s="17"/>
      <c r="U45" s="17"/>
      <c r="V45" s="17"/>
    </row>
    <row r="46" spans="1:22">
      <c r="A46" s="17"/>
      <c r="B46" s="17" t="s">
        <v>521</v>
      </c>
      <c r="C46" s="17" t="s">
        <v>464</v>
      </c>
      <c r="D46" s="17" t="s">
        <v>519</v>
      </c>
      <c r="E46" s="17" t="s">
        <v>59</v>
      </c>
      <c r="F46" s="17">
        <v>81.400000000000006</v>
      </c>
      <c r="G46" s="17">
        <v>87.8</v>
      </c>
      <c r="H46" s="17">
        <v>448</v>
      </c>
      <c r="I46" s="17">
        <v>449</v>
      </c>
      <c r="J46" s="17">
        <v>25</v>
      </c>
      <c r="K46" s="17">
        <v>29</v>
      </c>
      <c r="L46" s="17" t="s">
        <v>466</v>
      </c>
      <c r="M46" s="17">
        <v>44.33</v>
      </c>
      <c r="N46" s="17">
        <v>81.2</v>
      </c>
      <c r="O46" s="17">
        <v>268</v>
      </c>
      <c r="P46" s="17">
        <v>280</v>
      </c>
      <c r="Q46" s="17">
        <v>3</v>
      </c>
      <c r="R46" s="17">
        <v>3</v>
      </c>
      <c r="S46" s="17"/>
      <c r="T46" s="17"/>
      <c r="U46" s="17"/>
      <c r="V46" s="17"/>
    </row>
    <row r="47" spans="1:22">
      <c r="A47" s="17"/>
      <c r="B47" s="17" t="s">
        <v>522</v>
      </c>
      <c r="C47" s="17" t="s">
        <v>464</v>
      </c>
      <c r="D47" s="17" t="s">
        <v>519</v>
      </c>
      <c r="E47" s="17" t="s">
        <v>59</v>
      </c>
      <c r="F47" s="17">
        <v>57.28</v>
      </c>
      <c r="G47" s="17">
        <v>87.4</v>
      </c>
      <c r="H47" s="17">
        <v>491</v>
      </c>
      <c r="I47" s="17">
        <v>510</v>
      </c>
      <c r="J47" s="17">
        <v>20</v>
      </c>
      <c r="K47" s="17">
        <v>27</v>
      </c>
      <c r="L47" s="17" t="s">
        <v>466</v>
      </c>
      <c r="M47" s="17">
        <v>41.23</v>
      </c>
      <c r="N47" s="17">
        <v>56.2</v>
      </c>
      <c r="O47" s="17">
        <v>271</v>
      </c>
      <c r="P47" s="17">
        <v>275</v>
      </c>
      <c r="Q47" s="17">
        <v>4</v>
      </c>
      <c r="R47" s="17">
        <v>4</v>
      </c>
      <c r="S47" s="17"/>
      <c r="T47" s="17"/>
      <c r="U47" s="17"/>
      <c r="V47" s="17"/>
    </row>
    <row r="48" spans="1:22">
      <c r="A48" s="17"/>
      <c r="B48" s="17" t="s">
        <v>523</v>
      </c>
      <c r="C48" s="17" t="s">
        <v>464</v>
      </c>
      <c r="D48" s="17" t="s">
        <v>519</v>
      </c>
      <c r="E48" s="17" t="s">
        <v>59</v>
      </c>
      <c r="F48" s="17">
        <v>105.31</v>
      </c>
      <c r="G48" s="17">
        <v>181</v>
      </c>
      <c r="H48" s="17">
        <v>495</v>
      </c>
      <c r="I48" s="17">
        <v>520</v>
      </c>
      <c r="J48" s="17">
        <v>17</v>
      </c>
      <c r="K48" s="17">
        <v>32</v>
      </c>
      <c r="L48" s="17" t="s">
        <v>466</v>
      </c>
      <c r="M48" s="17">
        <v>51.76</v>
      </c>
      <c r="N48" s="17">
        <v>117</v>
      </c>
      <c r="O48" s="17">
        <v>301</v>
      </c>
      <c r="P48" s="17">
        <v>321</v>
      </c>
      <c r="Q48" s="17">
        <v>2</v>
      </c>
      <c r="R48" s="17">
        <v>4</v>
      </c>
      <c r="S48" s="17"/>
      <c r="T48" s="17"/>
      <c r="U48" s="17"/>
      <c r="V48" s="17"/>
    </row>
    <row r="49" spans="1:22">
      <c r="A49" s="17"/>
      <c r="B49" s="17" t="s">
        <v>524</v>
      </c>
      <c r="C49" s="17" t="s">
        <v>464</v>
      </c>
      <c r="D49" s="17" t="s">
        <v>519</v>
      </c>
      <c r="E49" s="17" t="s">
        <v>59</v>
      </c>
      <c r="F49" s="17">
        <v>38.42</v>
      </c>
      <c r="G49" s="17">
        <v>118</v>
      </c>
      <c r="H49" s="17">
        <v>478</v>
      </c>
      <c r="I49" s="17">
        <v>486</v>
      </c>
      <c r="J49" s="17">
        <v>15</v>
      </c>
      <c r="K49" s="17">
        <v>26</v>
      </c>
      <c r="L49" s="17" t="s">
        <v>466</v>
      </c>
      <c r="M49" s="17">
        <v>37.43</v>
      </c>
      <c r="N49" s="17">
        <v>123</v>
      </c>
      <c r="O49" s="17">
        <v>321</v>
      </c>
      <c r="P49" s="17">
        <v>310</v>
      </c>
      <c r="Q49" s="17">
        <v>3</v>
      </c>
      <c r="R49" s="17">
        <v>3</v>
      </c>
      <c r="S49" s="17"/>
      <c r="T49" s="17"/>
      <c r="U49" s="17"/>
      <c r="V49" s="17"/>
    </row>
    <row r="50" spans="1:22">
      <c r="A50" s="17"/>
      <c r="B50" s="17" t="s">
        <v>525</v>
      </c>
      <c r="C50" s="17" t="s">
        <v>464</v>
      </c>
      <c r="D50" s="17" t="s">
        <v>519</v>
      </c>
      <c r="E50" s="17" t="s">
        <v>59</v>
      </c>
      <c r="F50" s="17">
        <v>99.57</v>
      </c>
      <c r="G50" s="17">
        <v>225.9</v>
      </c>
      <c r="H50" s="17">
        <v>514</v>
      </c>
      <c r="I50" s="17">
        <v>547</v>
      </c>
      <c r="J50" s="17">
        <v>24</v>
      </c>
      <c r="K50" s="17">
        <v>42</v>
      </c>
      <c r="L50" s="17" t="s">
        <v>466</v>
      </c>
      <c r="M50" s="17">
        <v>42.13</v>
      </c>
      <c r="N50" s="17">
        <v>143</v>
      </c>
      <c r="O50" s="17">
        <v>355</v>
      </c>
      <c r="P50" s="17">
        <v>471</v>
      </c>
      <c r="Q50" s="17">
        <v>4</v>
      </c>
      <c r="R50" s="17">
        <v>5</v>
      </c>
      <c r="S50" s="17"/>
      <c r="T50" s="17"/>
      <c r="U50" s="17"/>
      <c r="V50" s="17"/>
    </row>
    <row r="51" spans="1:22">
      <c r="A51" s="17"/>
      <c r="B51" s="17" t="s">
        <v>526</v>
      </c>
      <c r="C51" s="17" t="s">
        <v>464</v>
      </c>
      <c r="D51" s="17" t="s">
        <v>519</v>
      </c>
      <c r="E51" s="17" t="s">
        <v>59</v>
      </c>
      <c r="F51" s="17">
        <v>53.88</v>
      </c>
      <c r="G51" s="17">
        <v>65.599999999999994</v>
      </c>
      <c r="H51" s="17">
        <v>501</v>
      </c>
      <c r="I51" s="17">
        <v>507</v>
      </c>
      <c r="J51" s="17">
        <v>35</v>
      </c>
      <c r="K51" s="17">
        <v>57</v>
      </c>
      <c r="L51" s="17" t="s">
        <v>466</v>
      </c>
      <c r="M51" s="17">
        <v>46.82</v>
      </c>
      <c r="N51" s="17">
        <v>164</v>
      </c>
      <c r="O51" s="17">
        <v>441</v>
      </c>
      <c r="P51" s="17">
        <v>463</v>
      </c>
      <c r="Q51" s="17">
        <v>5</v>
      </c>
      <c r="R51" s="17">
        <v>6</v>
      </c>
      <c r="S51" s="17"/>
      <c r="T51" s="17"/>
      <c r="U51" s="17"/>
      <c r="V51" s="17"/>
    </row>
    <row r="52" spans="1:22">
      <c r="A52" s="17"/>
      <c r="B52" s="17" t="s">
        <v>527</v>
      </c>
      <c r="C52" s="17" t="s">
        <v>464</v>
      </c>
      <c r="D52" s="17" t="s">
        <v>519</v>
      </c>
      <c r="E52" s="17" t="s">
        <v>59</v>
      </c>
      <c r="F52" s="17">
        <v>45.12</v>
      </c>
      <c r="G52" s="17">
        <v>78.099999999999994</v>
      </c>
      <c r="H52" s="17">
        <v>483</v>
      </c>
      <c r="I52" s="17">
        <v>488</v>
      </c>
      <c r="J52" s="17">
        <v>32</v>
      </c>
      <c r="K52" s="17">
        <v>49</v>
      </c>
      <c r="L52" s="17" t="s">
        <v>466</v>
      </c>
      <c r="M52" s="17">
        <v>41.06</v>
      </c>
      <c r="N52" s="17">
        <v>167</v>
      </c>
      <c r="O52" s="17">
        <v>482</v>
      </c>
      <c r="P52" s="17">
        <v>509</v>
      </c>
      <c r="Q52" s="17">
        <v>6</v>
      </c>
      <c r="R52" s="17">
        <v>6</v>
      </c>
      <c r="S52" s="17"/>
      <c r="T52" s="17"/>
      <c r="U52" s="17"/>
      <c r="V52" s="17"/>
    </row>
    <row r="53" spans="1:22">
      <c r="A53" s="17"/>
      <c r="B53" s="17" t="s">
        <v>528</v>
      </c>
      <c r="C53" s="17" t="s">
        <v>464</v>
      </c>
      <c r="D53" s="17" t="s">
        <v>519</v>
      </c>
      <c r="E53" s="17" t="s">
        <v>59</v>
      </c>
      <c r="F53" s="17">
        <v>39</v>
      </c>
      <c r="G53" s="17">
        <v>43.7</v>
      </c>
      <c r="H53" s="17">
        <v>405</v>
      </c>
      <c r="I53" s="17">
        <v>409</v>
      </c>
      <c r="J53" s="17">
        <v>27</v>
      </c>
      <c r="K53" s="17">
        <v>51</v>
      </c>
      <c r="L53" s="17" t="s">
        <v>466</v>
      </c>
      <c r="M53" s="17">
        <v>18.440000000000001</v>
      </c>
      <c r="N53" s="17">
        <v>106</v>
      </c>
      <c r="O53" s="17">
        <v>459</v>
      </c>
      <c r="P53" s="17">
        <v>468</v>
      </c>
      <c r="Q53" s="17">
        <v>4</v>
      </c>
      <c r="R53" s="17">
        <v>5</v>
      </c>
      <c r="S53" s="17"/>
      <c r="T53" s="17"/>
      <c r="U53" s="17"/>
      <c r="V53" s="17"/>
    </row>
    <row r="54" spans="1:22">
      <c r="A54" s="17" t="s">
        <v>529</v>
      </c>
      <c r="B54" s="17" t="s">
        <v>518</v>
      </c>
      <c r="C54" s="17" t="s">
        <v>464</v>
      </c>
      <c r="D54" s="17" t="s">
        <v>519</v>
      </c>
      <c r="E54" s="17" t="s">
        <v>59</v>
      </c>
      <c r="F54" s="17" t="s">
        <v>262</v>
      </c>
      <c r="G54" s="17" t="s">
        <v>262</v>
      </c>
      <c r="H54" s="17" t="s">
        <v>262</v>
      </c>
      <c r="I54" s="17" t="s">
        <v>262</v>
      </c>
      <c r="J54" s="17" t="s">
        <v>262</v>
      </c>
      <c r="K54" s="17" t="s">
        <v>262</v>
      </c>
      <c r="L54" s="17" t="s">
        <v>262</v>
      </c>
      <c r="M54" s="17" t="s">
        <v>262</v>
      </c>
      <c r="N54" s="17" t="s">
        <v>262</v>
      </c>
      <c r="O54" s="17" t="s">
        <v>262</v>
      </c>
      <c r="P54" s="17" t="s">
        <v>262</v>
      </c>
      <c r="Q54" s="17" t="s">
        <v>262</v>
      </c>
      <c r="R54" s="17" t="s">
        <v>262</v>
      </c>
      <c r="S54" s="17"/>
      <c r="T54" s="17"/>
      <c r="U54" s="17"/>
      <c r="V54" s="17"/>
    </row>
    <row r="55" spans="1:22">
      <c r="A55" s="17"/>
      <c r="B55" s="17" t="s">
        <v>520</v>
      </c>
      <c r="C55" s="17" t="s">
        <v>471</v>
      </c>
      <c r="D55" s="17" t="s">
        <v>519</v>
      </c>
      <c r="E55" s="17" t="s">
        <v>59</v>
      </c>
      <c r="F55" s="17" t="s">
        <v>262</v>
      </c>
      <c r="G55" s="17" t="s">
        <v>262</v>
      </c>
      <c r="H55" s="17" t="s">
        <v>262</v>
      </c>
      <c r="I55" s="17" t="s">
        <v>262</v>
      </c>
      <c r="J55" s="17" t="s">
        <v>262</v>
      </c>
      <c r="K55" s="17" t="s">
        <v>262</v>
      </c>
      <c r="L55" s="17" t="s">
        <v>262</v>
      </c>
      <c r="M55" s="17" t="s">
        <v>262</v>
      </c>
      <c r="N55" s="17" t="s">
        <v>262</v>
      </c>
      <c r="O55" s="17" t="s">
        <v>262</v>
      </c>
      <c r="P55" s="17" t="s">
        <v>262</v>
      </c>
      <c r="Q55" s="17" t="s">
        <v>262</v>
      </c>
      <c r="R55" s="17" t="s">
        <v>262</v>
      </c>
      <c r="S55" s="17"/>
      <c r="T55" s="17"/>
      <c r="U55" s="17"/>
      <c r="V55" s="17"/>
    </row>
    <row r="56" spans="1:22">
      <c r="A56" s="17"/>
      <c r="B56" s="17" t="s">
        <v>521</v>
      </c>
      <c r="C56" s="17" t="s">
        <v>464</v>
      </c>
      <c r="D56" s="17" t="s">
        <v>519</v>
      </c>
      <c r="E56" s="17" t="s">
        <v>59</v>
      </c>
      <c r="F56" s="17" t="s">
        <v>262</v>
      </c>
      <c r="G56" s="17" t="s">
        <v>262</v>
      </c>
      <c r="H56" s="17" t="s">
        <v>262</v>
      </c>
      <c r="I56" s="17" t="s">
        <v>262</v>
      </c>
      <c r="J56" s="17" t="s">
        <v>262</v>
      </c>
      <c r="K56" s="17" t="s">
        <v>262</v>
      </c>
      <c r="L56" s="17" t="s">
        <v>262</v>
      </c>
      <c r="M56" s="17" t="s">
        <v>262</v>
      </c>
      <c r="N56" s="17" t="s">
        <v>262</v>
      </c>
      <c r="O56" s="17" t="s">
        <v>262</v>
      </c>
      <c r="P56" s="17" t="s">
        <v>262</v>
      </c>
      <c r="Q56" s="17" t="s">
        <v>262</v>
      </c>
      <c r="R56" s="17" t="s">
        <v>262</v>
      </c>
      <c r="S56" s="17"/>
      <c r="T56" s="17"/>
      <c r="U56" s="17"/>
      <c r="V56" s="17"/>
    </row>
    <row r="57" spans="1:22">
      <c r="A57" s="17"/>
      <c r="B57" s="17" t="s">
        <v>522</v>
      </c>
      <c r="C57" s="17" t="s">
        <v>464</v>
      </c>
      <c r="D57" s="17" t="s">
        <v>519</v>
      </c>
      <c r="E57" s="17" t="s">
        <v>59</v>
      </c>
      <c r="F57" s="17" t="s">
        <v>262</v>
      </c>
      <c r="G57" s="17" t="s">
        <v>262</v>
      </c>
      <c r="H57" s="17" t="s">
        <v>262</v>
      </c>
      <c r="I57" s="17" t="s">
        <v>262</v>
      </c>
      <c r="J57" s="17" t="s">
        <v>262</v>
      </c>
      <c r="K57" s="17" t="s">
        <v>262</v>
      </c>
      <c r="L57" s="17" t="s">
        <v>262</v>
      </c>
      <c r="M57" s="17" t="s">
        <v>262</v>
      </c>
      <c r="N57" s="17" t="s">
        <v>262</v>
      </c>
      <c r="O57" s="17" t="s">
        <v>262</v>
      </c>
      <c r="P57" s="17" t="s">
        <v>262</v>
      </c>
      <c r="Q57" s="17" t="s">
        <v>262</v>
      </c>
      <c r="R57" s="17" t="s">
        <v>262</v>
      </c>
      <c r="S57" s="17"/>
      <c r="T57" s="17"/>
      <c r="U57" s="17"/>
      <c r="V57" s="17"/>
    </row>
    <row r="58" spans="1:22">
      <c r="A58" s="17"/>
      <c r="B58" s="17" t="s">
        <v>523</v>
      </c>
      <c r="C58" s="17" t="s">
        <v>464</v>
      </c>
      <c r="D58" s="17" t="s">
        <v>519</v>
      </c>
      <c r="E58" s="17" t="s">
        <v>59</v>
      </c>
      <c r="F58" s="17" t="s">
        <v>262</v>
      </c>
      <c r="G58" s="17" t="s">
        <v>262</v>
      </c>
      <c r="H58" s="17" t="s">
        <v>262</v>
      </c>
      <c r="I58" s="17" t="s">
        <v>262</v>
      </c>
      <c r="J58" s="17" t="s">
        <v>262</v>
      </c>
      <c r="K58" s="17" t="s">
        <v>262</v>
      </c>
      <c r="L58" s="17" t="s">
        <v>262</v>
      </c>
      <c r="M58" s="17" t="s">
        <v>262</v>
      </c>
      <c r="N58" s="17" t="s">
        <v>262</v>
      </c>
      <c r="O58" s="17" t="s">
        <v>262</v>
      </c>
      <c r="P58" s="17" t="s">
        <v>262</v>
      </c>
      <c r="Q58" s="17" t="s">
        <v>262</v>
      </c>
      <c r="R58" s="17" t="s">
        <v>262</v>
      </c>
      <c r="S58" s="17"/>
      <c r="T58" s="17"/>
      <c r="U58" s="17"/>
      <c r="V58" s="17"/>
    </row>
    <row r="59" spans="1:22">
      <c r="A59" s="17"/>
      <c r="B59" s="17" t="s">
        <v>524</v>
      </c>
      <c r="C59" s="17" t="s">
        <v>464</v>
      </c>
      <c r="D59" s="17" t="s">
        <v>519</v>
      </c>
      <c r="E59" s="17" t="s">
        <v>59</v>
      </c>
      <c r="F59" s="17" t="s">
        <v>262</v>
      </c>
      <c r="G59" s="17" t="s">
        <v>262</v>
      </c>
      <c r="H59" s="17" t="s">
        <v>262</v>
      </c>
      <c r="I59" s="17" t="s">
        <v>262</v>
      </c>
      <c r="J59" s="17" t="s">
        <v>262</v>
      </c>
      <c r="K59" s="17" t="s">
        <v>262</v>
      </c>
      <c r="L59" s="17" t="s">
        <v>262</v>
      </c>
      <c r="M59" s="17" t="s">
        <v>262</v>
      </c>
      <c r="N59" s="17" t="s">
        <v>262</v>
      </c>
      <c r="O59" s="17" t="s">
        <v>262</v>
      </c>
      <c r="P59" s="17" t="s">
        <v>262</v>
      </c>
      <c r="Q59" s="17" t="s">
        <v>262</v>
      </c>
      <c r="R59" s="17" t="s">
        <v>262</v>
      </c>
      <c r="S59" s="17"/>
      <c r="T59" s="17"/>
      <c r="U59" s="17"/>
      <c r="V59" s="17"/>
    </row>
    <row r="60" spans="1:22">
      <c r="A60" s="17"/>
      <c r="B60" s="17" t="s">
        <v>525</v>
      </c>
      <c r="C60" s="17" t="s">
        <v>464</v>
      </c>
      <c r="D60" s="17" t="s">
        <v>519</v>
      </c>
      <c r="E60" s="17" t="s">
        <v>59</v>
      </c>
      <c r="F60" s="17" t="s">
        <v>262</v>
      </c>
      <c r="G60" s="17" t="s">
        <v>262</v>
      </c>
      <c r="H60" s="17" t="s">
        <v>262</v>
      </c>
      <c r="I60" s="17" t="s">
        <v>262</v>
      </c>
      <c r="J60" s="17" t="s">
        <v>262</v>
      </c>
      <c r="K60" s="17" t="s">
        <v>262</v>
      </c>
      <c r="L60" s="17" t="s">
        <v>262</v>
      </c>
      <c r="M60" s="17" t="s">
        <v>262</v>
      </c>
      <c r="N60" s="17" t="s">
        <v>262</v>
      </c>
      <c r="O60" s="17" t="s">
        <v>262</v>
      </c>
      <c r="P60" s="17" t="s">
        <v>262</v>
      </c>
      <c r="Q60" s="17" t="s">
        <v>262</v>
      </c>
      <c r="R60" s="17" t="s">
        <v>262</v>
      </c>
      <c r="S60" s="17"/>
      <c r="T60" s="17"/>
      <c r="U60" s="17"/>
      <c r="V60" s="17"/>
    </row>
    <row r="61" spans="1:22">
      <c r="A61" s="17"/>
      <c r="B61" s="17" t="s">
        <v>530</v>
      </c>
      <c r="C61" s="17" t="s">
        <v>471</v>
      </c>
      <c r="D61" s="17" t="s">
        <v>519</v>
      </c>
      <c r="E61" s="17" t="s">
        <v>59</v>
      </c>
      <c r="F61" s="17" t="s">
        <v>262</v>
      </c>
      <c r="G61" s="17" t="s">
        <v>262</v>
      </c>
      <c r="H61" s="17" t="s">
        <v>262</v>
      </c>
      <c r="I61" s="17" t="s">
        <v>262</v>
      </c>
      <c r="J61" s="17" t="s">
        <v>262</v>
      </c>
      <c r="K61" s="17" t="s">
        <v>262</v>
      </c>
      <c r="L61" s="17" t="s">
        <v>262</v>
      </c>
      <c r="M61" s="17" t="s">
        <v>262</v>
      </c>
      <c r="N61" s="17" t="s">
        <v>262</v>
      </c>
      <c r="O61" s="17" t="s">
        <v>262</v>
      </c>
      <c r="P61" s="17" t="s">
        <v>262</v>
      </c>
      <c r="Q61" s="17" t="s">
        <v>262</v>
      </c>
      <c r="R61" s="17" t="s">
        <v>262</v>
      </c>
      <c r="S61" s="17"/>
      <c r="T61" s="17"/>
      <c r="U61" s="17"/>
      <c r="V61" s="17"/>
    </row>
    <row r="62" spans="1:22">
      <c r="A62" s="17"/>
      <c r="B62" s="17" t="s">
        <v>526</v>
      </c>
      <c r="C62" s="17" t="s">
        <v>464</v>
      </c>
      <c r="D62" s="17" t="s">
        <v>519</v>
      </c>
      <c r="E62" s="17" t="s">
        <v>59</v>
      </c>
      <c r="F62" s="17" t="s">
        <v>262</v>
      </c>
      <c r="G62" s="17" t="s">
        <v>262</v>
      </c>
      <c r="H62" s="17" t="s">
        <v>262</v>
      </c>
      <c r="I62" s="17" t="s">
        <v>262</v>
      </c>
      <c r="J62" s="17" t="s">
        <v>262</v>
      </c>
      <c r="K62" s="17" t="s">
        <v>262</v>
      </c>
      <c r="L62" s="17" t="s">
        <v>262</v>
      </c>
      <c r="M62" s="17" t="s">
        <v>262</v>
      </c>
      <c r="N62" s="17" t="s">
        <v>262</v>
      </c>
      <c r="O62" s="17" t="s">
        <v>262</v>
      </c>
      <c r="P62" s="17" t="s">
        <v>262</v>
      </c>
      <c r="Q62" s="17" t="s">
        <v>262</v>
      </c>
      <c r="R62" s="17" t="s">
        <v>262</v>
      </c>
      <c r="S62" s="17"/>
      <c r="T62" s="17"/>
      <c r="U62" s="17"/>
      <c r="V62" s="17"/>
    </row>
    <row r="63" spans="1:22">
      <c r="A63" s="17"/>
      <c r="B63" s="17" t="s">
        <v>527</v>
      </c>
      <c r="C63" s="17" t="s">
        <v>464</v>
      </c>
      <c r="D63" s="17" t="s">
        <v>519</v>
      </c>
      <c r="E63" s="17" t="s">
        <v>59</v>
      </c>
      <c r="F63" s="17" t="s">
        <v>262</v>
      </c>
      <c r="G63" s="17" t="s">
        <v>262</v>
      </c>
      <c r="H63" s="17" t="s">
        <v>262</v>
      </c>
      <c r="I63" s="17" t="s">
        <v>262</v>
      </c>
      <c r="J63" s="17" t="s">
        <v>262</v>
      </c>
      <c r="K63" s="17" t="s">
        <v>262</v>
      </c>
      <c r="L63" s="17" t="s">
        <v>262</v>
      </c>
      <c r="M63" s="17" t="s">
        <v>262</v>
      </c>
      <c r="N63" s="17" t="s">
        <v>262</v>
      </c>
      <c r="O63" s="17" t="s">
        <v>262</v>
      </c>
      <c r="P63" s="17" t="s">
        <v>262</v>
      </c>
      <c r="Q63" s="17" t="s">
        <v>262</v>
      </c>
      <c r="R63" s="17" t="s">
        <v>262</v>
      </c>
      <c r="S63" s="17"/>
      <c r="T63" s="17"/>
      <c r="U63" s="17"/>
      <c r="V63" s="17"/>
    </row>
    <row r="64" spans="1:22">
      <c r="A64" s="17"/>
      <c r="B64" s="17" t="s">
        <v>528</v>
      </c>
      <c r="C64" s="17" t="s">
        <v>464</v>
      </c>
      <c r="D64" s="17" t="s">
        <v>519</v>
      </c>
      <c r="E64" s="17" t="s">
        <v>59</v>
      </c>
      <c r="F64" s="17" t="s">
        <v>262</v>
      </c>
      <c r="G64" s="17" t="s">
        <v>262</v>
      </c>
      <c r="H64" s="17" t="s">
        <v>262</v>
      </c>
      <c r="I64" s="17" t="s">
        <v>262</v>
      </c>
      <c r="J64" s="17" t="s">
        <v>262</v>
      </c>
      <c r="K64" s="17" t="s">
        <v>262</v>
      </c>
      <c r="L64" s="17" t="s">
        <v>262</v>
      </c>
      <c r="M64" s="17" t="s">
        <v>262</v>
      </c>
      <c r="N64" s="17" t="s">
        <v>262</v>
      </c>
      <c r="O64" s="17" t="s">
        <v>262</v>
      </c>
      <c r="P64" s="17" t="s">
        <v>262</v>
      </c>
      <c r="Q64" s="17" t="s">
        <v>262</v>
      </c>
      <c r="R64" s="17" t="s">
        <v>262</v>
      </c>
      <c r="S64" s="17"/>
      <c r="T64" s="17"/>
      <c r="U64" s="17"/>
      <c r="V64" s="17"/>
    </row>
    <row r="65" spans="1:22">
      <c r="A65" s="17" t="s">
        <v>531</v>
      </c>
      <c r="B65" s="17" t="s">
        <v>532</v>
      </c>
      <c r="C65" s="17" t="s">
        <v>464</v>
      </c>
      <c r="D65" s="17" t="s">
        <v>519</v>
      </c>
      <c r="E65" s="17" t="s">
        <v>59</v>
      </c>
      <c r="F65" s="17" t="s">
        <v>262</v>
      </c>
      <c r="G65" s="17" t="s">
        <v>262</v>
      </c>
      <c r="H65" s="17" t="s">
        <v>262</v>
      </c>
      <c r="I65" s="17" t="s">
        <v>262</v>
      </c>
      <c r="J65" s="17" t="s">
        <v>262</v>
      </c>
      <c r="K65" s="17" t="s">
        <v>262</v>
      </c>
      <c r="L65" s="17" t="s">
        <v>262</v>
      </c>
      <c r="M65" s="17" t="s">
        <v>262</v>
      </c>
      <c r="N65" s="17" t="s">
        <v>262</v>
      </c>
      <c r="O65" s="17" t="s">
        <v>262</v>
      </c>
      <c r="P65" s="17" t="s">
        <v>262</v>
      </c>
      <c r="Q65" s="17" t="s">
        <v>262</v>
      </c>
      <c r="R65" s="17" t="s">
        <v>262</v>
      </c>
      <c r="S65" s="17"/>
      <c r="T65" s="17"/>
      <c r="U65" s="17"/>
      <c r="V65" s="17"/>
    </row>
    <row r="66" spans="1:22">
      <c r="A66" s="17"/>
      <c r="B66" s="17" t="s">
        <v>533</v>
      </c>
      <c r="C66" s="17" t="s">
        <v>464</v>
      </c>
      <c r="D66" s="17" t="s">
        <v>519</v>
      </c>
      <c r="E66" s="17" t="s">
        <v>59</v>
      </c>
      <c r="F66" s="17" t="s">
        <v>262</v>
      </c>
      <c r="G66" s="17" t="s">
        <v>262</v>
      </c>
      <c r="H66" s="17" t="s">
        <v>262</v>
      </c>
      <c r="I66" s="17" t="s">
        <v>262</v>
      </c>
      <c r="J66" s="17" t="s">
        <v>262</v>
      </c>
      <c r="K66" s="17" t="s">
        <v>262</v>
      </c>
      <c r="L66" s="17" t="s">
        <v>262</v>
      </c>
      <c r="M66" s="17" t="s">
        <v>262</v>
      </c>
      <c r="N66" s="17" t="s">
        <v>262</v>
      </c>
      <c r="O66" s="17" t="s">
        <v>262</v>
      </c>
      <c r="P66" s="17" t="s">
        <v>262</v>
      </c>
      <c r="Q66" s="17" t="s">
        <v>262</v>
      </c>
      <c r="R66" s="17" t="s">
        <v>262</v>
      </c>
      <c r="S66" s="17"/>
      <c r="T66" s="17"/>
      <c r="U66" s="17"/>
      <c r="V66" s="17"/>
    </row>
    <row r="67" spans="1:22">
      <c r="A67" s="17"/>
      <c r="B67" s="17" t="s">
        <v>534</v>
      </c>
      <c r="C67" s="17" t="s">
        <v>464</v>
      </c>
      <c r="D67" s="17" t="s">
        <v>519</v>
      </c>
      <c r="E67" s="17" t="s">
        <v>59</v>
      </c>
      <c r="F67" s="17" t="s">
        <v>262</v>
      </c>
      <c r="G67" s="17" t="s">
        <v>262</v>
      </c>
      <c r="H67" s="17" t="s">
        <v>262</v>
      </c>
      <c r="I67" s="17" t="s">
        <v>262</v>
      </c>
      <c r="J67" s="17" t="s">
        <v>262</v>
      </c>
      <c r="K67" s="17" t="s">
        <v>262</v>
      </c>
      <c r="L67" s="17" t="s">
        <v>262</v>
      </c>
      <c r="M67" s="17" t="s">
        <v>262</v>
      </c>
      <c r="N67" s="17" t="s">
        <v>262</v>
      </c>
      <c r="O67" s="17" t="s">
        <v>262</v>
      </c>
      <c r="P67" s="17" t="s">
        <v>262</v>
      </c>
      <c r="Q67" s="17" t="s">
        <v>262</v>
      </c>
      <c r="R67" s="17" t="s">
        <v>262</v>
      </c>
      <c r="S67" s="17"/>
      <c r="T67" s="17"/>
      <c r="U67" s="17"/>
      <c r="V67" s="17"/>
    </row>
    <row r="68" spans="1:22">
      <c r="A68" s="17"/>
      <c r="B68" s="17" t="s">
        <v>535</v>
      </c>
      <c r="C68" s="17" t="s">
        <v>464</v>
      </c>
      <c r="D68" s="17" t="s">
        <v>519</v>
      </c>
      <c r="E68" s="17" t="s">
        <v>59</v>
      </c>
      <c r="F68" s="17" t="s">
        <v>262</v>
      </c>
      <c r="G68" s="17" t="s">
        <v>262</v>
      </c>
      <c r="H68" s="17" t="s">
        <v>262</v>
      </c>
      <c r="I68" s="17" t="s">
        <v>262</v>
      </c>
      <c r="J68" s="17" t="s">
        <v>262</v>
      </c>
      <c r="K68" s="17" t="s">
        <v>262</v>
      </c>
      <c r="L68" s="17" t="s">
        <v>262</v>
      </c>
      <c r="M68" s="17" t="s">
        <v>262</v>
      </c>
      <c r="N68" s="17" t="s">
        <v>262</v>
      </c>
      <c r="O68" s="17" t="s">
        <v>262</v>
      </c>
      <c r="P68" s="17" t="s">
        <v>262</v>
      </c>
      <c r="Q68" s="17" t="s">
        <v>262</v>
      </c>
      <c r="R68" s="17" t="s">
        <v>262</v>
      </c>
      <c r="S68" s="17"/>
      <c r="T68" s="17"/>
      <c r="U68" s="17"/>
      <c r="V68" s="17"/>
    </row>
    <row r="69" spans="1:22">
      <c r="A69" s="17" t="s">
        <v>536</v>
      </c>
      <c r="B69" s="17" t="s">
        <v>532</v>
      </c>
      <c r="C69" s="17" t="s">
        <v>464</v>
      </c>
      <c r="D69" s="17" t="s">
        <v>519</v>
      </c>
      <c r="E69" s="17" t="s">
        <v>59</v>
      </c>
      <c r="F69" s="17" t="s">
        <v>262</v>
      </c>
      <c r="G69" s="17" t="s">
        <v>262</v>
      </c>
      <c r="H69" s="17" t="s">
        <v>262</v>
      </c>
      <c r="I69" s="17" t="s">
        <v>262</v>
      </c>
      <c r="J69" s="17" t="s">
        <v>262</v>
      </c>
      <c r="K69" s="17" t="s">
        <v>262</v>
      </c>
      <c r="L69" s="17" t="s">
        <v>262</v>
      </c>
      <c r="M69" s="17" t="s">
        <v>262</v>
      </c>
      <c r="N69" s="17" t="s">
        <v>262</v>
      </c>
      <c r="O69" s="17" t="s">
        <v>262</v>
      </c>
      <c r="P69" s="17" t="s">
        <v>262</v>
      </c>
      <c r="Q69" s="17" t="s">
        <v>262</v>
      </c>
      <c r="R69" s="17" t="s">
        <v>262</v>
      </c>
      <c r="S69" s="17"/>
      <c r="T69" s="17"/>
      <c r="U69" s="17"/>
      <c r="V69" s="17"/>
    </row>
    <row r="70" spans="1:22">
      <c r="A70" s="17"/>
      <c r="B70" s="17" t="s">
        <v>537</v>
      </c>
      <c r="C70" s="17" t="s">
        <v>471</v>
      </c>
      <c r="D70" s="17" t="s">
        <v>519</v>
      </c>
      <c r="E70" s="17" t="s">
        <v>59</v>
      </c>
      <c r="F70" s="17" t="s">
        <v>262</v>
      </c>
      <c r="G70" s="17" t="s">
        <v>262</v>
      </c>
      <c r="H70" s="17" t="s">
        <v>262</v>
      </c>
      <c r="I70" s="17" t="s">
        <v>262</v>
      </c>
      <c r="J70" s="17" t="s">
        <v>262</v>
      </c>
      <c r="K70" s="17" t="s">
        <v>262</v>
      </c>
      <c r="L70" s="17" t="s">
        <v>262</v>
      </c>
      <c r="M70" s="17" t="s">
        <v>262</v>
      </c>
      <c r="N70" s="17" t="s">
        <v>262</v>
      </c>
      <c r="O70" s="17" t="s">
        <v>262</v>
      </c>
      <c r="P70" s="17" t="s">
        <v>262</v>
      </c>
      <c r="Q70" s="17" t="s">
        <v>262</v>
      </c>
      <c r="R70" s="17" t="s">
        <v>262</v>
      </c>
      <c r="S70" s="17"/>
      <c r="T70" s="17"/>
      <c r="U70" s="17"/>
      <c r="V70" s="17"/>
    </row>
    <row r="71" spans="1:22">
      <c r="A71" s="17"/>
      <c r="B71" s="17" t="s">
        <v>533</v>
      </c>
      <c r="C71" s="17" t="s">
        <v>464</v>
      </c>
      <c r="D71" s="17" t="s">
        <v>519</v>
      </c>
      <c r="E71" s="17" t="s">
        <v>59</v>
      </c>
      <c r="F71" s="17" t="s">
        <v>262</v>
      </c>
      <c r="G71" s="17" t="s">
        <v>262</v>
      </c>
      <c r="H71" s="17" t="s">
        <v>262</v>
      </c>
      <c r="I71" s="17" t="s">
        <v>262</v>
      </c>
      <c r="J71" s="17" t="s">
        <v>262</v>
      </c>
      <c r="K71" s="17" t="s">
        <v>262</v>
      </c>
      <c r="L71" s="17" t="s">
        <v>262</v>
      </c>
      <c r="M71" s="17" t="s">
        <v>262</v>
      </c>
      <c r="N71" s="17" t="s">
        <v>262</v>
      </c>
      <c r="O71" s="17" t="s">
        <v>262</v>
      </c>
      <c r="P71" s="17" t="s">
        <v>262</v>
      </c>
      <c r="Q71" s="17" t="s">
        <v>262</v>
      </c>
      <c r="R71" s="17" t="s">
        <v>262</v>
      </c>
      <c r="S71" s="17"/>
      <c r="T71" s="17"/>
      <c r="U71" s="17"/>
      <c r="V71" s="17"/>
    </row>
    <row r="72" spans="1:22">
      <c r="A72" s="17"/>
      <c r="B72" s="17" t="s">
        <v>534</v>
      </c>
      <c r="C72" s="17" t="s">
        <v>464</v>
      </c>
      <c r="D72" s="17" t="s">
        <v>519</v>
      </c>
      <c r="E72" s="17" t="s">
        <v>59</v>
      </c>
      <c r="F72" s="17" t="s">
        <v>262</v>
      </c>
      <c r="G72" s="17" t="s">
        <v>262</v>
      </c>
      <c r="H72" s="17" t="s">
        <v>262</v>
      </c>
      <c r="I72" s="17" t="s">
        <v>262</v>
      </c>
      <c r="J72" s="17" t="s">
        <v>262</v>
      </c>
      <c r="K72" s="17" t="s">
        <v>262</v>
      </c>
      <c r="L72" s="17" t="s">
        <v>262</v>
      </c>
      <c r="M72" s="17" t="s">
        <v>262</v>
      </c>
      <c r="N72" s="17" t="s">
        <v>262</v>
      </c>
      <c r="O72" s="17" t="s">
        <v>262</v>
      </c>
      <c r="P72" s="17" t="s">
        <v>262</v>
      </c>
      <c r="Q72" s="17" t="s">
        <v>262</v>
      </c>
      <c r="R72" s="17" t="s">
        <v>262</v>
      </c>
      <c r="S72" s="17"/>
      <c r="T72" s="17"/>
      <c r="U72" s="17"/>
      <c r="V72" s="17"/>
    </row>
    <row r="73" spans="1:22">
      <c r="A73" s="17"/>
      <c r="B73" s="17" t="s">
        <v>535</v>
      </c>
      <c r="C73" s="17" t="s">
        <v>464</v>
      </c>
      <c r="D73" s="17" t="s">
        <v>519</v>
      </c>
      <c r="E73" s="17" t="s">
        <v>59</v>
      </c>
      <c r="F73" s="17" t="s">
        <v>262</v>
      </c>
      <c r="G73" s="17" t="s">
        <v>262</v>
      </c>
      <c r="H73" s="17" t="s">
        <v>262</v>
      </c>
      <c r="I73" s="17" t="s">
        <v>262</v>
      </c>
      <c r="J73" s="17" t="s">
        <v>262</v>
      </c>
      <c r="K73" s="17" t="s">
        <v>262</v>
      </c>
      <c r="L73" s="17" t="s">
        <v>262</v>
      </c>
      <c r="M73" s="17" t="s">
        <v>262</v>
      </c>
      <c r="N73" s="17" t="s">
        <v>262</v>
      </c>
      <c r="O73" s="17" t="s">
        <v>262</v>
      </c>
      <c r="P73" s="17" t="s">
        <v>262</v>
      </c>
      <c r="Q73" s="17" t="s">
        <v>262</v>
      </c>
      <c r="R73" s="17" t="s">
        <v>262</v>
      </c>
      <c r="S73" s="17"/>
      <c r="T73" s="17"/>
      <c r="U73" s="17"/>
      <c r="V73" s="17"/>
    </row>
    <row r="74" spans="1:22">
      <c r="A74" s="17" t="s">
        <v>538</v>
      </c>
      <c r="B74" s="17" t="s">
        <v>539</v>
      </c>
      <c r="C74" s="17" t="s">
        <v>464</v>
      </c>
      <c r="D74" s="17" t="s">
        <v>495</v>
      </c>
      <c r="E74" s="17" t="s">
        <v>59</v>
      </c>
      <c r="F74" s="17">
        <v>10.7</v>
      </c>
      <c r="G74" s="17">
        <v>84.8</v>
      </c>
      <c r="H74" s="17">
        <v>90.4</v>
      </c>
      <c r="I74" s="17">
        <v>94</v>
      </c>
      <c r="J74" s="17">
        <v>4.8330000000000002</v>
      </c>
      <c r="K74" s="17">
        <v>8</v>
      </c>
      <c r="L74" s="17" t="s">
        <v>466</v>
      </c>
      <c r="M74" s="17">
        <v>8.43</v>
      </c>
      <c r="N74" s="17">
        <v>30.6</v>
      </c>
      <c r="O74" s="17">
        <v>96.16</v>
      </c>
      <c r="P74" s="17">
        <v>102</v>
      </c>
      <c r="Q74" s="17">
        <v>3</v>
      </c>
      <c r="R74" s="17">
        <v>5</v>
      </c>
      <c r="S74" s="17"/>
      <c r="T74" s="17"/>
      <c r="U74" s="17"/>
      <c r="V74" s="17"/>
    </row>
    <row r="75" spans="1:22">
      <c r="A75" s="17" t="s">
        <v>540</v>
      </c>
      <c r="B75" s="17" t="s">
        <v>477</v>
      </c>
      <c r="C75" s="17" t="s">
        <v>464</v>
      </c>
      <c r="D75" s="17" t="s">
        <v>541</v>
      </c>
      <c r="E75" s="17" t="s">
        <v>59</v>
      </c>
      <c r="F75" s="17">
        <v>8.18</v>
      </c>
      <c r="G75" s="17">
        <v>29.3</v>
      </c>
      <c r="H75" s="17">
        <v>184.79</v>
      </c>
      <c r="I75" s="17">
        <v>220</v>
      </c>
      <c r="J75" s="17">
        <v>6</v>
      </c>
      <c r="K75" s="17">
        <v>11</v>
      </c>
      <c r="L75" s="17" t="s">
        <v>475</v>
      </c>
      <c r="M75" s="17">
        <v>3.22</v>
      </c>
      <c r="N75" s="17">
        <v>60.6</v>
      </c>
      <c r="O75" s="17">
        <v>163.21</v>
      </c>
      <c r="P75" s="17">
        <v>200</v>
      </c>
      <c r="Q75" s="17">
        <v>5</v>
      </c>
      <c r="R75" s="17">
        <v>6</v>
      </c>
      <c r="S75" s="17"/>
      <c r="T75" s="17"/>
      <c r="U75" s="17"/>
      <c r="V75" s="17"/>
    </row>
    <row r="76" spans="1:22">
      <c r="A76" s="17" t="s">
        <v>542</v>
      </c>
      <c r="B76" s="17" t="s">
        <v>512</v>
      </c>
      <c r="C76" s="17" t="s">
        <v>471</v>
      </c>
      <c r="D76" s="17" t="s">
        <v>543</v>
      </c>
      <c r="E76" s="17" t="s">
        <v>59</v>
      </c>
      <c r="F76" s="17">
        <v>3.45</v>
      </c>
      <c r="G76" s="17">
        <v>4.3</v>
      </c>
      <c r="H76" s="17">
        <v>106.26</v>
      </c>
      <c r="I76" s="17">
        <v>107</v>
      </c>
      <c r="J76" s="17">
        <v>0</v>
      </c>
      <c r="K76" s="17">
        <v>0</v>
      </c>
      <c r="L76" s="17" t="s">
        <v>475</v>
      </c>
      <c r="M76" s="17">
        <v>3.46</v>
      </c>
      <c r="N76" s="17">
        <v>5</v>
      </c>
      <c r="O76" s="17">
        <v>99.31</v>
      </c>
      <c r="P76" s="17">
        <v>101</v>
      </c>
      <c r="Q76" s="17">
        <v>1</v>
      </c>
      <c r="R76" s="17">
        <v>2</v>
      </c>
      <c r="S76" s="17"/>
      <c r="T76" s="17"/>
      <c r="U76" s="17"/>
      <c r="V76" s="17"/>
    </row>
    <row r="77" spans="1:22">
      <c r="A77" s="17"/>
      <c r="B77" s="17" t="s">
        <v>514</v>
      </c>
      <c r="C77" s="17" t="s">
        <v>464</v>
      </c>
      <c r="D77" s="17" t="s">
        <v>543</v>
      </c>
      <c r="E77" s="17" t="s">
        <v>59</v>
      </c>
      <c r="F77" s="17">
        <v>4.09</v>
      </c>
      <c r="G77" s="17">
        <v>7.6</v>
      </c>
      <c r="H77" s="17">
        <v>132.97</v>
      </c>
      <c r="I77" s="17">
        <v>136</v>
      </c>
      <c r="J77" s="17">
        <v>0</v>
      </c>
      <c r="K77" s="17">
        <v>0</v>
      </c>
      <c r="L77" s="17" t="s">
        <v>475</v>
      </c>
      <c r="M77" s="17">
        <v>4.1399999999999997</v>
      </c>
      <c r="N77" s="17">
        <v>6.2</v>
      </c>
      <c r="O77" s="17">
        <v>101.09</v>
      </c>
      <c r="P77" s="17">
        <v>103</v>
      </c>
      <c r="Q77" s="17">
        <v>1</v>
      </c>
      <c r="R77" s="17">
        <v>3</v>
      </c>
      <c r="S77" s="17"/>
      <c r="T77" s="17"/>
      <c r="U77" s="17"/>
      <c r="V77" s="17"/>
    </row>
    <row r="78" spans="1:22">
      <c r="A78" s="17"/>
      <c r="B78" s="17" t="s">
        <v>515</v>
      </c>
      <c r="C78" s="17" t="s">
        <v>464</v>
      </c>
      <c r="D78" s="17" t="s">
        <v>543</v>
      </c>
      <c r="E78" s="17" t="s">
        <v>59</v>
      </c>
      <c r="F78" s="17">
        <v>14.76</v>
      </c>
      <c r="G78" s="17">
        <v>56.3</v>
      </c>
      <c r="H78" s="17">
        <v>145.71</v>
      </c>
      <c r="I78" s="17">
        <v>166</v>
      </c>
      <c r="J78" s="17">
        <v>1</v>
      </c>
      <c r="K78" s="17">
        <v>3</v>
      </c>
      <c r="L78" s="17" t="s">
        <v>475</v>
      </c>
      <c r="M78" s="17">
        <v>20.63</v>
      </c>
      <c r="N78" s="17">
        <v>80</v>
      </c>
      <c r="O78" s="17">
        <v>126.98</v>
      </c>
      <c r="P78" s="17">
        <v>141</v>
      </c>
      <c r="Q78" s="17">
        <v>1</v>
      </c>
      <c r="R78" s="17">
        <v>1</v>
      </c>
      <c r="S78" s="17"/>
      <c r="T78" s="17"/>
      <c r="U78" s="17"/>
      <c r="V78" s="17"/>
    </row>
    <row r="79" spans="1:22">
      <c r="A79" s="17" t="s">
        <v>441</v>
      </c>
      <c r="B79" s="17" t="s">
        <v>512</v>
      </c>
      <c r="C79" s="17" t="s">
        <v>471</v>
      </c>
      <c r="D79" s="17" t="s">
        <v>544</v>
      </c>
      <c r="E79" s="17" t="s">
        <v>59</v>
      </c>
      <c r="F79" s="17">
        <v>3</v>
      </c>
      <c r="G79" s="17">
        <v>4.3</v>
      </c>
      <c r="H79" s="17">
        <v>102.37</v>
      </c>
      <c r="I79" s="17">
        <v>114</v>
      </c>
      <c r="J79" s="17">
        <v>1</v>
      </c>
      <c r="K79" s="17">
        <v>1</v>
      </c>
      <c r="L79" s="17" t="s">
        <v>475</v>
      </c>
      <c r="M79" s="17">
        <v>3.04</v>
      </c>
      <c r="N79" s="17">
        <v>3.6</v>
      </c>
      <c r="O79" s="17">
        <v>99.03</v>
      </c>
      <c r="P79" s="17">
        <v>103</v>
      </c>
      <c r="Q79" s="17">
        <v>0</v>
      </c>
      <c r="R79" s="17">
        <v>0</v>
      </c>
      <c r="S79" s="17"/>
      <c r="T79" s="17"/>
      <c r="U79" s="17"/>
      <c r="V79" s="17"/>
    </row>
    <row r="80" spans="1:22">
      <c r="A80" s="17"/>
      <c r="B80" s="17" t="s">
        <v>514</v>
      </c>
      <c r="C80" s="17" t="s">
        <v>464</v>
      </c>
      <c r="D80" s="17" t="s">
        <v>544</v>
      </c>
      <c r="E80" s="17" t="s">
        <v>59</v>
      </c>
      <c r="F80" s="17">
        <v>3.14</v>
      </c>
      <c r="G80" s="17">
        <v>3.3</v>
      </c>
      <c r="H80" s="17">
        <v>117.21</v>
      </c>
      <c r="I80" s="17">
        <v>130</v>
      </c>
      <c r="J80" s="17">
        <v>0</v>
      </c>
      <c r="K80" s="17">
        <v>0</v>
      </c>
      <c r="L80" s="17" t="s">
        <v>475</v>
      </c>
      <c r="M80" s="17">
        <v>3.27</v>
      </c>
      <c r="N80" s="17">
        <v>4.3</v>
      </c>
      <c r="O80" s="17">
        <v>121.44</v>
      </c>
      <c r="P80" s="17">
        <v>125</v>
      </c>
      <c r="Q80" s="17">
        <v>0</v>
      </c>
      <c r="R80" s="17">
        <v>0</v>
      </c>
      <c r="S80" s="17"/>
      <c r="T80" s="17"/>
      <c r="U80" s="17"/>
      <c r="V80" s="17"/>
    </row>
    <row r="81" spans="1:22">
      <c r="A81" s="17"/>
      <c r="B81" s="17" t="s">
        <v>515</v>
      </c>
      <c r="C81" s="17" t="s">
        <v>464</v>
      </c>
      <c r="D81" s="17" t="s">
        <v>544</v>
      </c>
      <c r="E81" s="17" t="s">
        <v>59</v>
      </c>
      <c r="F81" s="17">
        <v>8.4700000000000006</v>
      </c>
      <c r="G81" s="17">
        <v>48.3</v>
      </c>
      <c r="H81" s="17">
        <v>130.76</v>
      </c>
      <c r="I81" s="17">
        <v>150</v>
      </c>
      <c r="J81" s="17">
        <v>1</v>
      </c>
      <c r="K81" s="17">
        <v>5</v>
      </c>
      <c r="L81" s="17" t="s">
        <v>475</v>
      </c>
      <c r="M81" s="17">
        <v>15.43</v>
      </c>
      <c r="N81" s="17">
        <v>42.6</v>
      </c>
      <c r="O81" s="17">
        <v>151.88999999999999</v>
      </c>
      <c r="P81" s="17">
        <v>168</v>
      </c>
      <c r="Q81" s="17">
        <v>0</v>
      </c>
      <c r="R81" s="17">
        <v>0</v>
      </c>
      <c r="S81" s="17"/>
      <c r="T81" s="17"/>
      <c r="U81" s="17"/>
      <c r="V81" s="17"/>
    </row>
    <row r="82" spans="1:22">
      <c r="A82" s="17" t="s">
        <v>438</v>
      </c>
      <c r="B82" s="17" t="s">
        <v>512</v>
      </c>
      <c r="C82" s="17" t="s">
        <v>471</v>
      </c>
      <c r="D82" s="17" t="s">
        <v>545</v>
      </c>
      <c r="E82" s="17" t="s">
        <v>59</v>
      </c>
      <c r="F82" s="17">
        <v>3.26</v>
      </c>
      <c r="G82" s="17">
        <v>5</v>
      </c>
      <c r="H82" s="17">
        <v>82.02</v>
      </c>
      <c r="I82" s="17">
        <v>84</v>
      </c>
      <c r="J82" s="17">
        <v>0</v>
      </c>
      <c r="K82" s="17">
        <v>0</v>
      </c>
      <c r="L82" s="17" t="s">
        <v>475</v>
      </c>
      <c r="M82" s="17">
        <v>3.46</v>
      </c>
      <c r="N82" s="17">
        <v>4.3</v>
      </c>
      <c r="O82" s="17">
        <v>79</v>
      </c>
      <c r="P82" s="17">
        <v>79</v>
      </c>
      <c r="Q82" s="17">
        <v>1</v>
      </c>
      <c r="R82" s="17">
        <v>1</v>
      </c>
      <c r="S82" s="17"/>
      <c r="T82" s="17"/>
      <c r="U82" s="17"/>
      <c r="V82" s="17"/>
    </row>
    <row r="83" spans="1:22">
      <c r="A83" s="17"/>
      <c r="B83" s="17" t="s">
        <v>514</v>
      </c>
      <c r="C83" s="17" t="s">
        <v>464</v>
      </c>
      <c r="D83" s="17" t="s">
        <v>545</v>
      </c>
      <c r="E83" s="17" t="s">
        <v>59</v>
      </c>
      <c r="F83" s="17">
        <v>3.89</v>
      </c>
      <c r="G83" s="17">
        <v>6.2</v>
      </c>
      <c r="H83" s="17">
        <v>96.47</v>
      </c>
      <c r="I83" s="17">
        <v>100</v>
      </c>
      <c r="J83" s="17">
        <v>1</v>
      </c>
      <c r="K83" s="17">
        <v>2</v>
      </c>
      <c r="L83" s="17" t="s">
        <v>475</v>
      </c>
      <c r="M83" s="17">
        <v>4.03</v>
      </c>
      <c r="N83" s="17">
        <v>5.3</v>
      </c>
      <c r="O83" s="17">
        <v>85.69</v>
      </c>
      <c r="P83" s="17">
        <v>87</v>
      </c>
      <c r="Q83" s="17">
        <v>1</v>
      </c>
      <c r="R83" s="17">
        <v>3</v>
      </c>
      <c r="S83" s="17"/>
      <c r="T83" s="17"/>
      <c r="U83" s="17"/>
      <c r="V83" s="17"/>
    </row>
    <row r="84" spans="1:22">
      <c r="A84" s="17"/>
      <c r="B84" s="17" t="s">
        <v>515</v>
      </c>
      <c r="C84" s="17" t="s">
        <v>464</v>
      </c>
      <c r="D84" s="17" t="s">
        <v>545</v>
      </c>
      <c r="E84" s="17" t="s">
        <v>59</v>
      </c>
      <c r="F84" s="17">
        <v>27.83</v>
      </c>
      <c r="G84" s="17">
        <v>167</v>
      </c>
      <c r="H84" s="17">
        <v>146.87</v>
      </c>
      <c r="I84" s="17">
        <v>182</v>
      </c>
      <c r="J84" s="17">
        <v>1</v>
      </c>
      <c r="K84" s="17">
        <v>3</v>
      </c>
      <c r="L84" s="17" t="s">
        <v>475</v>
      </c>
      <c r="M84" s="17">
        <v>23.85</v>
      </c>
      <c r="N84" s="17">
        <v>55</v>
      </c>
      <c r="O84" s="17">
        <v>154.97999999999999</v>
      </c>
      <c r="P84" s="17">
        <v>183</v>
      </c>
      <c r="Q84" s="17">
        <v>1</v>
      </c>
      <c r="R84" s="17">
        <v>3</v>
      </c>
      <c r="S84" s="17"/>
      <c r="T84" s="17"/>
      <c r="U84" s="17"/>
      <c r="V84" s="17"/>
    </row>
    <row r="85" spans="1:22">
      <c r="A85" s="17" t="s">
        <v>546</v>
      </c>
      <c r="B85" s="17" t="s">
        <v>512</v>
      </c>
      <c r="C85" s="17" t="s">
        <v>471</v>
      </c>
      <c r="D85" s="17" t="s">
        <v>547</v>
      </c>
      <c r="E85" s="17" t="s">
        <v>59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 t="s">
        <v>475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/>
      <c r="T85" s="17"/>
      <c r="U85" s="17"/>
      <c r="V85" s="17"/>
    </row>
    <row r="86" spans="1:22">
      <c r="A86" s="17"/>
      <c r="B86" s="17" t="s">
        <v>514</v>
      </c>
      <c r="C86" s="17" t="s">
        <v>464</v>
      </c>
      <c r="D86" s="17" t="s">
        <v>547</v>
      </c>
      <c r="E86" s="17" t="s">
        <v>59</v>
      </c>
      <c r="F86" s="17">
        <v>0.01</v>
      </c>
      <c r="G86" s="17">
        <v>1</v>
      </c>
      <c r="H86" s="17">
        <v>69</v>
      </c>
      <c r="I86" s="17">
        <v>69</v>
      </c>
      <c r="J86" s="17">
        <v>0</v>
      </c>
      <c r="K86" s="17">
        <v>0</v>
      </c>
      <c r="L86" s="17" t="s">
        <v>475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/>
      <c r="T86" s="17"/>
      <c r="U86" s="17"/>
      <c r="V86" s="17"/>
    </row>
    <row r="87" spans="1:22">
      <c r="A87" s="17"/>
      <c r="B87" s="17" t="s">
        <v>515</v>
      </c>
      <c r="C87" s="17" t="s">
        <v>464</v>
      </c>
      <c r="D87" s="17" t="s">
        <v>547</v>
      </c>
      <c r="E87" s="17" t="s">
        <v>59</v>
      </c>
      <c r="F87" s="17">
        <v>26.04</v>
      </c>
      <c r="G87" s="17">
        <v>61.6</v>
      </c>
      <c r="H87" s="17">
        <v>144.59</v>
      </c>
      <c r="I87" s="17">
        <v>180</v>
      </c>
      <c r="J87" s="17">
        <v>3</v>
      </c>
      <c r="K87" s="17">
        <v>7</v>
      </c>
      <c r="L87" s="17" t="s">
        <v>475</v>
      </c>
      <c r="M87" s="17">
        <v>18.190000000000001</v>
      </c>
      <c r="N87" s="17">
        <v>63.6</v>
      </c>
      <c r="O87" s="17">
        <v>130.97</v>
      </c>
      <c r="P87" s="17">
        <v>187</v>
      </c>
      <c r="Q87" s="17">
        <v>0</v>
      </c>
      <c r="R87" s="17">
        <v>0</v>
      </c>
      <c r="S87" s="17"/>
      <c r="T87" s="17"/>
      <c r="U87" s="17"/>
      <c r="V87" s="17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0"/>
  <sheetViews>
    <sheetView topLeftCell="A441" workbookViewId="0">
      <selection activeCell="J463" sqref="J463"/>
    </sheetView>
  </sheetViews>
  <sheetFormatPr baseColWidth="10" defaultColWidth="9" defaultRowHeight="15"/>
  <cols>
    <col min="1" max="1" width="11" style="1" customWidth="1"/>
    <col min="2" max="2" width="37" style="1" customWidth="1"/>
    <col min="3" max="4" width="24.6640625" style="1" customWidth="1"/>
    <col min="5" max="5" width="24.5" style="1" customWidth="1"/>
    <col min="6" max="16384" width="9" style="1"/>
  </cols>
  <sheetData>
    <row r="1" spans="1:16">
      <c r="A1" s="2" t="s">
        <v>548</v>
      </c>
      <c r="B1" s="3"/>
    </row>
    <row r="2" spans="1:16">
      <c r="A2" s="4" t="s">
        <v>549</v>
      </c>
      <c r="B2" s="4" t="s">
        <v>550</v>
      </c>
      <c r="C2" s="4" t="s">
        <v>551</v>
      </c>
      <c r="D2" s="4" t="s">
        <v>552</v>
      </c>
      <c r="E2" s="4" t="s">
        <v>553</v>
      </c>
      <c r="F2" s="4" t="s">
        <v>554</v>
      </c>
    </row>
    <row r="3" spans="1:16">
      <c r="A3" s="4"/>
      <c r="B3" s="4"/>
      <c r="C3" s="4"/>
      <c r="D3" s="4"/>
      <c r="E3" s="4"/>
      <c r="F3" s="4"/>
    </row>
    <row r="4" spans="1:16" ht="14.25" customHeight="1">
      <c r="A4" s="5" t="s">
        <v>555</v>
      </c>
      <c r="B4" s="4" t="s">
        <v>556</v>
      </c>
      <c r="C4" s="4" t="s">
        <v>557</v>
      </c>
      <c r="D4" s="4" t="s">
        <v>557</v>
      </c>
      <c r="E4" s="6"/>
      <c r="F4" s="5"/>
      <c r="P4" s="7"/>
    </row>
    <row r="5" spans="1:16">
      <c r="A5" s="5"/>
      <c r="B5" s="4" t="s">
        <v>558</v>
      </c>
      <c r="C5" s="4" t="s">
        <v>559</v>
      </c>
      <c r="D5" s="4" t="s">
        <v>559</v>
      </c>
      <c r="E5" s="6"/>
      <c r="F5" s="5"/>
      <c r="P5" s="7"/>
    </row>
    <row r="6" spans="1:16">
      <c r="A6" s="5"/>
      <c r="B6" s="4" t="s">
        <v>560</v>
      </c>
      <c r="C6" s="4" t="s">
        <v>561</v>
      </c>
      <c r="D6" s="4" t="s">
        <v>561</v>
      </c>
      <c r="E6" s="6"/>
      <c r="F6" s="5"/>
      <c r="P6" s="7"/>
    </row>
    <row r="7" spans="1:16">
      <c r="A7" s="5"/>
      <c r="B7" s="4" t="s">
        <v>562</v>
      </c>
      <c r="C7" s="4" t="s">
        <v>563</v>
      </c>
      <c r="D7" s="4" t="s">
        <v>563</v>
      </c>
      <c r="E7" s="6"/>
      <c r="F7" s="5"/>
      <c r="P7" s="7"/>
    </row>
    <row r="8" spans="1:16">
      <c r="A8" s="5"/>
      <c r="B8" s="4" t="s">
        <v>564</v>
      </c>
      <c r="C8" s="4" t="s">
        <v>565</v>
      </c>
      <c r="D8" s="4" t="s">
        <v>565</v>
      </c>
      <c r="E8" s="6"/>
      <c r="F8" s="5"/>
      <c r="P8" s="7"/>
    </row>
    <row r="9" spans="1:16">
      <c r="A9" s="5"/>
      <c r="B9" s="4" t="s">
        <v>566</v>
      </c>
      <c r="C9" s="4" t="s">
        <v>567</v>
      </c>
      <c r="D9" s="4" t="s">
        <v>567</v>
      </c>
      <c r="E9" s="6"/>
      <c r="F9" s="5"/>
      <c r="P9" s="7"/>
    </row>
    <row r="10" spans="1:16">
      <c r="A10" s="5"/>
      <c r="B10" s="4" t="s">
        <v>568</v>
      </c>
      <c r="C10" s="4" t="s">
        <v>569</v>
      </c>
      <c r="D10" s="4" t="s">
        <v>569</v>
      </c>
      <c r="E10" s="6"/>
      <c r="F10" s="5"/>
      <c r="P10" s="7"/>
    </row>
    <row r="11" spans="1:16">
      <c r="A11" s="5"/>
      <c r="B11" s="4" t="s">
        <v>570</v>
      </c>
      <c r="C11" s="4" t="s">
        <v>571</v>
      </c>
      <c r="D11" s="4" t="s">
        <v>571</v>
      </c>
      <c r="E11" s="6"/>
      <c r="F11" s="5"/>
      <c r="P11" s="7"/>
    </row>
    <row r="12" spans="1:16">
      <c r="A12" s="5"/>
      <c r="B12" s="4" t="s">
        <v>572</v>
      </c>
      <c r="C12" s="4" t="s">
        <v>573</v>
      </c>
      <c r="D12" s="4" t="s">
        <v>573</v>
      </c>
      <c r="E12" s="6"/>
      <c r="F12" s="5"/>
      <c r="P12" s="7"/>
    </row>
    <row r="13" spans="1:16">
      <c r="A13" s="5"/>
      <c r="B13" s="4" t="s">
        <v>574</v>
      </c>
      <c r="C13" s="4" t="s">
        <v>575</v>
      </c>
      <c r="D13" s="4" t="s">
        <v>575</v>
      </c>
      <c r="E13" s="6"/>
      <c r="F13" s="5"/>
      <c r="P13" s="7"/>
    </row>
    <row r="14" spans="1:16">
      <c r="A14" s="5"/>
      <c r="B14" s="4" t="s">
        <v>576</v>
      </c>
      <c r="C14" s="4" t="s">
        <v>577</v>
      </c>
      <c r="D14" s="4" t="s">
        <v>577</v>
      </c>
      <c r="E14" s="6"/>
      <c r="F14" s="5"/>
      <c r="P14" s="7"/>
    </row>
    <row r="15" spans="1:16">
      <c r="A15" s="5"/>
      <c r="B15" s="4" t="s">
        <v>578</v>
      </c>
      <c r="C15" s="4" t="s">
        <v>579</v>
      </c>
      <c r="D15" s="4" t="s">
        <v>579</v>
      </c>
      <c r="E15" s="6"/>
      <c r="F15" s="5"/>
      <c r="P15" s="7"/>
    </row>
    <row r="16" spans="1:16">
      <c r="A16" s="5"/>
      <c r="B16" s="4" t="s">
        <v>580</v>
      </c>
      <c r="C16" s="4" t="s">
        <v>581</v>
      </c>
      <c r="D16" s="4" t="s">
        <v>581</v>
      </c>
      <c r="E16" s="6"/>
      <c r="F16" s="5"/>
      <c r="P16" s="7"/>
    </row>
    <row r="17" spans="1:16">
      <c r="A17" s="5"/>
      <c r="B17" s="4" t="s">
        <v>582</v>
      </c>
      <c r="C17" s="4" t="s">
        <v>583</v>
      </c>
      <c r="D17" s="4" t="s">
        <v>583</v>
      </c>
      <c r="E17" s="6"/>
      <c r="F17" s="5"/>
      <c r="P17" s="7"/>
    </row>
    <row r="18" spans="1:16">
      <c r="A18" s="5"/>
      <c r="B18" s="4" t="s">
        <v>584</v>
      </c>
      <c r="C18" s="4" t="s">
        <v>585</v>
      </c>
      <c r="D18" s="4" t="s">
        <v>585</v>
      </c>
      <c r="E18" s="6"/>
      <c r="F18" s="5"/>
      <c r="P18" s="7"/>
    </row>
    <row r="19" spans="1:16">
      <c r="A19" s="5"/>
      <c r="B19" s="4" t="s">
        <v>586</v>
      </c>
      <c r="C19" s="4" t="s">
        <v>559</v>
      </c>
      <c r="D19" s="4" t="s">
        <v>559</v>
      </c>
      <c r="E19" s="6"/>
      <c r="F19" s="5"/>
      <c r="P19" s="7"/>
    </row>
    <row r="20" spans="1:16">
      <c r="A20" s="5"/>
      <c r="B20" s="4" t="s">
        <v>587</v>
      </c>
      <c r="C20" s="4" t="s">
        <v>588</v>
      </c>
      <c r="D20" s="4" t="s">
        <v>588</v>
      </c>
      <c r="E20" s="6"/>
      <c r="F20" s="5"/>
      <c r="P20" s="7"/>
    </row>
    <row r="21" spans="1:16">
      <c r="A21" s="5"/>
      <c r="B21" s="4" t="s">
        <v>589</v>
      </c>
      <c r="C21" s="4" t="s">
        <v>590</v>
      </c>
      <c r="D21" s="4" t="s">
        <v>590</v>
      </c>
      <c r="E21" s="6"/>
      <c r="F21" s="5"/>
      <c r="P21" s="7"/>
    </row>
    <row r="22" spans="1:16">
      <c r="A22" s="5"/>
      <c r="B22" s="4" t="s">
        <v>591</v>
      </c>
      <c r="C22" s="4" t="s">
        <v>592</v>
      </c>
      <c r="D22" s="4" t="s">
        <v>592</v>
      </c>
      <c r="E22" s="6"/>
      <c r="F22" s="5"/>
      <c r="P22" s="7"/>
    </row>
    <row r="23" spans="1:16">
      <c r="A23" s="5"/>
      <c r="B23" s="4" t="s">
        <v>593</v>
      </c>
      <c r="C23" s="4" t="s">
        <v>592</v>
      </c>
      <c r="D23" s="4" t="s">
        <v>592</v>
      </c>
      <c r="E23" s="6"/>
      <c r="F23" s="5"/>
      <c r="P23" s="7"/>
    </row>
    <row r="24" spans="1:16">
      <c r="A24" s="5"/>
      <c r="B24" s="4" t="s">
        <v>594</v>
      </c>
      <c r="C24" s="4" t="s">
        <v>595</v>
      </c>
      <c r="D24" s="4" t="s">
        <v>595</v>
      </c>
      <c r="E24" s="6"/>
      <c r="F24" s="5"/>
      <c r="P24" s="7"/>
    </row>
    <row r="25" spans="1:16">
      <c r="A25" s="5"/>
      <c r="B25" s="4" t="s">
        <v>596</v>
      </c>
      <c r="C25" s="4" t="s">
        <v>597</v>
      </c>
      <c r="D25" s="4" t="s">
        <v>597</v>
      </c>
      <c r="E25" s="6"/>
      <c r="F25" s="5"/>
      <c r="P25" s="7"/>
    </row>
    <row r="26" spans="1:16">
      <c r="A26" s="5"/>
      <c r="B26" s="4" t="s">
        <v>598</v>
      </c>
      <c r="C26" s="4" t="s">
        <v>557</v>
      </c>
      <c r="D26" s="4" t="s">
        <v>557</v>
      </c>
      <c r="E26" s="6"/>
      <c r="F26" s="5"/>
      <c r="P26" s="7"/>
    </row>
    <row r="27" spans="1:16">
      <c r="A27" s="5"/>
      <c r="B27" s="4" t="s">
        <v>599</v>
      </c>
      <c r="C27" s="4" t="s">
        <v>600</v>
      </c>
      <c r="D27" s="4" t="s">
        <v>600</v>
      </c>
      <c r="E27" s="6"/>
      <c r="F27" s="5"/>
      <c r="P27" s="7"/>
    </row>
    <row r="28" spans="1:16">
      <c r="A28" s="5"/>
      <c r="B28" s="4" t="s">
        <v>601</v>
      </c>
      <c r="C28" s="4" t="s">
        <v>602</v>
      </c>
      <c r="D28" s="4" t="s">
        <v>602</v>
      </c>
      <c r="E28" s="6"/>
      <c r="F28" s="5"/>
      <c r="P28" s="7"/>
    </row>
    <row r="29" spans="1:16">
      <c r="A29" s="5"/>
      <c r="B29" s="4" t="s">
        <v>603</v>
      </c>
      <c r="C29" s="4" t="s">
        <v>602</v>
      </c>
      <c r="D29" s="4" t="s">
        <v>602</v>
      </c>
      <c r="E29" s="6"/>
      <c r="F29" s="5"/>
      <c r="P29" s="7"/>
    </row>
    <row r="30" spans="1:16">
      <c r="A30" s="5"/>
      <c r="B30" s="4" t="s">
        <v>604</v>
      </c>
      <c r="C30" s="4" t="s">
        <v>605</v>
      </c>
      <c r="D30" s="4" t="s">
        <v>605</v>
      </c>
      <c r="E30" s="6"/>
      <c r="F30" s="5"/>
      <c r="P30" s="7"/>
    </row>
    <row r="31" spans="1:16">
      <c r="A31" s="5"/>
      <c r="B31" s="4" t="s">
        <v>606</v>
      </c>
      <c r="C31" s="4" t="s">
        <v>607</v>
      </c>
      <c r="D31" s="4" t="s">
        <v>607</v>
      </c>
      <c r="E31" s="6"/>
      <c r="F31" s="5"/>
      <c r="P31" s="7"/>
    </row>
    <row r="32" spans="1:16">
      <c r="A32" s="5"/>
      <c r="B32" s="4" t="s">
        <v>608</v>
      </c>
      <c r="C32" s="4" t="s">
        <v>607</v>
      </c>
      <c r="D32" s="4" t="s">
        <v>607</v>
      </c>
      <c r="E32" s="6"/>
      <c r="F32" s="5"/>
      <c r="P32" s="7"/>
    </row>
    <row r="33" spans="1:16">
      <c r="A33" s="5"/>
      <c r="B33" s="4" t="s">
        <v>609</v>
      </c>
      <c r="C33" s="4" t="s">
        <v>602</v>
      </c>
      <c r="D33" s="4" t="s">
        <v>602</v>
      </c>
      <c r="E33" s="6"/>
      <c r="F33" s="5"/>
      <c r="P33" s="7"/>
    </row>
    <row r="34" spans="1:16">
      <c r="A34" s="5"/>
      <c r="B34" s="4" t="s">
        <v>610</v>
      </c>
      <c r="C34" s="4" t="s">
        <v>611</v>
      </c>
      <c r="D34" s="4" t="s">
        <v>611</v>
      </c>
      <c r="E34" s="6"/>
      <c r="F34" s="5"/>
      <c r="P34" s="7"/>
    </row>
    <row r="35" spans="1:16">
      <c r="A35" s="5"/>
      <c r="B35" s="4" t="s">
        <v>612</v>
      </c>
      <c r="C35" s="4" t="s">
        <v>613</v>
      </c>
      <c r="D35" s="4" t="s">
        <v>613</v>
      </c>
      <c r="E35" s="6"/>
      <c r="F35" s="5"/>
      <c r="P35" s="7"/>
    </row>
    <row r="36" spans="1:16">
      <c r="A36" s="5"/>
      <c r="B36" s="4" t="s">
        <v>614</v>
      </c>
      <c r="C36" s="4" t="s">
        <v>615</v>
      </c>
      <c r="D36" s="4" t="s">
        <v>615</v>
      </c>
      <c r="E36" s="6"/>
      <c r="F36" s="5"/>
      <c r="P36" s="7"/>
    </row>
    <row r="37" spans="1:16">
      <c r="A37" s="5"/>
      <c r="B37" s="4" t="s">
        <v>616</v>
      </c>
      <c r="C37" s="4" t="s">
        <v>557</v>
      </c>
      <c r="D37" s="4" t="s">
        <v>557</v>
      </c>
      <c r="E37" s="6"/>
      <c r="F37" s="5"/>
      <c r="P37" s="7"/>
    </row>
    <row r="38" spans="1:16">
      <c r="A38" s="5"/>
      <c r="B38" s="4" t="s">
        <v>617</v>
      </c>
      <c r="C38" s="4" t="s">
        <v>559</v>
      </c>
      <c r="D38" s="4" t="s">
        <v>559</v>
      </c>
      <c r="E38" s="6"/>
      <c r="F38" s="5"/>
      <c r="P38" s="7"/>
    </row>
    <row r="39" spans="1:16">
      <c r="A39" s="5"/>
      <c r="B39" s="4" t="s">
        <v>618</v>
      </c>
      <c r="C39" s="4" t="s">
        <v>619</v>
      </c>
      <c r="D39" s="4" t="s">
        <v>619</v>
      </c>
      <c r="E39" s="6"/>
      <c r="F39" s="5"/>
      <c r="P39" s="7"/>
    </row>
    <row r="40" spans="1:16">
      <c r="A40" s="5"/>
      <c r="B40" s="4" t="s">
        <v>620</v>
      </c>
      <c r="C40" s="4" t="s">
        <v>621</v>
      </c>
      <c r="D40" s="4" t="s">
        <v>621</v>
      </c>
      <c r="E40" s="6"/>
      <c r="F40" s="5"/>
      <c r="P40" s="7"/>
    </row>
    <row r="41" spans="1:16">
      <c r="A41" s="5"/>
      <c r="B41" s="4" t="s">
        <v>622</v>
      </c>
      <c r="C41" s="4" t="s">
        <v>623</v>
      </c>
      <c r="D41" s="4" t="s">
        <v>623</v>
      </c>
      <c r="E41" s="6"/>
      <c r="F41" s="5"/>
      <c r="P41" s="7"/>
    </row>
    <row r="42" spans="1:16">
      <c r="A42" s="5"/>
      <c r="B42" s="4" t="s">
        <v>624</v>
      </c>
      <c r="C42" s="4" t="s">
        <v>607</v>
      </c>
      <c r="D42" s="4" t="s">
        <v>607</v>
      </c>
      <c r="E42" s="6"/>
      <c r="F42" s="5"/>
      <c r="P42" s="7"/>
    </row>
    <row r="43" spans="1:16">
      <c r="A43" s="5"/>
      <c r="B43" s="4" t="s">
        <v>625</v>
      </c>
      <c r="C43" s="4" t="s">
        <v>559</v>
      </c>
      <c r="D43" s="4" t="s">
        <v>559</v>
      </c>
      <c r="E43" s="6"/>
      <c r="F43" s="5"/>
      <c r="P43" s="7"/>
    </row>
    <row r="44" spans="1:16">
      <c r="A44" s="5"/>
      <c r="B44" s="4" t="s">
        <v>626</v>
      </c>
      <c r="C44" s="4" t="s">
        <v>588</v>
      </c>
      <c r="D44" s="4" t="s">
        <v>588</v>
      </c>
      <c r="E44" s="6"/>
      <c r="F44" s="5"/>
      <c r="P44" s="7"/>
    </row>
    <row r="45" spans="1:16">
      <c r="A45" s="5"/>
      <c r="B45" s="4" t="s">
        <v>627</v>
      </c>
      <c r="C45" s="4" t="s">
        <v>628</v>
      </c>
      <c r="D45" s="4" t="s">
        <v>628</v>
      </c>
      <c r="E45" s="6"/>
      <c r="F45" s="5"/>
      <c r="P45" s="7"/>
    </row>
    <row r="46" spans="1:16">
      <c r="A46" s="5"/>
      <c r="B46" s="4" t="s">
        <v>629</v>
      </c>
      <c r="C46" s="4" t="s">
        <v>563</v>
      </c>
      <c r="D46" s="4" t="s">
        <v>563</v>
      </c>
      <c r="E46" s="6"/>
      <c r="F46" s="5"/>
      <c r="P46" s="7"/>
    </row>
    <row r="47" spans="1:16">
      <c r="A47" s="5"/>
      <c r="B47" s="4" t="s">
        <v>630</v>
      </c>
      <c r="C47" s="4" t="s">
        <v>565</v>
      </c>
      <c r="D47" s="4" t="s">
        <v>565</v>
      </c>
      <c r="E47" s="6"/>
      <c r="F47" s="5"/>
      <c r="P47" s="7"/>
    </row>
    <row r="48" spans="1:16">
      <c r="A48" s="5"/>
      <c r="B48" s="4" t="s">
        <v>631</v>
      </c>
      <c r="C48" s="4" t="s">
        <v>632</v>
      </c>
      <c r="D48" s="4" t="s">
        <v>632</v>
      </c>
      <c r="E48" s="6"/>
      <c r="F48" s="5"/>
      <c r="P48" s="7"/>
    </row>
    <row r="49" spans="1:16">
      <c r="A49" s="5"/>
      <c r="B49" s="4" t="s">
        <v>633</v>
      </c>
      <c r="C49" s="4" t="s">
        <v>557</v>
      </c>
      <c r="D49" s="4" t="s">
        <v>557</v>
      </c>
      <c r="E49" s="6"/>
      <c r="F49" s="5"/>
      <c r="P49" s="7"/>
    </row>
    <row r="50" spans="1:16">
      <c r="A50" s="5"/>
      <c r="B50" s="4" t="s">
        <v>634</v>
      </c>
      <c r="C50" s="4" t="s">
        <v>559</v>
      </c>
      <c r="D50" s="4" t="s">
        <v>559</v>
      </c>
      <c r="E50" s="6"/>
      <c r="F50" s="5"/>
      <c r="P50" s="7"/>
    </row>
    <row r="51" spans="1:16">
      <c r="A51" s="5"/>
      <c r="B51" s="4" t="s">
        <v>635</v>
      </c>
      <c r="C51" s="4" t="s">
        <v>636</v>
      </c>
      <c r="D51" s="4" t="s">
        <v>636</v>
      </c>
      <c r="E51" s="6"/>
      <c r="F51" s="5"/>
      <c r="P51" s="7"/>
    </row>
    <row r="52" spans="1:16">
      <c r="A52" s="5"/>
      <c r="B52" s="4" t="s">
        <v>637</v>
      </c>
      <c r="C52" s="4" t="s">
        <v>611</v>
      </c>
      <c r="D52" s="4" t="s">
        <v>611</v>
      </c>
      <c r="E52" s="6"/>
      <c r="F52" s="5"/>
      <c r="P52" s="7"/>
    </row>
    <row r="53" spans="1:16">
      <c r="A53" s="5"/>
      <c r="B53" s="4" t="s">
        <v>638</v>
      </c>
      <c r="C53" s="4" t="s">
        <v>597</v>
      </c>
      <c r="D53" s="4" t="s">
        <v>597</v>
      </c>
      <c r="E53" s="6"/>
      <c r="F53" s="5"/>
      <c r="P53" s="7"/>
    </row>
    <row r="54" spans="1:16">
      <c r="A54" s="5"/>
      <c r="B54" s="4" t="s">
        <v>639</v>
      </c>
      <c r="C54" s="4" t="s">
        <v>640</v>
      </c>
      <c r="D54" s="4" t="s">
        <v>640</v>
      </c>
      <c r="E54" s="6"/>
      <c r="F54" s="5"/>
      <c r="P54" s="7"/>
    </row>
    <row r="55" spans="1:16">
      <c r="A55" s="5"/>
      <c r="B55" s="4" t="s">
        <v>641</v>
      </c>
      <c r="C55" s="4" t="s">
        <v>642</v>
      </c>
      <c r="D55" s="4" t="s">
        <v>642</v>
      </c>
      <c r="E55" s="6"/>
      <c r="F55" s="5"/>
      <c r="P55" s="7"/>
    </row>
    <row r="56" spans="1:16">
      <c r="A56" s="5"/>
      <c r="B56" s="4" t="s">
        <v>643</v>
      </c>
      <c r="C56" s="4" t="s">
        <v>644</v>
      </c>
      <c r="D56" s="4" t="s">
        <v>644</v>
      </c>
      <c r="E56" s="6"/>
      <c r="F56" s="5"/>
      <c r="P56" s="7"/>
    </row>
    <row r="57" spans="1:16">
      <c r="A57" s="5"/>
      <c r="B57" s="4" t="s">
        <v>645</v>
      </c>
      <c r="C57" s="4" t="s">
        <v>646</v>
      </c>
      <c r="D57" s="4" t="s">
        <v>646</v>
      </c>
      <c r="E57" s="6"/>
      <c r="F57" s="5"/>
      <c r="P57" s="7"/>
    </row>
    <row r="58" spans="1:16">
      <c r="A58" s="5"/>
      <c r="B58" s="4" t="s">
        <v>647</v>
      </c>
      <c r="C58" s="4" t="s">
        <v>648</v>
      </c>
      <c r="D58" s="4" t="s">
        <v>648</v>
      </c>
      <c r="E58" s="6"/>
      <c r="F58" s="5"/>
      <c r="P58" s="7"/>
    </row>
    <row r="59" spans="1:16">
      <c r="A59" s="5"/>
      <c r="B59" s="4" t="s">
        <v>649</v>
      </c>
      <c r="C59" s="4" t="s">
        <v>632</v>
      </c>
      <c r="D59" s="4" t="s">
        <v>632</v>
      </c>
      <c r="E59" s="6"/>
      <c r="F59" s="5"/>
      <c r="P59" s="7"/>
    </row>
    <row r="60" spans="1:16">
      <c r="A60" s="5"/>
      <c r="B60" s="4" t="s">
        <v>650</v>
      </c>
      <c r="C60" s="4" t="s">
        <v>651</v>
      </c>
      <c r="D60" s="4" t="s">
        <v>651</v>
      </c>
      <c r="E60" s="6"/>
      <c r="F60" s="5"/>
      <c r="P60" s="7"/>
    </row>
    <row r="61" spans="1:16">
      <c r="A61" s="5"/>
      <c r="B61" s="4" t="s">
        <v>652</v>
      </c>
      <c r="C61" s="4" t="s">
        <v>651</v>
      </c>
      <c r="D61" s="4" t="s">
        <v>651</v>
      </c>
      <c r="E61" s="6"/>
      <c r="F61" s="5"/>
      <c r="P61" s="7"/>
    </row>
    <row r="62" spans="1:16">
      <c r="A62" s="5"/>
      <c r="B62" s="4" t="s">
        <v>653</v>
      </c>
      <c r="C62" s="4" t="s">
        <v>651</v>
      </c>
      <c r="D62" s="4" t="s">
        <v>651</v>
      </c>
      <c r="E62" s="6"/>
      <c r="F62" s="5"/>
      <c r="P62" s="7"/>
    </row>
    <row r="63" spans="1:16">
      <c r="A63" s="5"/>
      <c r="B63" s="4" t="s">
        <v>654</v>
      </c>
      <c r="C63" s="4" t="s">
        <v>651</v>
      </c>
      <c r="D63" s="4" t="s">
        <v>651</v>
      </c>
      <c r="E63" s="6"/>
      <c r="F63" s="5"/>
      <c r="P63" s="7"/>
    </row>
    <row r="64" spans="1:16">
      <c r="A64" s="5"/>
      <c r="B64" s="4" t="s">
        <v>655</v>
      </c>
      <c r="C64" s="4" t="s">
        <v>651</v>
      </c>
      <c r="D64" s="4" t="s">
        <v>651</v>
      </c>
      <c r="E64" s="6"/>
      <c r="F64" s="5"/>
      <c r="P64" s="7"/>
    </row>
    <row r="65" spans="1:16">
      <c r="A65" s="5"/>
      <c r="B65" s="4" t="s">
        <v>656</v>
      </c>
      <c r="C65" s="4" t="s">
        <v>651</v>
      </c>
      <c r="D65" s="4" t="s">
        <v>651</v>
      </c>
      <c r="E65" s="6"/>
      <c r="F65" s="5"/>
      <c r="P65" s="7"/>
    </row>
    <row r="66" spans="1:16">
      <c r="A66" s="5"/>
      <c r="B66" s="4" t="s">
        <v>657</v>
      </c>
      <c r="C66" s="4" t="s">
        <v>651</v>
      </c>
      <c r="D66" s="4" t="s">
        <v>651</v>
      </c>
      <c r="E66" s="6"/>
      <c r="F66" s="5"/>
      <c r="P66" s="7"/>
    </row>
    <row r="67" spans="1:16">
      <c r="A67" s="5"/>
      <c r="B67" s="4" t="s">
        <v>658</v>
      </c>
      <c r="C67" s="4" t="s">
        <v>659</v>
      </c>
      <c r="D67" s="4" t="s">
        <v>659</v>
      </c>
      <c r="E67" s="6"/>
      <c r="F67" s="5"/>
      <c r="P67" s="7"/>
    </row>
    <row r="68" spans="1:16">
      <c r="A68" s="5"/>
      <c r="B68" s="4" t="s">
        <v>660</v>
      </c>
      <c r="C68" s="4" t="s">
        <v>628</v>
      </c>
      <c r="D68" s="4" t="s">
        <v>628</v>
      </c>
      <c r="E68" s="6"/>
      <c r="F68" s="5"/>
      <c r="P68" s="7"/>
    </row>
    <row r="69" spans="1:16">
      <c r="A69" s="5"/>
      <c r="B69" s="4" t="s">
        <v>661</v>
      </c>
      <c r="C69" s="4" t="s">
        <v>662</v>
      </c>
      <c r="D69" s="4" t="s">
        <v>662</v>
      </c>
      <c r="E69" s="6"/>
      <c r="F69" s="5"/>
      <c r="P69" s="7"/>
    </row>
    <row r="70" spans="1:16">
      <c r="A70" s="5"/>
      <c r="B70" s="4" t="s">
        <v>663</v>
      </c>
      <c r="C70" s="4" t="s">
        <v>664</v>
      </c>
      <c r="D70" s="4" t="s">
        <v>664</v>
      </c>
      <c r="E70" s="6"/>
      <c r="F70" s="5"/>
      <c r="P70" s="7"/>
    </row>
    <row r="71" spans="1:16">
      <c r="A71" s="5"/>
      <c r="B71" s="4" t="s">
        <v>665</v>
      </c>
      <c r="C71" s="4" t="s">
        <v>664</v>
      </c>
      <c r="D71" s="4" t="s">
        <v>664</v>
      </c>
      <c r="E71" s="6"/>
      <c r="F71" s="5"/>
      <c r="P71" s="7"/>
    </row>
    <row r="72" spans="1:16">
      <c r="A72" s="5"/>
      <c r="B72" s="4" t="s">
        <v>666</v>
      </c>
      <c r="C72" s="4" t="s">
        <v>667</v>
      </c>
      <c r="D72" s="4" t="s">
        <v>667</v>
      </c>
      <c r="E72" s="6"/>
      <c r="F72" s="5"/>
      <c r="P72" s="7"/>
    </row>
    <row r="73" spans="1:16">
      <c r="A73" s="5"/>
      <c r="B73" s="4" t="s">
        <v>668</v>
      </c>
      <c r="C73" s="4" t="s">
        <v>611</v>
      </c>
      <c r="D73" s="4" t="s">
        <v>611</v>
      </c>
      <c r="E73" s="6"/>
      <c r="F73" s="5"/>
      <c r="P73" s="7"/>
    </row>
    <row r="74" spans="1:16">
      <c r="A74" s="5"/>
      <c r="B74" s="4" t="s">
        <v>669</v>
      </c>
      <c r="C74" s="4" t="s">
        <v>597</v>
      </c>
      <c r="D74" s="4" t="s">
        <v>597</v>
      </c>
      <c r="E74" s="6"/>
      <c r="F74" s="5"/>
      <c r="P74" s="7"/>
    </row>
    <row r="75" spans="1:16">
      <c r="A75" s="5"/>
      <c r="B75" s="4" t="s">
        <v>670</v>
      </c>
      <c r="C75" s="4" t="s">
        <v>588</v>
      </c>
      <c r="D75" s="4" t="s">
        <v>588</v>
      </c>
      <c r="E75" s="6"/>
      <c r="F75" s="5"/>
      <c r="P75" s="7"/>
    </row>
    <row r="76" spans="1:16">
      <c r="A76" s="5"/>
      <c r="B76" s="4" t="s">
        <v>671</v>
      </c>
      <c r="C76" s="4" t="s">
        <v>557</v>
      </c>
      <c r="D76" s="4" t="s">
        <v>557</v>
      </c>
      <c r="E76" s="6"/>
      <c r="F76" s="5"/>
      <c r="P76" s="7"/>
    </row>
    <row r="77" spans="1:16">
      <c r="A77" s="5"/>
      <c r="B77" s="4" t="s">
        <v>672</v>
      </c>
      <c r="C77" s="4" t="s">
        <v>559</v>
      </c>
      <c r="D77" s="4" t="s">
        <v>559</v>
      </c>
      <c r="E77" s="6"/>
      <c r="F77" s="5"/>
      <c r="P77" s="7"/>
    </row>
    <row r="78" spans="1:16">
      <c r="A78" s="5"/>
      <c r="B78" s="4" t="s">
        <v>673</v>
      </c>
      <c r="C78" s="4" t="s">
        <v>565</v>
      </c>
      <c r="D78" s="4" t="s">
        <v>565</v>
      </c>
      <c r="E78" s="6"/>
      <c r="F78" s="5"/>
      <c r="P78" s="7"/>
    </row>
    <row r="79" spans="1:16">
      <c r="A79" s="5"/>
      <c r="B79" s="4" t="s">
        <v>674</v>
      </c>
      <c r="C79" s="4" t="s">
        <v>675</v>
      </c>
      <c r="D79" s="4" t="s">
        <v>675</v>
      </c>
      <c r="E79" s="6"/>
      <c r="F79" s="5"/>
      <c r="P79" s="7"/>
    </row>
    <row r="80" spans="1:16">
      <c r="A80" s="5"/>
      <c r="B80" s="4" t="s">
        <v>676</v>
      </c>
      <c r="C80" s="4" t="s">
        <v>677</v>
      </c>
      <c r="D80" s="4" t="s">
        <v>677</v>
      </c>
      <c r="E80" s="6"/>
      <c r="F80" s="5"/>
      <c r="P80" s="7"/>
    </row>
    <row r="81" spans="1:16">
      <c r="A81" s="5"/>
      <c r="B81" s="4" t="s">
        <v>678</v>
      </c>
      <c r="C81" s="4" t="s">
        <v>679</v>
      </c>
      <c r="D81" s="4" t="s">
        <v>679</v>
      </c>
      <c r="E81" s="6"/>
      <c r="F81" s="5"/>
      <c r="P81" s="7"/>
    </row>
    <row r="82" spans="1:16">
      <c r="A82" s="5"/>
      <c r="B82" s="4" t="s">
        <v>680</v>
      </c>
      <c r="C82" s="4" t="s">
        <v>557</v>
      </c>
      <c r="D82" s="4" t="s">
        <v>557</v>
      </c>
      <c r="E82" s="6"/>
      <c r="F82" s="5"/>
      <c r="P82" s="7"/>
    </row>
    <row r="83" spans="1:16">
      <c r="A83" s="5"/>
      <c r="B83" s="4" t="s">
        <v>681</v>
      </c>
      <c r="C83" s="4" t="s">
        <v>559</v>
      </c>
      <c r="D83" s="4" t="s">
        <v>559</v>
      </c>
      <c r="E83" s="6"/>
      <c r="F83" s="5"/>
      <c r="P83" s="7"/>
    </row>
    <row r="84" spans="1:16">
      <c r="A84" s="5"/>
      <c r="B84" s="4" t="s">
        <v>682</v>
      </c>
      <c r="C84" s="4" t="s">
        <v>565</v>
      </c>
      <c r="D84" s="4" t="s">
        <v>565</v>
      </c>
      <c r="E84" s="6"/>
      <c r="F84" s="5"/>
      <c r="P84" s="7"/>
    </row>
    <row r="85" spans="1:16">
      <c r="A85" s="5"/>
      <c r="B85" s="4" t="s">
        <v>683</v>
      </c>
      <c r="C85" s="4" t="s">
        <v>677</v>
      </c>
      <c r="D85" s="4" t="s">
        <v>677</v>
      </c>
      <c r="E85" s="6"/>
      <c r="F85" s="5"/>
      <c r="P85" s="7"/>
    </row>
    <row r="86" spans="1:16">
      <c r="A86" s="5"/>
      <c r="B86" s="4" t="s">
        <v>684</v>
      </c>
      <c r="C86" s="4" t="s">
        <v>685</v>
      </c>
      <c r="D86" s="4" t="s">
        <v>685</v>
      </c>
      <c r="E86" s="6"/>
      <c r="F86" s="5"/>
      <c r="P86" s="7"/>
    </row>
    <row r="87" spans="1:16">
      <c r="A87" s="5"/>
      <c r="B87" s="4" t="s">
        <v>686</v>
      </c>
      <c r="C87" s="4" t="s">
        <v>687</v>
      </c>
      <c r="D87" s="4" t="s">
        <v>687</v>
      </c>
      <c r="E87" s="6"/>
      <c r="F87" s="5"/>
      <c r="P87" s="7"/>
    </row>
    <row r="88" spans="1:16">
      <c r="A88" s="5"/>
      <c r="B88" s="4" t="s">
        <v>688</v>
      </c>
      <c r="C88" s="4" t="s">
        <v>689</v>
      </c>
      <c r="D88" s="4" t="s">
        <v>689</v>
      </c>
      <c r="E88" s="6"/>
      <c r="F88" s="5"/>
      <c r="P88" s="7"/>
    </row>
    <row r="89" spans="1:16">
      <c r="A89" s="5"/>
      <c r="B89" s="4" t="s">
        <v>690</v>
      </c>
      <c r="C89" s="4" t="s">
        <v>691</v>
      </c>
      <c r="D89" s="4" t="s">
        <v>691</v>
      </c>
      <c r="E89" s="6"/>
      <c r="F89" s="5"/>
      <c r="P89" s="7"/>
    </row>
    <row r="90" spans="1:16">
      <c r="A90" s="5"/>
      <c r="B90" s="4" t="s">
        <v>692</v>
      </c>
      <c r="C90" s="4" t="s">
        <v>693</v>
      </c>
      <c r="D90" s="4" t="s">
        <v>693</v>
      </c>
      <c r="E90" s="6"/>
      <c r="F90" s="5"/>
      <c r="P90" s="7"/>
    </row>
    <row r="91" spans="1:16">
      <c r="A91" s="5"/>
      <c r="B91" s="4" t="s">
        <v>694</v>
      </c>
      <c r="C91" s="4" t="s">
        <v>695</v>
      </c>
      <c r="D91" s="4" t="s">
        <v>695</v>
      </c>
      <c r="E91" s="6"/>
      <c r="F91" s="5"/>
      <c r="P91" s="7"/>
    </row>
    <row r="92" spans="1:16">
      <c r="A92" s="5"/>
      <c r="B92" s="4" t="s">
        <v>696</v>
      </c>
      <c r="C92" s="4" t="s">
        <v>648</v>
      </c>
      <c r="D92" s="4" t="s">
        <v>648</v>
      </c>
      <c r="E92" s="6"/>
      <c r="F92" s="5"/>
      <c r="P92" s="7"/>
    </row>
    <row r="93" spans="1:16">
      <c r="A93" s="5"/>
      <c r="B93" s="4" t="s">
        <v>697</v>
      </c>
      <c r="C93" s="4" t="s">
        <v>698</v>
      </c>
      <c r="D93" s="4" t="s">
        <v>698</v>
      </c>
      <c r="E93" s="6"/>
      <c r="F93" s="5"/>
      <c r="P93" s="7"/>
    </row>
    <row r="94" spans="1:16">
      <c r="A94" s="5"/>
      <c r="B94" s="4" t="s">
        <v>699</v>
      </c>
      <c r="C94" s="4" t="s">
        <v>700</v>
      </c>
      <c r="D94" s="4" t="s">
        <v>700</v>
      </c>
      <c r="E94" s="6"/>
      <c r="F94" s="5"/>
      <c r="P94" s="7"/>
    </row>
    <row r="95" spans="1:16">
      <c r="A95" s="5"/>
      <c r="B95" s="4" t="s">
        <v>701</v>
      </c>
      <c r="C95" s="4" t="s">
        <v>700</v>
      </c>
      <c r="D95" s="4" t="s">
        <v>700</v>
      </c>
      <c r="E95" s="6"/>
      <c r="F95" s="5"/>
      <c r="P95" s="7"/>
    </row>
    <row r="96" spans="1:16">
      <c r="A96" s="5"/>
      <c r="B96" s="4" t="s">
        <v>702</v>
      </c>
      <c r="C96" s="4" t="s">
        <v>703</v>
      </c>
      <c r="D96" s="4" t="s">
        <v>703</v>
      </c>
      <c r="E96" s="6"/>
      <c r="F96" s="5"/>
      <c r="P96" s="7"/>
    </row>
    <row r="97" spans="1:16">
      <c r="A97" s="5"/>
      <c r="B97" s="4" t="s">
        <v>704</v>
      </c>
      <c r="C97" s="4" t="s">
        <v>705</v>
      </c>
      <c r="D97" s="4" t="s">
        <v>705</v>
      </c>
      <c r="E97" s="6"/>
      <c r="F97" s="5"/>
      <c r="P97" s="7"/>
    </row>
    <row r="98" spans="1:16">
      <c r="A98" s="5"/>
      <c r="B98" s="4" t="s">
        <v>706</v>
      </c>
      <c r="C98" s="4" t="s">
        <v>705</v>
      </c>
      <c r="D98" s="4" t="s">
        <v>705</v>
      </c>
      <c r="E98" s="6"/>
      <c r="F98" s="5"/>
      <c r="P98" s="7"/>
    </row>
    <row r="99" spans="1:16">
      <c r="A99" s="5"/>
      <c r="B99" s="4" t="s">
        <v>707</v>
      </c>
      <c r="C99" s="4" t="s">
        <v>708</v>
      </c>
      <c r="D99" s="4" t="s">
        <v>709</v>
      </c>
      <c r="E99" s="6"/>
      <c r="F99" s="5"/>
      <c r="P99" s="7"/>
    </row>
    <row r="100" spans="1:16">
      <c r="A100" s="5"/>
      <c r="B100" s="4" t="s">
        <v>710</v>
      </c>
      <c r="C100" s="4" t="s">
        <v>561</v>
      </c>
      <c r="D100" s="4" t="s">
        <v>561</v>
      </c>
      <c r="E100" s="6"/>
      <c r="F100" s="5"/>
      <c r="P100" s="7"/>
    </row>
    <row r="101" spans="1:16">
      <c r="A101" s="5"/>
      <c r="B101" s="4" t="s">
        <v>711</v>
      </c>
      <c r="C101" s="4" t="s">
        <v>712</v>
      </c>
      <c r="D101" s="4" t="s">
        <v>712</v>
      </c>
      <c r="E101" s="6"/>
      <c r="F101" s="5"/>
      <c r="P101" s="7"/>
    </row>
    <row r="102" spans="1:16">
      <c r="A102" s="5"/>
      <c r="B102" s="4" t="s">
        <v>713</v>
      </c>
      <c r="C102" s="4" t="s">
        <v>693</v>
      </c>
      <c r="D102" s="4" t="s">
        <v>693</v>
      </c>
      <c r="E102" s="6"/>
      <c r="F102" s="5"/>
      <c r="P102" s="7"/>
    </row>
    <row r="103" spans="1:16">
      <c r="A103" s="5"/>
      <c r="B103" s="4" t="s">
        <v>714</v>
      </c>
      <c r="C103" s="4" t="s">
        <v>557</v>
      </c>
      <c r="D103" s="4" t="s">
        <v>557</v>
      </c>
      <c r="E103" s="6"/>
      <c r="F103" s="5"/>
      <c r="P103" s="7"/>
    </row>
    <row r="104" spans="1:16">
      <c r="A104" s="5"/>
      <c r="B104" s="4" t="s">
        <v>715</v>
      </c>
      <c r="C104" s="4" t="s">
        <v>559</v>
      </c>
      <c r="D104" s="4" t="s">
        <v>559</v>
      </c>
      <c r="E104" s="6"/>
      <c r="F104" s="5"/>
      <c r="P104" s="7"/>
    </row>
    <row r="105" spans="1:16">
      <c r="A105" s="5"/>
      <c r="B105" s="4" t="s">
        <v>716</v>
      </c>
      <c r="C105" s="4" t="s">
        <v>717</v>
      </c>
      <c r="D105" s="4" t="s">
        <v>717</v>
      </c>
      <c r="E105" s="6"/>
      <c r="F105" s="5"/>
      <c r="P105" s="7"/>
    </row>
    <row r="106" spans="1:16">
      <c r="A106" s="5"/>
      <c r="B106" s="4" t="s">
        <v>718</v>
      </c>
      <c r="C106" s="4" t="s">
        <v>651</v>
      </c>
      <c r="D106" s="4" t="s">
        <v>651</v>
      </c>
      <c r="E106" s="6"/>
      <c r="F106" s="5"/>
      <c r="P106" s="7"/>
    </row>
    <row r="107" spans="1:16">
      <c r="A107" s="5"/>
      <c r="B107" s="4" t="s">
        <v>719</v>
      </c>
      <c r="C107" s="4" t="s">
        <v>720</v>
      </c>
      <c r="D107" s="4" t="s">
        <v>720</v>
      </c>
      <c r="E107" s="6"/>
      <c r="F107" s="5"/>
      <c r="P107" s="7"/>
    </row>
    <row r="108" spans="1:16">
      <c r="A108" s="5"/>
      <c r="B108" s="4" t="s">
        <v>721</v>
      </c>
      <c r="C108" s="4" t="s">
        <v>722</v>
      </c>
      <c r="D108" s="4" t="s">
        <v>722</v>
      </c>
      <c r="E108" s="6"/>
      <c r="F108" s="5"/>
      <c r="P108" s="7"/>
    </row>
    <row r="109" spans="1:16">
      <c r="A109" s="8" t="s">
        <v>723</v>
      </c>
      <c r="B109" s="9" t="s">
        <v>724</v>
      </c>
      <c r="C109" s="9" t="s">
        <v>563</v>
      </c>
      <c r="D109" s="9" t="s">
        <v>563</v>
      </c>
      <c r="E109" s="6"/>
      <c r="F109" s="52"/>
      <c r="P109" s="7"/>
    </row>
    <row r="110" spans="1:16">
      <c r="A110" s="5"/>
      <c r="B110" s="9" t="s">
        <v>725</v>
      </c>
      <c r="C110" s="9" t="s">
        <v>565</v>
      </c>
      <c r="D110" s="9" t="s">
        <v>565</v>
      </c>
      <c r="E110" s="6"/>
      <c r="F110" s="5"/>
      <c r="P110" s="7"/>
    </row>
    <row r="111" spans="1:16">
      <c r="A111" s="5"/>
      <c r="B111" s="9" t="s">
        <v>726</v>
      </c>
      <c r="C111" s="9" t="s">
        <v>662</v>
      </c>
      <c r="D111" s="9" t="s">
        <v>662</v>
      </c>
      <c r="E111" s="6"/>
      <c r="F111" s="5"/>
      <c r="P111" s="7"/>
    </row>
    <row r="112" spans="1:16">
      <c r="A112" s="8" t="s">
        <v>723</v>
      </c>
      <c r="B112" s="9" t="s">
        <v>727</v>
      </c>
      <c r="C112" s="9" t="s">
        <v>728</v>
      </c>
      <c r="D112" s="9" t="s">
        <v>728</v>
      </c>
      <c r="E112" s="6"/>
      <c r="F112" s="52"/>
      <c r="P112" s="7"/>
    </row>
    <row r="113" spans="1:16">
      <c r="A113" s="10"/>
      <c r="B113" s="9" t="s">
        <v>729</v>
      </c>
      <c r="C113" s="9" t="s">
        <v>730</v>
      </c>
      <c r="D113" s="9" t="s">
        <v>730</v>
      </c>
      <c r="E113" s="6"/>
      <c r="F113" s="52"/>
      <c r="P113" s="7"/>
    </row>
    <row r="114" spans="1:16">
      <c r="A114" s="10"/>
      <c r="B114" s="9" t="s">
        <v>731</v>
      </c>
      <c r="C114" s="9" t="s">
        <v>732</v>
      </c>
      <c r="D114" s="9" t="s">
        <v>732</v>
      </c>
      <c r="E114" s="6"/>
      <c r="F114" s="52"/>
      <c r="P114" s="7"/>
    </row>
    <row r="115" spans="1:16">
      <c r="A115" s="10"/>
      <c r="B115" s="9" t="s">
        <v>733</v>
      </c>
      <c r="C115" s="9" t="s">
        <v>734</v>
      </c>
      <c r="D115" s="9" t="s">
        <v>734</v>
      </c>
      <c r="E115" s="6"/>
      <c r="F115" s="52"/>
      <c r="P115" s="7"/>
    </row>
    <row r="116" spans="1:16">
      <c r="A116" s="10"/>
      <c r="B116" s="9" t="s">
        <v>735</v>
      </c>
      <c r="C116" s="9" t="s">
        <v>736</v>
      </c>
      <c r="D116" s="9" t="s">
        <v>736</v>
      </c>
      <c r="E116" s="6"/>
      <c r="F116" s="52"/>
      <c r="P116" s="7"/>
    </row>
    <row r="117" spans="1:16">
      <c r="A117" s="10"/>
      <c r="B117" s="9" t="s">
        <v>737</v>
      </c>
      <c r="C117" s="9" t="s">
        <v>738</v>
      </c>
      <c r="D117" s="9" t="s">
        <v>738</v>
      </c>
      <c r="E117" s="6"/>
      <c r="F117" s="52"/>
      <c r="P117" s="7"/>
    </row>
    <row r="118" spans="1:16">
      <c r="A118" s="10"/>
      <c r="B118" s="9" t="s">
        <v>739</v>
      </c>
      <c r="C118" s="9" t="s">
        <v>740</v>
      </c>
      <c r="D118" s="9" t="s">
        <v>740</v>
      </c>
      <c r="E118" s="6"/>
      <c r="F118" s="52"/>
      <c r="P118" s="7"/>
    </row>
    <row r="119" spans="1:16">
      <c r="A119" s="10"/>
      <c r="B119" s="9" t="s">
        <v>741</v>
      </c>
      <c r="C119" s="9" t="s">
        <v>740</v>
      </c>
      <c r="D119" s="9" t="s">
        <v>740</v>
      </c>
      <c r="E119" s="6"/>
      <c r="F119" s="52"/>
      <c r="P119" s="7"/>
    </row>
    <row r="120" spans="1:16">
      <c r="A120" s="10"/>
      <c r="B120" s="9" t="s">
        <v>742</v>
      </c>
      <c r="C120" s="9" t="s">
        <v>567</v>
      </c>
      <c r="D120" s="9" t="s">
        <v>567</v>
      </c>
      <c r="E120" s="6"/>
      <c r="F120" s="52"/>
      <c r="P120" s="7"/>
    </row>
    <row r="121" spans="1:16">
      <c r="A121" s="10"/>
      <c r="B121" s="9" t="s">
        <v>743</v>
      </c>
      <c r="C121" s="9" t="s">
        <v>567</v>
      </c>
      <c r="D121" s="9" t="s">
        <v>567</v>
      </c>
      <c r="E121" s="6"/>
      <c r="F121" s="52"/>
      <c r="P121" s="7"/>
    </row>
    <row r="122" spans="1:16">
      <c r="A122" s="10"/>
      <c r="B122" s="9" t="s">
        <v>744</v>
      </c>
      <c r="C122" s="9" t="s">
        <v>745</v>
      </c>
      <c r="D122" s="9" t="s">
        <v>745</v>
      </c>
      <c r="E122" s="6"/>
      <c r="F122" s="52"/>
      <c r="P122" s="7"/>
    </row>
    <row r="123" spans="1:16">
      <c r="A123" s="10"/>
      <c r="B123" s="9" t="s">
        <v>746</v>
      </c>
      <c r="C123" s="9" t="s">
        <v>747</v>
      </c>
      <c r="D123" s="9" t="s">
        <v>747</v>
      </c>
      <c r="E123" s="6"/>
      <c r="F123" s="52"/>
      <c r="P123" s="7"/>
    </row>
    <row r="124" spans="1:16">
      <c r="A124" s="10"/>
      <c r="B124" s="9" t="s">
        <v>748</v>
      </c>
      <c r="C124" s="9" t="s">
        <v>749</v>
      </c>
      <c r="D124" s="9" t="s">
        <v>749</v>
      </c>
      <c r="E124" s="6"/>
      <c r="F124" s="52"/>
      <c r="P124" s="7"/>
    </row>
    <row r="125" spans="1:16">
      <c r="A125" s="10"/>
      <c r="B125" s="9" t="s">
        <v>750</v>
      </c>
      <c r="C125" s="9" t="s">
        <v>751</v>
      </c>
      <c r="D125" s="9" t="s">
        <v>751</v>
      </c>
      <c r="E125" s="6"/>
      <c r="F125" s="52"/>
      <c r="P125" s="7"/>
    </row>
    <row r="126" spans="1:16">
      <c r="A126" s="10"/>
      <c r="B126" s="9" t="s">
        <v>752</v>
      </c>
      <c r="C126" s="9" t="s">
        <v>751</v>
      </c>
      <c r="D126" s="9" t="s">
        <v>751</v>
      </c>
      <c r="E126" s="6"/>
      <c r="F126" s="52"/>
      <c r="P126" s="7"/>
    </row>
    <row r="127" spans="1:16">
      <c r="A127" s="10"/>
      <c r="B127" s="9" t="s">
        <v>753</v>
      </c>
      <c r="C127" s="9" t="s">
        <v>754</v>
      </c>
      <c r="D127" s="9" t="s">
        <v>754</v>
      </c>
      <c r="E127" s="6"/>
      <c r="F127" s="52"/>
      <c r="P127" s="7"/>
    </row>
    <row r="128" spans="1:16">
      <c r="A128" s="10"/>
      <c r="B128" s="9" t="s">
        <v>755</v>
      </c>
      <c r="C128" s="9" t="s">
        <v>740</v>
      </c>
      <c r="D128" s="9" t="s">
        <v>740</v>
      </c>
      <c r="E128" s="6"/>
      <c r="F128" s="52"/>
      <c r="P128" s="7"/>
    </row>
    <row r="129" spans="1:16">
      <c r="A129" s="10"/>
      <c r="B129" s="9" t="s">
        <v>756</v>
      </c>
      <c r="C129" s="9" t="s">
        <v>740</v>
      </c>
      <c r="D129" s="9" t="s">
        <v>740</v>
      </c>
      <c r="E129" s="6"/>
      <c r="F129" s="52"/>
      <c r="P129" s="7"/>
    </row>
    <row r="130" spans="1:16">
      <c r="A130" s="10"/>
      <c r="B130" s="9" t="s">
        <v>757</v>
      </c>
      <c r="C130" s="9" t="s">
        <v>740</v>
      </c>
      <c r="D130" s="9" t="s">
        <v>740</v>
      </c>
      <c r="E130" s="6"/>
      <c r="F130" s="52"/>
      <c r="P130" s="7"/>
    </row>
    <row r="131" spans="1:16">
      <c r="A131" s="10"/>
      <c r="B131" s="9" t="s">
        <v>758</v>
      </c>
      <c r="C131" s="9" t="s">
        <v>740</v>
      </c>
      <c r="D131" s="9" t="s">
        <v>740</v>
      </c>
      <c r="E131" s="6"/>
      <c r="F131" s="52"/>
      <c r="P131" s="7"/>
    </row>
    <row r="132" spans="1:16">
      <c r="A132" s="10"/>
      <c r="B132" s="9" t="s">
        <v>759</v>
      </c>
      <c r="C132" s="9" t="s">
        <v>745</v>
      </c>
      <c r="D132" s="9" t="s">
        <v>745</v>
      </c>
      <c r="E132" s="6"/>
      <c r="F132" s="52"/>
      <c r="P132" s="7"/>
    </row>
    <row r="133" spans="1:16">
      <c r="A133" s="10"/>
      <c r="B133" s="9" t="s">
        <v>760</v>
      </c>
      <c r="C133" s="9" t="s">
        <v>607</v>
      </c>
      <c r="D133" s="9" t="s">
        <v>607</v>
      </c>
      <c r="E133" s="6"/>
      <c r="F133" s="52"/>
      <c r="P133" s="7"/>
    </row>
    <row r="134" spans="1:16">
      <c r="A134" s="10"/>
      <c r="B134" s="9" t="s">
        <v>761</v>
      </c>
      <c r="C134" s="9" t="s">
        <v>607</v>
      </c>
      <c r="D134" s="9" t="s">
        <v>607</v>
      </c>
      <c r="E134" s="6"/>
      <c r="F134" s="52"/>
      <c r="P134" s="7"/>
    </row>
    <row r="135" spans="1:16">
      <c r="A135" s="10"/>
      <c r="B135" s="9" t="s">
        <v>762</v>
      </c>
      <c r="C135" s="9" t="s">
        <v>751</v>
      </c>
      <c r="D135" s="9" t="s">
        <v>751</v>
      </c>
      <c r="E135" s="6"/>
      <c r="F135" s="52"/>
      <c r="P135" s="7"/>
    </row>
    <row r="136" spans="1:16">
      <c r="A136" s="10"/>
      <c r="B136" s="9" t="s">
        <v>763</v>
      </c>
      <c r="C136" s="9" t="s">
        <v>751</v>
      </c>
      <c r="D136" s="9" t="s">
        <v>751</v>
      </c>
      <c r="E136" s="6"/>
      <c r="F136" s="52"/>
      <c r="P136" s="7"/>
    </row>
    <row r="137" spans="1:16">
      <c r="A137" s="10"/>
      <c r="B137" s="9" t="s">
        <v>764</v>
      </c>
      <c r="C137" s="9" t="s">
        <v>765</v>
      </c>
      <c r="D137" s="9" t="s">
        <v>765</v>
      </c>
      <c r="E137" s="6"/>
      <c r="F137" s="52"/>
      <c r="P137" s="7"/>
    </row>
    <row r="138" spans="1:16">
      <c r="A138" s="10"/>
      <c r="B138" s="9" t="s">
        <v>766</v>
      </c>
      <c r="C138" s="9" t="s">
        <v>765</v>
      </c>
      <c r="D138" s="9" t="s">
        <v>767</v>
      </c>
      <c r="E138" s="6"/>
      <c r="F138" s="52"/>
      <c r="P138" s="7"/>
    </row>
    <row r="139" spans="1:16">
      <c r="A139" s="10"/>
      <c r="B139" s="9" t="s">
        <v>768</v>
      </c>
      <c r="C139" s="9" t="s">
        <v>769</v>
      </c>
      <c r="D139" s="9" t="s">
        <v>767</v>
      </c>
      <c r="E139" s="6"/>
      <c r="F139" s="52"/>
      <c r="P139" s="7"/>
    </row>
    <row r="140" spans="1:16">
      <c r="A140" s="10"/>
      <c r="B140" s="9" t="s">
        <v>770</v>
      </c>
      <c r="C140" s="9" t="s">
        <v>769</v>
      </c>
      <c r="D140" s="9" t="s">
        <v>771</v>
      </c>
      <c r="E140" s="6"/>
      <c r="F140" s="52"/>
      <c r="K140" s="7"/>
      <c r="P140" s="7"/>
    </row>
    <row r="141" spans="1:16">
      <c r="A141" s="10"/>
      <c r="B141" s="9" t="s">
        <v>772</v>
      </c>
      <c r="C141" s="9" t="s">
        <v>773</v>
      </c>
      <c r="D141" s="9" t="s">
        <v>771</v>
      </c>
      <c r="E141" s="6"/>
      <c r="F141" s="52"/>
      <c r="K141" s="7"/>
      <c r="P141" s="7"/>
    </row>
    <row r="142" spans="1:16">
      <c r="A142" s="10"/>
      <c r="B142" s="9" t="s">
        <v>774</v>
      </c>
      <c r="C142" s="9" t="s">
        <v>775</v>
      </c>
      <c r="D142" s="9" t="s">
        <v>776</v>
      </c>
      <c r="E142" s="6"/>
      <c r="F142" s="52"/>
      <c r="P142" s="7"/>
    </row>
    <row r="143" spans="1:16">
      <c r="A143" s="10"/>
      <c r="B143" s="9" t="s">
        <v>777</v>
      </c>
      <c r="C143" s="9" t="s">
        <v>778</v>
      </c>
      <c r="D143" s="9" t="s">
        <v>778</v>
      </c>
      <c r="E143" s="6"/>
      <c r="F143" s="52"/>
      <c r="P143" s="7"/>
    </row>
    <row r="144" spans="1:16">
      <c r="A144" s="10"/>
      <c r="B144" s="9" t="s">
        <v>779</v>
      </c>
      <c r="C144" s="9" t="s">
        <v>780</v>
      </c>
      <c r="D144" s="9" t="s">
        <v>780</v>
      </c>
      <c r="E144" s="6"/>
      <c r="F144" s="52"/>
      <c r="P144" s="7"/>
    </row>
    <row r="145" spans="1:16">
      <c r="A145" s="10"/>
      <c r="B145" s="9" t="s">
        <v>781</v>
      </c>
      <c r="C145" s="9" t="s">
        <v>619</v>
      </c>
      <c r="D145" s="9" t="s">
        <v>619</v>
      </c>
      <c r="E145" s="6"/>
      <c r="F145" s="52"/>
      <c r="P145" s="7"/>
    </row>
    <row r="146" spans="1:16">
      <c r="A146" s="10"/>
      <c r="B146" s="9" t="s">
        <v>782</v>
      </c>
      <c r="C146" s="9" t="s">
        <v>783</v>
      </c>
      <c r="D146" s="9" t="s">
        <v>783</v>
      </c>
      <c r="E146" s="6"/>
      <c r="F146" s="52"/>
      <c r="P146" s="7"/>
    </row>
    <row r="147" spans="1:16">
      <c r="A147" s="10"/>
      <c r="B147" s="9" t="s">
        <v>784</v>
      </c>
      <c r="C147" s="9" t="s">
        <v>785</v>
      </c>
      <c r="D147" s="9" t="s">
        <v>785</v>
      </c>
      <c r="E147" s="6"/>
      <c r="F147" s="52"/>
      <c r="P147" s="7"/>
    </row>
    <row r="148" spans="1:16">
      <c r="A148" s="10"/>
      <c r="B148" s="9" t="s">
        <v>786</v>
      </c>
      <c r="C148" s="9" t="s">
        <v>559</v>
      </c>
      <c r="D148" s="9" t="s">
        <v>559</v>
      </c>
      <c r="E148" s="6"/>
      <c r="F148" s="52"/>
      <c r="P148" s="7"/>
    </row>
    <row r="149" spans="1:16">
      <c r="A149" s="10"/>
      <c r="B149" s="9" t="s">
        <v>787</v>
      </c>
      <c r="C149" s="9" t="s">
        <v>588</v>
      </c>
      <c r="D149" s="9" t="s">
        <v>588</v>
      </c>
      <c r="E149" s="6"/>
      <c r="F149" s="52"/>
      <c r="P149" s="7"/>
    </row>
    <row r="150" spans="1:16">
      <c r="A150" s="10"/>
      <c r="B150" s="9" t="s">
        <v>788</v>
      </c>
      <c r="C150" s="9" t="s">
        <v>662</v>
      </c>
      <c r="D150" s="9" t="s">
        <v>662</v>
      </c>
      <c r="E150" s="6"/>
      <c r="F150" s="52"/>
      <c r="P150" s="7"/>
    </row>
    <row r="151" spans="1:16">
      <c r="A151" s="10"/>
      <c r="B151" s="9" t="s">
        <v>789</v>
      </c>
      <c r="C151" s="9" t="s">
        <v>790</v>
      </c>
      <c r="D151" s="9" t="s">
        <v>790</v>
      </c>
      <c r="E151" s="6"/>
      <c r="F151" s="52"/>
      <c r="P151" s="7"/>
    </row>
    <row r="152" spans="1:16">
      <c r="A152" s="10"/>
      <c r="B152" s="9" t="s">
        <v>791</v>
      </c>
      <c r="C152" s="9" t="s">
        <v>792</v>
      </c>
      <c r="D152" s="9" t="s">
        <v>792</v>
      </c>
      <c r="E152" s="6"/>
      <c r="F152" s="52"/>
      <c r="P152" s="7"/>
    </row>
    <row r="153" spans="1:16">
      <c r="A153" s="10"/>
      <c r="B153" s="9" t="s">
        <v>793</v>
      </c>
      <c r="C153" s="9" t="s">
        <v>569</v>
      </c>
      <c r="D153" s="9" t="s">
        <v>569</v>
      </c>
      <c r="E153" s="6"/>
      <c r="F153" s="52"/>
      <c r="P153" s="7"/>
    </row>
    <row r="154" spans="1:16">
      <c r="A154" s="10"/>
      <c r="B154" s="9" t="s">
        <v>794</v>
      </c>
      <c r="C154" s="9" t="s">
        <v>588</v>
      </c>
      <c r="D154" s="9" t="s">
        <v>588</v>
      </c>
      <c r="E154" s="6"/>
      <c r="F154" s="52"/>
      <c r="P154" s="7"/>
    </row>
    <row r="155" spans="1:16">
      <c r="A155" s="10"/>
      <c r="B155" s="9" t="s">
        <v>795</v>
      </c>
      <c r="C155" s="9" t="s">
        <v>796</v>
      </c>
      <c r="D155" s="9" t="s">
        <v>796</v>
      </c>
      <c r="E155" s="6"/>
      <c r="F155" s="52"/>
      <c r="P155" s="7"/>
    </row>
    <row r="156" spans="1:16">
      <c r="A156" s="10"/>
      <c r="B156" s="9" t="s">
        <v>797</v>
      </c>
      <c r="C156" s="9" t="s">
        <v>636</v>
      </c>
      <c r="D156" s="9" t="s">
        <v>636</v>
      </c>
      <c r="E156" s="6"/>
      <c r="F156" s="52"/>
      <c r="P156" s="7"/>
    </row>
    <row r="157" spans="1:16">
      <c r="A157" s="10"/>
      <c r="B157" s="9" t="s">
        <v>798</v>
      </c>
      <c r="C157" s="9" t="s">
        <v>799</v>
      </c>
      <c r="D157" s="9" t="s">
        <v>567</v>
      </c>
      <c r="E157" s="6"/>
      <c r="F157" s="52"/>
      <c r="P157" s="7"/>
    </row>
    <row r="158" spans="1:16">
      <c r="A158" s="10"/>
      <c r="B158" s="9" t="s">
        <v>800</v>
      </c>
      <c r="C158" s="9" t="s">
        <v>799</v>
      </c>
      <c r="D158" s="9" t="s">
        <v>567</v>
      </c>
      <c r="E158" s="6"/>
      <c r="F158" s="52"/>
      <c r="P158" s="7"/>
    </row>
    <row r="159" spans="1:16">
      <c r="A159" s="10"/>
      <c r="B159" s="9" t="s">
        <v>801</v>
      </c>
      <c r="C159" s="9" t="s">
        <v>802</v>
      </c>
      <c r="D159" s="9" t="s">
        <v>803</v>
      </c>
      <c r="E159" s="6"/>
      <c r="F159" s="52"/>
      <c r="P159" s="7"/>
    </row>
    <row r="160" spans="1:16">
      <c r="A160" s="10"/>
      <c r="B160" s="9" t="s">
        <v>804</v>
      </c>
      <c r="C160" s="9" t="s">
        <v>805</v>
      </c>
      <c r="D160" s="9" t="s">
        <v>805</v>
      </c>
      <c r="E160" s="6"/>
      <c r="F160" s="52"/>
      <c r="P160" s="7"/>
    </row>
    <row r="161" spans="1:16">
      <c r="A161" s="10"/>
      <c r="B161" s="9" t="s">
        <v>806</v>
      </c>
      <c r="C161" s="9" t="s">
        <v>805</v>
      </c>
      <c r="D161" s="9" t="s">
        <v>805</v>
      </c>
      <c r="E161" s="6"/>
      <c r="F161" s="52"/>
      <c r="P161" s="7"/>
    </row>
    <row r="162" spans="1:16">
      <c r="A162" s="10"/>
      <c r="B162" s="9" t="s">
        <v>807</v>
      </c>
      <c r="C162" s="9" t="s">
        <v>567</v>
      </c>
      <c r="D162" s="9" t="s">
        <v>567</v>
      </c>
      <c r="E162" s="6"/>
      <c r="F162" s="52"/>
      <c r="P162" s="7"/>
    </row>
    <row r="163" spans="1:16">
      <c r="A163" s="10"/>
      <c r="B163" s="9" t="s">
        <v>808</v>
      </c>
      <c r="C163" s="9" t="s">
        <v>611</v>
      </c>
      <c r="D163" s="9" t="s">
        <v>611</v>
      </c>
      <c r="E163" s="6"/>
      <c r="F163" s="52"/>
      <c r="P163" s="7"/>
    </row>
    <row r="164" spans="1:16">
      <c r="A164" s="10"/>
      <c r="B164" s="9" t="s">
        <v>809</v>
      </c>
      <c r="C164" s="9" t="s">
        <v>597</v>
      </c>
      <c r="D164" s="9" t="s">
        <v>597</v>
      </c>
      <c r="E164" s="6"/>
      <c r="F164" s="52"/>
      <c r="P164" s="7"/>
    </row>
    <row r="165" spans="1:16">
      <c r="A165" s="10"/>
      <c r="B165" s="9" t="s">
        <v>810</v>
      </c>
      <c r="C165" s="9" t="s">
        <v>565</v>
      </c>
      <c r="D165" s="9" t="s">
        <v>565</v>
      </c>
      <c r="E165" s="6"/>
      <c r="F165" s="52"/>
      <c r="P165" s="7"/>
    </row>
    <row r="166" spans="1:16">
      <c r="A166" s="10"/>
      <c r="B166" s="9" t="s">
        <v>811</v>
      </c>
      <c r="C166" s="9" t="s">
        <v>796</v>
      </c>
      <c r="D166" s="9" t="s">
        <v>796</v>
      </c>
      <c r="E166" s="6"/>
      <c r="F166" s="52"/>
      <c r="P166" s="7"/>
    </row>
    <row r="167" spans="1:16">
      <c r="A167" s="10"/>
      <c r="B167" s="9" t="s">
        <v>812</v>
      </c>
      <c r="C167" s="9" t="s">
        <v>563</v>
      </c>
      <c r="D167" s="9" t="s">
        <v>563</v>
      </c>
      <c r="E167" s="6"/>
      <c r="F167" s="52"/>
      <c r="P167" s="7"/>
    </row>
    <row r="168" spans="1:16">
      <c r="A168" s="10"/>
      <c r="B168" s="9" t="s">
        <v>813</v>
      </c>
      <c r="C168" s="9" t="s">
        <v>662</v>
      </c>
      <c r="D168" s="9" t="s">
        <v>662</v>
      </c>
      <c r="E168" s="6"/>
      <c r="F168" s="52"/>
      <c r="P168" s="7"/>
    </row>
    <row r="169" spans="1:16">
      <c r="A169" s="10"/>
      <c r="B169" s="9" t="s">
        <v>814</v>
      </c>
      <c r="C169" s="9" t="s">
        <v>613</v>
      </c>
      <c r="D169" s="9" t="s">
        <v>613</v>
      </c>
      <c r="E169" s="6"/>
      <c r="F169" s="52"/>
      <c r="P169" s="7"/>
    </row>
    <row r="170" spans="1:16">
      <c r="A170" s="10"/>
      <c r="B170" s="9" t="s">
        <v>815</v>
      </c>
      <c r="C170" s="9" t="s">
        <v>615</v>
      </c>
      <c r="D170" s="9" t="s">
        <v>615</v>
      </c>
      <c r="E170" s="6"/>
      <c r="F170" s="52"/>
      <c r="P170" s="7"/>
    </row>
    <row r="171" spans="1:16">
      <c r="A171" s="10"/>
      <c r="B171" s="9" t="s">
        <v>816</v>
      </c>
      <c r="C171" s="9" t="s">
        <v>817</v>
      </c>
      <c r="D171" s="9" t="s">
        <v>817</v>
      </c>
      <c r="E171" s="6"/>
      <c r="F171" s="52"/>
      <c r="P171" s="7"/>
    </row>
    <row r="172" spans="1:16">
      <c r="A172" s="10"/>
      <c r="B172" s="9" t="s">
        <v>818</v>
      </c>
      <c r="C172" s="9" t="s">
        <v>698</v>
      </c>
      <c r="D172" s="9" t="s">
        <v>698</v>
      </c>
      <c r="E172" s="6"/>
      <c r="F172" s="52"/>
      <c r="P172" s="7"/>
    </row>
    <row r="173" spans="1:16">
      <c r="A173" s="10"/>
      <c r="B173" s="9" t="s">
        <v>819</v>
      </c>
      <c r="C173" s="9" t="s">
        <v>689</v>
      </c>
      <c r="D173" s="9" t="s">
        <v>689</v>
      </c>
      <c r="E173" s="6"/>
      <c r="F173" s="52"/>
      <c r="P173" s="7"/>
    </row>
    <row r="174" spans="1:16">
      <c r="A174" s="10"/>
      <c r="B174" s="9" t="s">
        <v>820</v>
      </c>
      <c r="C174" s="9" t="s">
        <v>821</v>
      </c>
      <c r="D174" s="9" t="s">
        <v>821</v>
      </c>
      <c r="E174" s="6"/>
      <c r="F174" s="52"/>
      <c r="P174" s="7"/>
    </row>
    <row r="175" spans="1:16">
      <c r="A175" s="10"/>
      <c r="B175" s="9" t="s">
        <v>822</v>
      </c>
      <c r="C175" s="9" t="s">
        <v>821</v>
      </c>
      <c r="D175" s="9" t="s">
        <v>821</v>
      </c>
      <c r="E175" s="6"/>
      <c r="F175" s="52"/>
      <c r="P175" s="7"/>
    </row>
    <row r="176" spans="1:16">
      <c r="A176" s="10"/>
      <c r="B176" s="9" t="s">
        <v>823</v>
      </c>
      <c r="C176" s="9" t="s">
        <v>785</v>
      </c>
      <c r="D176" s="9" t="s">
        <v>785</v>
      </c>
      <c r="E176" s="6"/>
      <c r="F176" s="52"/>
      <c r="P176" s="7"/>
    </row>
    <row r="177" spans="1:16">
      <c r="A177" s="10"/>
      <c r="B177" s="9" t="s">
        <v>824</v>
      </c>
      <c r="C177" s="9" t="s">
        <v>796</v>
      </c>
      <c r="D177" s="9" t="s">
        <v>796</v>
      </c>
      <c r="E177" s="6"/>
      <c r="F177" s="52"/>
      <c r="P177" s="7"/>
    </row>
    <row r="178" spans="1:16">
      <c r="A178" s="10"/>
      <c r="B178" s="9" t="s">
        <v>825</v>
      </c>
      <c r="C178" s="9" t="s">
        <v>563</v>
      </c>
      <c r="D178" s="9" t="s">
        <v>563</v>
      </c>
      <c r="E178" s="6"/>
      <c r="F178" s="52"/>
      <c r="P178" s="7"/>
    </row>
    <row r="179" spans="1:16">
      <c r="A179" s="10"/>
      <c r="B179" s="9" t="s">
        <v>826</v>
      </c>
      <c r="C179" s="9" t="s">
        <v>717</v>
      </c>
      <c r="D179" s="9" t="s">
        <v>717</v>
      </c>
      <c r="E179" s="6"/>
      <c r="F179" s="52"/>
      <c r="P179" s="7"/>
    </row>
    <row r="180" spans="1:16">
      <c r="A180" s="10"/>
      <c r="B180" s="9" t="s">
        <v>827</v>
      </c>
      <c r="C180" s="9" t="s">
        <v>828</v>
      </c>
      <c r="D180" s="9" t="s">
        <v>828</v>
      </c>
      <c r="E180" s="6"/>
      <c r="F180" s="52"/>
      <c r="P180" s="7"/>
    </row>
    <row r="181" spans="1:16">
      <c r="A181" s="10"/>
      <c r="B181" s="9" t="s">
        <v>829</v>
      </c>
      <c r="C181" s="9" t="s">
        <v>830</v>
      </c>
      <c r="D181" s="9" t="s">
        <v>830</v>
      </c>
      <c r="E181" s="6"/>
      <c r="F181" s="52"/>
      <c r="P181" s="7"/>
    </row>
    <row r="182" spans="1:16">
      <c r="A182" s="10"/>
      <c r="B182" s="9" t="s">
        <v>831</v>
      </c>
      <c r="C182" s="9" t="s">
        <v>740</v>
      </c>
      <c r="D182" s="9" t="s">
        <v>740</v>
      </c>
      <c r="E182" s="6"/>
      <c r="F182" s="52"/>
      <c r="P182" s="7"/>
    </row>
    <row r="183" spans="1:16">
      <c r="A183" s="10"/>
      <c r="B183" s="9" t="s">
        <v>832</v>
      </c>
      <c r="C183" s="9" t="s">
        <v>740</v>
      </c>
      <c r="D183" s="9" t="s">
        <v>740</v>
      </c>
      <c r="E183" s="6"/>
      <c r="F183" s="52"/>
      <c r="P183" s="7"/>
    </row>
    <row r="184" spans="1:16">
      <c r="A184" s="10"/>
      <c r="B184" s="9" t="s">
        <v>833</v>
      </c>
      <c r="C184" s="9" t="s">
        <v>834</v>
      </c>
      <c r="D184" s="9" t="s">
        <v>834</v>
      </c>
      <c r="E184" s="6"/>
      <c r="F184" s="52"/>
      <c r="P184" s="7"/>
    </row>
    <row r="185" spans="1:16">
      <c r="A185" s="10"/>
      <c r="B185" s="9" t="s">
        <v>835</v>
      </c>
      <c r="C185" s="9" t="s">
        <v>836</v>
      </c>
      <c r="D185" s="9" t="s">
        <v>836</v>
      </c>
      <c r="E185" s="6"/>
      <c r="F185" s="52"/>
      <c r="P185" s="7"/>
    </row>
    <row r="186" spans="1:16">
      <c r="A186" s="10"/>
      <c r="B186" s="9" t="s">
        <v>837</v>
      </c>
      <c r="C186" s="9" t="s">
        <v>738</v>
      </c>
      <c r="D186" s="9" t="s">
        <v>738</v>
      </c>
      <c r="E186" s="6"/>
      <c r="F186" s="52"/>
      <c r="P186" s="7"/>
    </row>
    <row r="187" spans="1:16">
      <c r="A187" s="10"/>
      <c r="B187" s="9" t="s">
        <v>838</v>
      </c>
      <c r="C187" s="9" t="s">
        <v>619</v>
      </c>
      <c r="D187" s="9" t="s">
        <v>619</v>
      </c>
      <c r="E187" s="6"/>
      <c r="F187" s="52"/>
      <c r="K187" s="7"/>
      <c r="P187" s="7"/>
    </row>
    <row r="188" spans="1:16">
      <c r="A188" s="10"/>
      <c r="B188" s="9" t="s">
        <v>839</v>
      </c>
      <c r="C188" s="9" t="s">
        <v>783</v>
      </c>
      <c r="D188" s="9" t="s">
        <v>783</v>
      </c>
      <c r="E188" s="6"/>
      <c r="F188" s="52"/>
      <c r="K188" s="7"/>
      <c r="P188" s="7"/>
    </row>
    <row r="189" spans="1:16">
      <c r="A189" s="10"/>
      <c r="B189" s="9" t="s">
        <v>840</v>
      </c>
      <c r="C189" s="9" t="s">
        <v>841</v>
      </c>
      <c r="D189" s="9" t="s">
        <v>842</v>
      </c>
      <c r="E189" s="6"/>
      <c r="F189" s="52"/>
      <c r="P189" s="7"/>
    </row>
    <row r="190" spans="1:16">
      <c r="A190" s="10"/>
      <c r="B190" s="9" t="s">
        <v>843</v>
      </c>
      <c r="C190" s="9" t="s">
        <v>844</v>
      </c>
      <c r="D190" s="9" t="s">
        <v>844</v>
      </c>
      <c r="E190" s="6"/>
      <c r="F190" s="52"/>
      <c r="P190" s="7"/>
    </row>
    <row r="191" spans="1:16">
      <c r="A191" s="10"/>
      <c r="B191" s="9" t="s">
        <v>845</v>
      </c>
      <c r="C191" s="9" t="s">
        <v>844</v>
      </c>
      <c r="D191" s="9" t="s">
        <v>844</v>
      </c>
      <c r="E191" s="6"/>
      <c r="F191" s="52"/>
      <c r="P191" s="7"/>
    </row>
    <row r="192" spans="1:16">
      <c r="A192" s="10"/>
      <c r="B192" s="9" t="s">
        <v>846</v>
      </c>
      <c r="C192" s="9" t="s">
        <v>628</v>
      </c>
      <c r="D192" s="9" t="s">
        <v>628</v>
      </c>
      <c r="E192" s="6"/>
      <c r="F192" s="52"/>
      <c r="P192" s="7"/>
    </row>
    <row r="193" spans="1:16">
      <c r="A193" s="10"/>
      <c r="B193" s="9" t="s">
        <v>847</v>
      </c>
      <c r="C193" s="9" t="s">
        <v>636</v>
      </c>
      <c r="D193" s="9" t="s">
        <v>636</v>
      </c>
      <c r="E193" s="6"/>
      <c r="F193" s="52"/>
      <c r="P193" s="7"/>
    </row>
    <row r="194" spans="1:16">
      <c r="A194" s="10"/>
      <c r="B194" s="9" t="s">
        <v>848</v>
      </c>
      <c r="C194" s="9" t="s">
        <v>849</v>
      </c>
      <c r="D194" s="9" t="s">
        <v>849</v>
      </c>
      <c r="E194" s="6"/>
      <c r="F194" s="52"/>
      <c r="P194" s="7"/>
    </row>
    <row r="195" spans="1:16">
      <c r="A195" s="10"/>
      <c r="B195" s="9" t="s">
        <v>850</v>
      </c>
      <c r="C195" s="9" t="s">
        <v>849</v>
      </c>
      <c r="D195" s="9" t="s">
        <v>849</v>
      </c>
      <c r="E195" s="6"/>
      <c r="F195" s="52"/>
      <c r="P195" s="7"/>
    </row>
    <row r="196" spans="1:16">
      <c r="A196" s="10"/>
      <c r="B196" s="9" t="s">
        <v>851</v>
      </c>
      <c r="C196" s="9" t="s">
        <v>849</v>
      </c>
      <c r="D196" s="9" t="s">
        <v>849</v>
      </c>
      <c r="E196" s="6"/>
      <c r="F196" s="52"/>
      <c r="P196" s="7"/>
    </row>
    <row r="197" spans="1:16">
      <c r="A197" s="10"/>
      <c r="B197" s="9" t="s">
        <v>852</v>
      </c>
      <c r="C197" s="9" t="s">
        <v>849</v>
      </c>
      <c r="D197" s="9" t="s">
        <v>849</v>
      </c>
      <c r="E197" s="6"/>
      <c r="F197" s="52"/>
      <c r="P197" s="7"/>
    </row>
    <row r="198" spans="1:16">
      <c r="A198" s="10"/>
      <c r="B198" s="9" t="s">
        <v>853</v>
      </c>
      <c r="C198" s="9" t="s">
        <v>849</v>
      </c>
      <c r="D198" s="9" t="s">
        <v>849</v>
      </c>
      <c r="E198" s="6"/>
      <c r="F198" s="52"/>
      <c r="P198" s="7"/>
    </row>
    <row r="199" spans="1:16">
      <c r="A199" s="10"/>
      <c r="B199" s="9" t="s">
        <v>854</v>
      </c>
      <c r="C199" s="9" t="s">
        <v>849</v>
      </c>
      <c r="D199" s="9" t="s">
        <v>849</v>
      </c>
      <c r="E199" s="6"/>
      <c r="F199" s="52"/>
      <c r="P199" s="7"/>
    </row>
    <row r="200" spans="1:16">
      <c r="A200" s="10"/>
      <c r="B200" s="9" t="s">
        <v>855</v>
      </c>
      <c r="C200" s="9" t="s">
        <v>828</v>
      </c>
      <c r="D200" s="9" t="s">
        <v>828</v>
      </c>
      <c r="E200" s="6"/>
      <c r="F200" s="52"/>
      <c r="P200" s="7"/>
    </row>
    <row r="201" spans="1:16">
      <c r="A201" s="10"/>
      <c r="B201" s="9" t="s">
        <v>856</v>
      </c>
      <c r="C201" s="9" t="s">
        <v>830</v>
      </c>
      <c r="D201" s="9" t="s">
        <v>830</v>
      </c>
      <c r="E201" s="6"/>
      <c r="F201" s="52"/>
      <c r="P201" s="7"/>
    </row>
    <row r="202" spans="1:16">
      <c r="A202" s="10"/>
      <c r="B202" s="9" t="s">
        <v>857</v>
      </c>
      <c r="C202" s="9" t="s">
        <v>664</v>
      </c>
      <c r="D202" s="9" t="s">
        <v>664</v>
      </c>
      <c r="E202" s="6"/>
      <c r="F202" s="52"/>
      <c r="P202" s="7"/>
    </row>
    <row r="203" spans="1:16">
      <c r="A203" s="10"/>
      <c r="B203" s="9" t="s">
        <v>858</v>
      </c>
      <c r="C203" s="9" t="s">
        <v>664</v>
      </c>
      <c r="D203" s="9" t="s">
        <v>664</v>
      </c>
      <c r="E203" s="6"/>
      <c r="F203" s="52"/>
      <c r="P203" s="7"/>
    </row>
    <row r="204" spans="1:16">
      <c r="A204" s="10"/>
      <c r="B204" s="9" t="s">
        <v>859</v>
      </c>
      <c r="C204" s="9" t="s">
        <v>860</v>
      </c>
      <c r="D204" s="9" t="s">
        <v>860</v>
      </c>
      <c r="E204" s="6"/>
      <c r="F204" s="52"/>
      <c r="P204" s="7"/>
    </row>
    <row r="205" spans="1:16">
      <c r="A205" s="10"/>
      <c r="B205" s="9" t="s">
        <v>861</v>
      </c>
      <c r="C205" s="9" t="s">
        <v>659</v>
      </c>
      <c r="D205" s="9" t="s">
        <v>659</v>
      </c>
      <c r="E205" s="6"/>
      <c r="F205" s="52"/>
      <c r="P205" s="7"/>
    </row>
    <row r="206" spans="1:16">
      <c r="A206" s="10"/>
      <c r="B206" s="9" t="s">
        <v>862</v>
      </c>
      <c r="C206" s="9" t="s">
        <v>628</v>
      </c>
      <c r="D206" s="9" t="s">
        <v>628</v>
      </c>
      <c r="E206" s="6"/>
      <c r="F206" s="52"/>
      <c r="P206" s="7"/>
    </row>
    <row r="207" spans="1:16">
      <c r="A207" s="10"/>
      <c r="B207" s="9" t="s">
        <v>863</v>
      </c>
      <c r="C207" s="9" t="s">
        <v>864</v>
      </c>
      <c r="D207" s="9" t="s">
        <v>864</v>
      </c>
      <c r="E207" s="6"/>
      <c r="F207" s="52"/>
      <c r="P207" s="7"/>
    </row>
    <row r="208" spans="1:16">
      <c r="A208" s="10"/>
      <c r="B208" s="9" t="s">
        <v>865</v>
      </c>
      <c r="C208" s="9" t="s">
        <v>636</v>
      </c>
      <c r="D208" s="9" t="s">
        <v>636</v>
      </c>
      <c r="E208" s="6"/>
      <c r="F208" s="52"/>
      <c r="P208" s="7"/>
    </row>
    <row r="209" spans="1:16">
      <c r="A209" s="10"/>
      <c r="B209" s="9" t="s">
        <v>866</v>
      </c>
      <c r="C209" s="9" t="s">
        <v>590</v>
      </c>
      <c r="D209" s="9" t="s">
        <v>590</v>
      </c>
      <c r="E209" s="6"/>
      <c r="F209" s="52"/>
      <c r="P209" s="7"/>
    </row>
    <row r="210" spans="1:16">
      <c r="A210" s="10"/>
      <c r="B210" s="9" t="s">
        <v>867</v>
      </c>
      <c r="C210" s="9" t="s">
        <v>868</v>
      </c>
      <c r="D210" s="9" t="s">
        <v>868</v>
      </c>
      <c r="E210" s="6"/>
      <c r="F210" s="52"/>
      <c r="P210" s="7"/>
    </row>
    <row r="211" spans="1:16">
      <c r="A211" s="10"/>
      <c r="B211" s="9" t="s">
        <v>869</v>
      </c>
      <c r="C211" s="9" t="s">
        <v>796</v>
      </c>
      <c r="D211" s="9" t="s">
        <v>796</v>
      </c>
      <c r="E211" s="6"/>
      <c r="F211" s="52"/>
      <c r="P211" s="7"/>
    </row>
    <row r="212" spans="1:16">
      <c r="A212" s="10"/>
      <c r="B212" s="9" t="s">
        <v>870</v>
      </c>
      <c r="C212" s="9" t="s">
        <v>563</v>
      </c>
      <c r="D212" s="9" t="s">
        <v>563</v>
      </c>
      <c r="E212" s="6"/>
      <c r="F212" s="52"/>
      <c r="P212" s="7"/>
    </row>
    <row r="213" spans="1:16">
      <c r="A213" s="10"/>
      <c r="B213" s="9" t="s">
        <v>871</v>
      </c>
      <c r="C213" s="9" t="s">
        <v>783</v>
      </c>
      <c r="D213" s="9" t="s">
        <v>783</v>
      </c>
      <c r="E213" s="6"/>
      <c r="F213" s="52"/>
      <c r="P213" s="7"/>
    </row>
    <row r="214" spans="1:16">
      <c r="A214" s="10"/>
      <c r="B214" s="9" t="s">
        <v>872</v>
      </c>
      <c r="C214" s="9" t="s">
        <v>588</v>
      </c>
      <c r="D214" s="9" t="s">
        <v>588</v>
      </c>
      <c r="E214" s="6"/>
      <c r="F214" s="52"/>
      <c r="P214" s="7"/>
    </row>
    <row r="215" spans="1:16">
      <c r="A215" s="10"/>
      <c r="B215" s="9" t="s">
        <v>873</v>
      </c>
      <c r="C215" s="9" t="s">
        <v>796</v>
      </c>
      <c r="D215" s="9" t="s">
        <v>796</v>
      </c>
      <c r="E215" s="6"/>
      <c r="F215" s="52"/>
      <c r="P215" s="7"/>
    </row>
    <row r="216" spans="1:16">
      <c r="A216" s="10"/>
      <c r="B216" s="9" t="s">
        <v>874</v>
      </c>
      <c r="C216" s="9" t="s">
        <v>783</v>
      </c>
      <c r="D216" s="9" t="s">
        <v>783</v>
      </c>
      <c r="E216" s="6"/>
      <c r="F216" s="52"/>
      <c r="P216" s="7"/>
    </row>
    <row r="217" spans="1:16">
      <c r="A217" s="10"/>
      <c r="B217" s="9" t="s">
        <v>875</v>
      </c>
      <c r="C217" s="9" t="s">
        <v>876</v>
      </c>
      <c r="D217" s="9" t="s">
        <v>876</v>
      </c>
      <c r="E217" s="6"/>
      <c r="F217" s="52"/>
      <c r="P217" s="7"/>
    </row>
    <row r="218" spans="1:16">
      <c r="A218" s="10"/>
      <c r="B218" s="9" t="s">
        <v>877</v>
      </c>
      <c r="C218" s="9" t="s">
        <v>876</v>
      </c>
      <c r="D218" s="9" t="s">
        <v>876</v>
      </c>
      <c r="E218" s="6"/>
      <c r="F218" s="52"/>
      <c r="P218" s="7"/>
    </row>
    <row r="219" spans="1:16">
      <c r="A219" s="10"/>
      <c r="B219" s="9" t="s">
        <v>878</v>
      </c>
      <c r="C219" s="9" t="s">
        <v>879</v>
      </c>
      <c r="D219" s="9" t="s">
        <v>879</v>
      </c>
      <c r="E219" s="6"/>
      <c r="F219" s="52"/>
      <c r="P219" s="7"/>
    </row>
    <row r="220" spans="1:16">
      <c r="A220" s="10"/>
      <c r="B220" s="9" t="s">
        <v>880</v>
      </c>
      <c r="C220" s="9" t="s">
        <v>881</v>
      </c>
      <c r="D220" s="9" t="s">
        <v>881</v>
      </c>
      <c r="E220" s="6"/>
      <c r="F220" s="52"/>
      <c r="P220" s="7"/>
    </row>
    <row r="221" spans="1:16">
      <c r="A221" s="10"/>
      <c r="B221" s="9" t="s">
        <v>882</v>
      </c>
      <c r="C221" s="9" t="s">
        <v>785</v>
      </c>
      <c r="D221" s="9" t="s">
        <v>785</v>
      </c>
      <c r="E221" s="6"/>
      <c r="F221" s="52"/>
      <c r="P221" s="7"/>
    </row>
    <row r="222" spans="1:16">
      <c r="A222" s="10"/>
      <c r="B222" s="9" t="s">
        <v>883</v>
      </c>
      <c r="C222" s="9" t="s">
        <v>785</v>
      </c>
      <c r="D222" s="9" t="s">
        <v>785</v>
      </c>
      <c r="E222" s="6"/>
      <c r="F222" s="52"/>
      <c r="P222" s="7"/>
    </row>
    <row r="223" spans="1:16">
      <c r="A223" s="10"/>
      <c r="B223" s="9" t="s">
        <v>884</v>
      </c>
      <c r="C223" s="9" t="s">
        <v>885</v>
      </c>
      <c r="D223" s="9" t="s">
        <v>885</v>
      </c>
      <c r="E223" s="6"/>
      <c r="F223" s="52"/>
      <c r="P223" s="7"/>
    </row>
    <row r="224" spans="1:16">
      <c r="A224" s="10"/>
      <c r="B224" s="9" t="s">
        <v>886</v>
      </c>
      <c r="C224" s="9" t="s">
        <v>887</v>
      </c>
      <c r="D224" s="9" t="s">
        <v>888</v>
      </c>
      <c r="E224" s="6"/>
      <c r="F224" s="52"/>
      <c r="P224" s="7"/>
    </row>
    <row r="225" spans="1:16">
      <c r="A225" s="10"/>
      <c r="B225" s="9" t="s">
        <v>889</v>
      </c>
      <c r="C225" s="9" t="s">
        <v>887</v>
      </c>
      <c r="D225" s="9" t="s">
        <v>888</v>
      </c>
      <c r="E225" s="6"/>
      <c r="F225" s="52"/>
      <c r="P225" s="7"/>
    </row>
    <row r="226" spans="1:16">
      <c r="A226" s="10"/>
      <c r="B226" s="9" t="s">
        <v>890</v>
      </c>
      <c r="C226" s="9" t="s">
        <v>891</v>
      </c>
      <c r="D226" s="9" t="s">
        <v>891</v>
      </c>
      <c r="E226" s="6"/>
      <c r="F226" s="52"/>
      <c r="P226" s="7"/>
    </row>
    <row r="227" spans="1:16">
      <c r="A227" s="10"/>
      <c r="B227" s="9" t="s">
        <v>892</v>
      </c>
      <c r="C227" s="9" t="s">
        <v>891</v>
      </c>
      <c r="D227" s="9" t="s">
        <v>891</v>
      </c>
      <c r="E227" s="6"/>
      <c r="F227" s="52"/>
      <c r="P227" s="7"/>
    </row>
    <row r="228" spans="1:16">
      <c r="A228" s="10"/>
      <c r="B228" s="9" t="s">
        <v>893</v>
      </c>
      <c r="C228" s="9" t="s">
        <v>891</v>
      </c>
      <c r="D228" s="9" t="s">
        <v>891</v>
      </c>
      <c r="E228" s="6"/>
      <c r="F228" s="52"/>
      <c r="P228" s="7"/>
    </row>
    <row r="229" spans="1:16">
      <c r="A229" s="10"/>
      <c r="B229" s="9" t="s">
        <v>894</v>
      </c>
      <c r="C229" s="9" t="s">
        <v>891</v>
      </c>
      <c r="D229" s="9" t="s">
        <v>891</v>
      </c>
      <c r="E229" s="6"/>
      <c r="F229" s="52"/>
      <c r="P229" s="7"/>
    </row>
    <row r="230" spans="1:16">
      <c r="A230" s="10"/>
      <c r="B230" s="9" t="s">
        <v>895</v>
      </c>
      <c r="C230" s="9" t="s">
        <v>751</v>
      </c>
      <c r="D230" s="9" t="s">
        <v>751</v>
      </c>
      <c r="E230" s="6"/>
      <c r="F230" s="52"/>
      <c r="P230" s="7"/>
    </row>
    <row r="231" spans="1:16">
      <c r="A231" s="10"/>
      <c r="B231" s="9" t="s">
        <v>896</v>
      </c>
      <c r="C231" s="9" t="s">
        <v>751</v>
      </c>
      <c r="D231" s="9" t="s">
        <v>751</v>
      </c>
      <c r="E231" s="6"/>
      <c r="F231" s="52"/>
      <c r="P231" s="7"/>
    </row>
    <row r="232" spans="1:16">
      <c r="A232" s="10"/>
      <c r="B232" s="9" t="s">
        <v>897</v>
      </c>
      <c r="C232" s="9" t="s">
        <v>898</v>
      </c>
      <c r="D232" s="9" t="s">
        <v>898</v>
      </c>
      <c r="E232" s="6"/>
      <c r="F232" s="52"/>
      <c r="P232" s="7"/>
    </row>
    <row r="233" spans="1:16">
      <c r="A233" s="10"/>
      <c r="B233" s="9" t="s">
        <v>899</v>
      </c>
      <c r="C233" s="9" t="s">
        <v>805</v>
      </c>
      <c r="D233" s="9" t="s">
        <v>805</v>
      </c>
      <c r="E233" s="6"/>
      <c r="F233" s="52"/>
      <c r="P233" s="7"/>
    </row>
    <row r="234" spans="1:16">
      <c r="A234" s="10"/>
      <c r="B234" s="9" t="s">
        <v>900</v>
      </c>
      <c r="C234" s="9" t="s">
        <v>805</v>
      </c>
      <c r="D234" s="9" t="s">
        <v>805</v>
      </c>
      <c r="E234" s="6"/>
      <c r="F234" s="52"/>
      <c r="P234" s="7"/>
    </row>
    <row r="235" spans="1:16">
      <c r="A235" s="10"/>
      <c r="B235" s="9" t="s">
        <v>901</v>
      </c>
      <c r="C235" s="9" t="s">
        <v>902</v>
      </c>
      <c r="D235" s="9" t="s">
        <v>902</v>
      </c>
      <c r="E235" s="6"/>
      <c r="F235" s="52"/>
      <c r="P235" s="7"/>
    </row>
    <row r="236" spans="1:16">
      <c r="A236" s="10"/>
      <c r="B236" s="9" t="s">
        <v>903</v>
      </c>
      <c r="C236" s="9" t="s">
        <v>559</v>
      </c>
      <c r="D236" s="9" t="s">
        <v>559</v>
      </c>
      <c r="E236" s="6"/>
      <c r="F236" s="52"/>
      <c r="P236" s="7"/>
    </row>
    <row r="237" spans="1:16">
      <c r="A237" s="10"/>
      <c r="B237" s="9" t="s">
        <v>904</v>
      </c>
      <c r="C237" s="9" t="s">
        <v>588</v>
      </c>
      <c r="D237" s="9" t="s">
        <v>588</v>
      </c>
      <c r="E237" s="6"/>
      <c r="F237" s="52"/>
      <c r="P237" s="7"/>
    </row>
    <row r="238" spans="1:16">
      <c r="A238" s="10"/>
      <c r="B238" s="9" t="s">
        <v>905</v>
      </c>
      <c r="C238" s="9" t="s">
        <v>906</v>
      </c>
      <c r="D238" s="9" t="s">
        <v>906</v>
      </c>
      <c r="E238" s="6"/>
      <c r="F238" s="52"/>
      <c r="P238" s="7"/>
    </row>
    <row r="239" spans="1:16">
      <c r="A239" s="10"/>
      <c r="B239" s="9" t="s">
        <v>907</v>
      </c>
      <c r="C239" s="9" t="s">
        <v>908</v>
      </c>
      <c r="D239" s="9" t="s">
        <v>908</v>
      </c>
      <c r="E239" s="6"/>
      <c r="F239" s="52"/>
      <c r="P239" s="7"/>
    </row>
    <row r="240" spans="1:16">
      <c r="A240" s="10"/>
      <c r="B240" s="9" t="s">
        <v>909</v>
      </c>
      <c r="C240" s="9" t="s">
        <v>908</v>
      </c>
      <c r="D240" s="9" t="s">
        <v>908</v>
      </c>
      <c r="E240" s="6"/>
      <c r="F240" s="52"/>
      <c r="P240" s="7"/>
    </row>
    <row r="241" spans="1:16">
      <c r="A241" s="10"/>
      <c r="B241" s="9" t="s">
        <v>910</v>
      </c>
      <c r="C241" s="9" t="s">
        <v>911</v>
      </c>
      <c r="D241" s="9" t="s">
        <v>911</v>
      </c>
      <c r="E241" s="6"/>
      <c r="F241" s="52"/>
      <c r="P241" s="7"/>
    </row>
    <row r="242" spans="1:16">
      <c r="A242" s="10"/>
      <c r="B242" s="9" t="s">
        <v>912</v>
      </c>
      <c r="C242" s="9" t="s">
        <v>913</v>
      </c>
      <c r="D242" s="9" t="s">
        <v>914</v>
      </c>
      <c r="E242" s="6"/>
      <c r="F242" s="52"/>
      <c r="P242" s="7"/>
    </row>
    <row r="243" spans="1:16">
      <c r="A243" s="10"/>
      <c r="B243" s="9" t="s">
        <v>915</v>
      </c>
      <c r="C243" s="9" t="s">
        <v>916</v>
      </c>
      <c r="D243" s="9" t="s">
        <v>913</v>
      </c>
      <c r="E243" s="6"/>
      <c r="F243" s="52"/>
      <c r="P243" s="7"/>
    </row>
    <row r="244" spans="1:16">
      <c r="A244" s="10"/>
      <c r="B244" s="9" t="s">
        <v>917</v>
      </c>
      <c r="C244" s="9" t="s">
        <v>918</v>
      </c>
      <c r="D244" s="9" t="s">
        <v>919</v>
      </c>
      <c r="E244" s="6"/>
      <c r="F244" s="52"/>
      <c r="P244" s="7"/>
    </row>
    <row r="245" spans="1:16">
      <c r="A245" s="10"/>
      <c r="B245" s="9" t="s">
        <v>920</v>
      </c>
      <c r="C245" s="9" t="s">
        <v>921</v>
      </c>
      <c r="D245" s="9" t="s">
        <v>921</v>
      </c>
      <c r="E245" s="6"/>
      <c r="F245" s="52"/>
      <c r="P245" s="7"/>
    </row>
    <row r="246" spans="1:16">
      <c r="A246" s="10"/>
      <c r="B246" s="9" t="s">
        <v>922</v>
      </c>
      <c r="C246" s="9" t="s">
        <v>921</v>
      </c>
      <c r="D246" s="9" t="s">
        <v>921</v>
      </c>
      <c r="E246" s="6"/>
      <c r="F246" s="52"/>
      <c r="P246" s="7"/>
    </row>
    <row r="247" spans="1:16">
      <c r="A247" s="10"/>
      <c r="B247" s="9" t="s">
        <v>923</v>
      </c>
      <c r="C247" s="9" t="s">
        <v>567</v>
      </c>
      <c r="D247" s="9" t="s">
        <v>567</v>
      </c>
      <c r="E247" s="6"/>
      <c r="F247" s="52"/>
      <c r="P247" s="7"/>
    </row>
    <row r="248" spans="1:16">
      <c r="A248" s="10"/>
      <c r="B248" s="9" t="s">
        <v>924</v>
      </c>
      <c r="C248" s="9" t="s">
        <v>567</v>
      </c>
      <c r="D248" s="9" t="s">
        <v>567</v>
      </c>
      <c r="E248" s="6"/>
      <c r="F248" s="52"/>
      <c r="P248" s="7"/>
    </row>
    <row r="249" spans="1:16">
      <c r="A249" s="10"/>
      <c r="B249" s="9" t="s">
        <v>925</v>
      </c>
      <c r="C249" s="9" t="s">
        <v>767</v>
      </c>
      <c r="D249" s="9" t="s">
        <v>767</v>
      </c>
      <c r="E249" s="6"/>
      <c r="F249" s="52"/>
      <c r="P249" s="7"/>
    </row>
    <row r="250" spans="1:16">
      <c r="A250" s="10"/>
      <c r="B250" s="9" t="s">
        <v>926</v>
      </c>
      <c r="C250" s="9" t="s">
        <v>769</v>
      </c>
      <c r="D250" s="9" t="s">
        <v>841</v>
      </c>
      <c r="E250" s="6"/>
      <c r="F250" s="52"/>
      <c r="P250" s="7"/>
    </row>
    <row r="251" spans="1:16">
      <c r="A251" s="10"/>
      <c r="B251" s="9" t="s">
        <v>927</v>
      </c>
      <c r="C251" s="9" t="s">
        <v>769</v>
      </c>
      <c r="D251" s="9" t="s">
        <v>841</v>
      </c>
      <c r="E251" s="6"/>
      <c r="F251" s="52"/>
      <c r="P251" s="7"/>
    </row>
    <row r="252" spans="1:16">
      <c r="A252" s="10"/>
      <c r="B252" s="9" t="s">
        <v>928</v>
      </c>
      <c r="C252" s="9" t="s">
        <v>619</v>
      </c>
      <c r="D252" s="9" t="s">
        <v>619</v>
      </c>
      <c r="E252" s="6"/>
      <c r="F252" s="52"/>
      <c r="P252" s="7"/>
    </row>
    <row r="253" spans="1:16">
      <c r="A253" s="10"/>
      <c r="B253" s="9" t="s">
        <v>929</v>
      </c>
      <c r="C253" s="9" t="s">
        <v>783</v>
      </c>
      <c r="D253" s="9" t="s">
        <v>783</v>
      </c>
      <c r="E253" s="6"/>
      <c r="F253" s="52"/>
      <c r="P253" s="7"/>
    </row>
    <row r="254" spans="1:16">
      <c r="A254" s="10"/>
      <c r="B254" s="9" t="s">
        <v>930</v>
      </c>
      <c r="C254" s="9" t="s">
        <v>931</v>
      </c>
      <c r="D254" s="9" t="s">
        <v>932</v>
      </c>
      <c r="E254" s="6"/>
      <c r="F254" s="52"/>
      <c r="P254" s="7"/>
    </row>
    <row r="255" spans="1:16">
      <c r="A255" s="10"/>
      <c r="B255" s="9" t="s">
        <v>933</v>
      </c>
      <c r="C255" s="9" t="s">
        <v>834</v>
      </c>
      <c r="D255" s="9" t="s">
        <v>834</v>
      </c>
      <c r="E255" s="6"/>
      <c r="F255" s="52"/>
      <c r="P255" s="7"/>
    </row>
    <row r="256" spans="1:16">
      <c r="A256" s="10"/>
      <c r="B256" s="9" t="s">
        <v>934</v>
      </c>
      <c r="C256" s="9" t="s">
        <v>834</v>
      </c>
      <c r="D256" s="9" t="s">
        <v>834</v>
      </c>
      <c r="E256" s="6"/>
      <c r="F256" s="52"/>
      <c r="P256" s="7"/>
    </row>
    <row r="257" spans="1:16">
      <c r="A257" s="10"/>
      <c r="B257" s="9" t="s">
        <v>935</v>
      </c>
      <c r="C257" s="9" t="s">
        <v>659</v>
      </c>
      <c r="D257" s="9" t="s">
        <v>659</v>
      </c>
      <c r="E257" s="6"/>
      <c r="F257" s="52"/>
      <c r="P257" s="7"/>
    </row>
    <row r="258" spans="1:16">
      <c r="A258" s="10"/>
      <c r="B258" s="9" t="s">
        <v>936</v>
      </c>
      <c r="C258" s="9" t="s">
        <v>628</v>
      </c>
      <c r="D258" s="9" t="s">
        <v>628</v>
      </c>
      <c r="E258" s="6"/>
      <c r="F258" s="52"/>
      <c r="P258" s="7"/>
    </row>
    <row r="259" spans="1:16">
      <c r="A259" s="10"/>
      <c r="B259" s="9" t="s">
        <v>937</v>
      </c>
      <c r="C259" s="9" t="s">
        <v>938</v>
      </c>
      <c r="D259" s="9" t="s">
        <v>939</v>
      </c>
      <c r="E259" s="6"/>
      <c r="F259" s="52"/>
      <c r="P259" s="7"/>
    </row>
    <row r="260" spans="1:16">
      <c r="A260" s="10"/>
      <c r="B260" s="9" t="s">
        <v>940</v>
      </c>
      <c r="C260" s="9" t="s">
        <v>941</v>
      </c>
      <c r="D260" s="9" t="s">
        <v>941</v>
      </c>
      <c r="E260" s="6"/>
      <c r="F260" s="52"/>
      <c r="P260" s="7"/>
    </row>
    <row r="261" spans="1:16">
      <c r="A261" s="10"/>
      <c r="B261" s="9" t="s">
        <v>942</v>
      </c>
      <c r="C261" s="9" t="s">
        <v>941</v>
      </c>
      <c r="D261" s="9" t="s">
        <v>941</v>
      </c>
      <c r="E261" s="6"/>
      <c r="F261" s="52"/>
      <c r="P261" s="7"/>
    </row>
    <row r="262" spans="1:16">
      <c r="A262" s="10"/>
      <c r="B262" s="9" t="s">
        <v>943</v>
      </c>
      <c r="C262" s="9" t="s">
        <v>944</v>
      </c>
      <c r="D262" s="9" t="s">
        <v>945</v>
      </c>
      <c r="E262" s="6"/>
      <c r="F262" s="52"/>
      <c r="P262" s="7"/>
    </row>
    <row r="263" spans="1:16">
      <c r="A263" s="10"/>
      <c r="B263" s="9" t="s">
        <v>946</v>
      </c>
      <c r="C263" s="9" t="s">
        <v>730</v>
      </c>
      <c r="D263" s="9" t="s">
        <v>730</v>
      </c>
      <c r="E263" s="6"/>
      <c r="F263" s="52"/>
      <c r="P263" s="7"/>
    </row>
    <row r="264" spans="1:16">
      <c r="A264" s="10"/>
      <c r="B264" s="9" t="s">
        <v>947</v>
      </c>
      <c r="C264" s="9" t="s">
        <v>948</v>
      </c>
      <c r="D264" s="9" t="s">
        <v>948</v>
      </c>
      <c r="E264" s="6"/>
      <c r="F264" s="52"/>
      <c r="P264" s="7"/>
    </row>
    <row r="265" spans="1:16">
      <c r="A265" s="10"/>
      <c r="B265" s="9" t="s">
        <v>949</v>
      </c>
      <c r="C265" s="9" t="s">
        <v>950</v>
      </c>
      <c r="D265" s="9" t="s">
        <v>950</v>
      </c>
      <c r="E265" s="6"/>
      <c r="F265" s="52"/>
      <c r="P265" s="7"/>
    </row>
    <row r="266" spans="1:16">
      <c r="A266" s="10"/>
      <c r="B266" s="9" t="s">
        <v>951</v>
      </c>
      <c r="C266" s="9" t="s">
        <v>952</v>
      </c>
      <c r="D266" s="9" t="s">
        <v>952</v>
      </c>
      <c r="E266" s="6"/>
      <c r="F266" s="52"/>
      <c r="P266" s="7"/>
    </row>
    <row r="267" spans="1:16">
      <c r="A267" s="10"/>
      <c r="B267" s="9" t="s">
        <v>953</v>
      </c>
      <c r="C267" s="9" t="s">
        <v>954</v>
      </c>
      <c r="D267" s="9" t="s">
        <v>954</v>
      </c>
      <c r="E267" s="6"/>
      <c r="F267" s="52"/>
      <c r="P267" s="7"/>
    </row>
    <row r="268" spans="1:16">
      <c r="A268" s="10"/>
      <c r="B268" s="9" t="s">
        <v>955</v>
      </c>
      <c r="C268" s="9" t="s">
        <v>956</v>
      </c>
      <c r="D268" s="9" t="s">
        <v>956</v>
      </c>
      <c r="E268" s="6"/>
      <c r="F268" s="52"/>
      <c r="P268" s="7"/>
    </row>
    <row r="269" spans="1:16">
      <c r="A269" s="10"/>
      <c r="B269" s="9" t="s">
        <v>957</v>
      </c>
      <c r="C269" s="11" t="s">
        <v>958</v>
      </c>
      <c r="D269" s="11" t="s">
        <v>958</v>
      </c>
      <c r="E269" s="6"/>
      <c r="F269" s="52"/>
      <c r="P269" s="7"/>
    </row>
    <row r="270" spans="1:16">
      <c r="A270" s="10"/>
      <c r="B270" s="9" t="s">
        <v>959</v>
      </c>
      <c r="C270" s="11" t="s">
        <v>958</v>
      </c>
      <c r="D270" s="11" t="s">
        <v>958</v>
      </c>
      <c r="E270" s="6"/>
      <c r="F270" s="52"/>
      <c r="P270" s="7"/>
    </row>
    <row r="271" spans="1:16">
      <c r="A271" s="10"/>
      <c r="B271" s="9" t="s">
        <v>960</v>
      </c>
      <c r="C271" s="9" t="s">
        <v>941</v>
      </c>
      <c r="D271" s="9" t="s">
        <v>961</v>
      </c>
      <c r="E271" s="6"/>
      <c r="F271" s="52"/>
      <c r="P271" s="7"/>
    </row>
    <row r="272" spans="1:16">
      <c r="A272" s="10"/>
      <c r="B272" s="9" t="s">
        <v>962</v>
      </c>
      <c r="C272" s="9" t="s">
        <v>941</v>
      </c>
      <c r="D272" s="9" t="s">
        <v>961</v>
      </c>
      <c r="E272" s="6"/>
      <c r="F272" s="52"/>
      <c r="P272" s="7"/>
    </row>
    <row r="273" spans="1:16">
      <c r="A273" s="10"/>
      <c r="B273" s="9" t="s">
        <v>963</v>
      </c>
      <c r="C273" s="9" t="s">
        <v>745</v>
      </c>
      <c r="D273" s="9" t="s">
        <v>767</v>
      </c>
      <c r="E273" s="6"/>
      <c r="F273" s="52"/>
      <c r="P273" s="7"/>
    </row>
    <row r="274" spans="1:16">
      <c r="A274" s="10"/>
      <c r="B274" s="9" t="s">
        <v>964</v>
      </c>
      <c r="C274" s="9" t="s">
        <v>887</v>
      </c>
      <c r="D274" s="9" t="s">
        <v>887</v>
      </c>
      <c r="E274" s="6"/>
      <c r="F274" s="52"/>
      <c r="P274" s="7"/>
    </row>
    <row r="275" spans="1:16">
      <c r="A275" s="10"/>
      <c r="B275" s="9" t="s">
        <v>965</v>
      </c>
      <c r="C275" s="9" t="s">
        <v>887</v>
      </c>
      <c r="D275" s="9" t="s">
        <v>887</v>
      </c>
      <c r="E275" s="6"/>
      <c r="F275" s="52"/>
      <c r="P275" s="7"/>
    </row>
    <row r="276" spans="1:16">
      <c r="A276" s="10"/>
      <c r="B276" s="9" t="s">
        <v>966</v>
      </c>
      <c r="C276" s="9" t="s">
        <v>967</v>
      </c>
      <c r="D276" s="9" t="s">
        <v>967</v>
      </c>
      <c r="E276" s="6"/>
      <c r="F276" s="52"/>
      <c r="P276" s="7"/>
    </row>
    <row r="277" spans="1:16">
      <c r="A277" s="10"/>
      <c r="B277" s="9" t="s">
        <v>968</v>
      </c>
      <c r="C277" s="9" t="s">
        <v>969</v>
      </c>
      <c r="D277" s="9" t="s">
        <v>969</v>
      </c>
      <c r="E277" s="6"/>
      <c r="F277" s="52"/>
      <c r="P277" s="7"/>
    </row>
    <row r="278" spans="1:16">
      <c r="A278" s="10"/>
      <c r="B278" s="9" t="s">
        <v>970</v>
      </c>
      <c r="C278" s="9" t="s">
        <v>971</v>
      </c>
      <c r="D278" s="9" t="s">
        <v>971</v>
      </c>
      <c r="E278" s="6"/>
      <c r="F278" s="52"/>
      <c r="P278" s="7"/>
    </row>
    <row r="279" spans="1:16">
      <c r="A279" s="10"/>
      <c r="B279" s="9" t="s">
        <v>972</v>
      </c>
      <c r="C279" s="9" t="s">
        <v>908</v>
      </c>
      <c r="D279" s="9" t="s">
        <v>908</v>
      </c>
      <c r="E279" s="6"/>
      <c r="F279" s="52"/>
      <c r="P279" s="7"/>
    </row>
    <row r="280" spans="1:16">
      <c r="A280" s="10"/>
      <c r="B280" s="9" t="s">
        <v>973</v>
      </c>
      <c r="C280" s="9" t="s">
        <v>908</v>
      </c>
      <c r="D280" s="9" t="s">
        <v>908</v>
      </c>
      <c r="E280" s="6"/>
      <c r="F280" s="52"/>
      <c r="P280" s="7"/>
    </row>
    <row r="281" spans="1:16">
      <c r="A281" s="10"/>
      <c r="B281" s="9" t="s">
        <v>974</v>
      </c>
      <c r="C281" s="9" t="s">
        <v>975</v>
      </c>
      <c r="D281" s="9" t="s">
        <v>975</v>
      </c>
      <c r="E281" s="6"/>
      <c r="F281" s="52"/>
      <c r="P281" s="7"/>
    </row>
    <row r="282" spans="1:16">
      <c r="A282" s="10"/>
      <c r="B282" s="9" t="s">
        <v>976</v>
      </c>
      <c r="C282" s="9" t="s">
        <v>977</v>
      </c>
      <c r="D282" s="9" t="s">
        <v>977</v>
      </c>
      <c r="E282" s="6"/>
      <c r="F282" s="52"/>
      <c r="P282" s="7"/>
    </row>
    <row r="283" spans="1:16">
      <c r="A283" s="10"/>
      <c r="B283" s="9" t="s">
        <v>978</v>
      </c>
      <c r="C283" s="9" t="s">
        <v>979</v>
      </c>
      <c r="D283" s="9" t="s">
        <v>979</v>
      </c>
      <c r="E283" s="6"/>
      <c r="F283" s="52"/>
      <c r="P283" s="7"/>
    </row>
    <row r="284" spans="1:16">
      <c r="A284" s="10"/>
      <c r="B284" s="9" t="s">
        <v>980</v>
      </c>
      <c r="C284" s="9" t="s">
        <v>981</v>
      </c>
      <c r="D284" s="9" t="s">
        <v>981</v>
      </c>
      <c r="E284" s="6"/>
      <c r="F284" s="52"/>
      <c r="P284" s="7"/>
    </row>
    <row r="285" spans="1:16">
      <c r="A285" s="10"/>
      <c r="B285" s="9" t="s">
        <v>982</v>
      </c>
      <c r="C285" s="9" t="s">
        <v>611</v>
      </c>
      <c r="D285" s="9" t="s">
        <v>611</v>
      </c>
      <c r="E285" s="6"/>
      <c r="F285" s="52"/>
      <c r="P285" s="7"/>
    </row>
    <row r="286" spans="1:16">
      <c r="A286" s="10"/>
      <c r="B286" s="9" t="s">
        <v>983</v>
      </c>
      <c r="C286" s="9" t="s">
        <v>597</v>
      </c>
      <c r="D286" s="9" t="s">
        <v>597</v>
      </c>
      <c r="E286" s="6"/>
      <c r="F286" s="52"/>
      <c r="P286" s="7"/>
    </row>
    <row r="287" spans="1:16">
      <c r="A287" s="10"/>
      <c r="B287" s="9" t="s">
        <v>984</v>
      </c>
      <c r="C287" s="9" t="s">
        <v>588</v>
      </c>
      <c r="D287" s="9" t="s">
        <v>588</v>
      </c>
      <c r="E287" s="6"/>
      <c r="F287" s="52"/>
      <c r="P287" s="7"/>
    </row>
    <row r="288" spans="1:16">
      <c r="A288" s="10"/>
      <c r="B288" s="9" t="s">
        <v>985</v>
      </c>
      <c r="C288" s="9" t="s">
        <v>986</v>
      </c>
      <c r="D288" s="9" t="s">
        <v>986</v>
      </c>
      <c r="E288" s="6"/>
      <c r="F288" s="52"/>
      <c r="P288" s="7"/>
    </row>
    <row r="289" spans="1:16">
      <c r="A289" s="10"/>
      <c r="B289" s="9" t="s">
        <v>987</v>
      </c>
      <c r="C289" s="9" t="s">
        <v>664</v>
      </c>
      <c r="D289" s="9" t="s">
        <v>664</v>
      </c>
      <c r="E289" s="6"/>
      <c r="F289" s="52"/>
      <c r="P289" s="7"/>
    </row>
    <row r="290" spans="1:16">
      <c r="A290" s="10"/>
      <c r="B290" s="9" t="s">
        <v>988</v>
      </c>
      <c r="C290" s="9" t="s">
        <v>628</v>
      </c>
      <c r="D290" s="9" t="s">
        <v>628</v>
      </c>
      <c r="E290" s="6"/>
      <c r="F290" s="52"/>
      <c r="P290" s="7"/>
    </row>
    <row r="291" spans="1:16">
      <c r="A291" s="10"/>
      <c r="B291" s="9" t="s">
        <v>989</v>
      </c>
      <c r="C291" s="9" t="s">
        <v>636</v>
      </c>
      <c r="D291" s="9" t="s">
        <v>636</v>
      </c>
      <c r="E291" s="6"/>
      <c r="F291" s="52"/>
      <c r="P291" s="7"/>
    </row>
    <row r="292" spans="1:16">
      <c r="A292" s="10"/>
      <c r="B292" s="9" t="s">
        <v>990</v>
      </c>
      <c r="C292" s="9" t="s">
        <v>891</v>
      </c>
      <c r="D292" s="9" t="s">
        <v>891</v>
      </c>
      <c r="E292" s="6"/>
      <c r="F292" s="52"/>
      <c r="P292" s="7"/>
    </row>
    <row r="293" spans="1:16">
      <c r="A293" s="10"/>
      <c r="B293" s="9" t="s">
        <v>991</v>
      </c>
      <c r="C293" s="9" t="s">
        <v>891</v>
      </c>
      <c r="D293" s="9" t="s">
        <v>891</v>
      </c>
      <c r="E293" s="6"/>
      <c r="F293" s="52"/>
      <c r="P293" s="7"/>
    </row>
    <row r="294" spans="1:16">
      <c r="A294" s="10"/>
      <c r="B294" s="9" t="s">
        <v>992</v>
      </c>
      <c r="C294" s="9" t="s">
        <v>821</v>
      </c>
      <c r="D294" s="9" t="s">
        <v>821</v>
      </c>
      <c r="E294" s="6"/>
      <c r="F294" s="52"/>
      <c r="P294" s="7"/>
    </row>
    <row r="295" spans="1:16">
      <c r="A295" s="10"/>
      <c r="B295" s="9" t="s">
        <v>993</v>
      </c>
      <c r="C295" s="9" t="s">
        <v>821</v>
      </c>
      <c r="D295" s="9" t="s">
        <v>821</v>
      </c>
      <c r="E295" s="6"/>
      <c r="F295" s="52"/>
      <c r="P295" s="7"/>
    </row>
    <row r="296" spans="1:16">
      <c r="A296" s="10"/>
      <c r="B296" s="9" t="s">
        <v>994</v>
      </c>
      <c r="C296" s="9" t="s">
        <v>636</v>
      </c>
      <c r="D296" s="9" t="s">
        <v>636</v>
      </c>
      <c r="E296" s="6"/>
      <c r="F296" s="52"/>
      <c r="P296" s="7"/>
    </row>
    <row r="297" spans="1:16">
      <c r="A297" s="10"/>
      <c r="B297" s="9" t="s">
        <v>995</v>
      </c>
      <c r="C297" s="9" t="s">
        <v>971</v>
      </c>
      <c r="D297" s="9" t="s">
        <v>996</v>
      </c>
      <c r="E297" s="6"/>
      <c r="F297" s="52"/>
      <c r="P297" s="7"/>
    </row>
    <row r="298" spans="1:16">
      <c r="A298" s="10"/>
      <c r="B298" s="9" t="s">
        <v>997</v>
      </c>
      <c r="C298" s="9" t="s">
        <v>888</v>
      </c>
      <c r="D298" s="9" t="s">
        <v>888</v>
      </c>
      <c r="E298" s="6"/>
      <c r="F298" s="52"/>
      <c r="P298" s="7"/>
    </row>
    <row r="299" spans="1:16">
      <c r="A299" s="10"/>
      <c r="B299" s="9" t="s">
        <v>998</v>
      </c>
      <c r="C299" s="9" t="s">
        <v>888</v>
      </c>
      <c r="D299" s="9" t="s">
        <v>888</v>
      </c>
      <c r="E299" s="6"/>
      <c r="F299" s="52"/>
      <c r="P299" s="7"/>
    </row>
    <row r="300" spans="1:16">
      <c r="A300" s="10"/>
      <c r="B300" s="9" t="s">
        <v>999</v>
      </c>
      <c r="C300" s="9" t="s">
        <v>1000</v>
      </c>
      <c r="D300" s="9" t="s">
        <v>1001</v>
      </c>
      <c r="E300" s="6"/>
      <c r="F300" s="52"/>
      <c r="P300" s="7"/>
    </row>
    <row r="301" spans="1:16">
      <c r="A301" s="10"/>
      <c r="B301" s="9" t="s">
        <v>1002</v>
      </c>
      <c r="C301" s="9" t="s">
        <v>1000</v>
      </c>
      <c r="D301" s="9" t="s">
        <v>1001</v>
      </c>
      <c r="E301" s="6"/>
      <c r="F301" s="52"/>
      <c r="P301" s="7"/>
    </row>
    <row r="302" spans="1:16">
      <c r="A302" s="10"/>
      <c r="B302" s="9" t="s">
        <v>1003</v>
      </c>
      <c r="C302" s="9" t="s">
        <v>1004</v>
      </c>
      <c r="D302" s="9" t="s">
        <v>1005</v>
      </c>
      <c r="E302" s="6"/>
      <c r="F302" s="52"/>
      <c r="P302" s="7"/>
    </row>
    <row r="303" spans="1:16">
      <c r="A303" s="10"/>
      <c r="B303" s="9" t="s">
        <v>1006</v>
      </c>
      <c r="C303" s="9" t="s">
        <v>1007</v>
      </c>
      <c r="D303" s="9" t="s">
        <v>1008</v>
      </c>
      <c r="E303" s="6"/>
      <c r="F303" s="52"/>
      <c r="P303" s="7"/>
    </row>
    <row r="304" spans="1:16">
      <c r="A304" s="10"/>
      <c r="B304" s="9" t="s">
        <v>1009</v>
      </c>
      <c r="C304" s="9" t="s">
        <v>1007</v>
      </c>
      <c r="D304" s="9" t="s">
        <v>1008</v>
      </c>
      <c r="E304" s="6"/>
      <c r="F304" s="52"/>
      <c r="P304" s="7"/>
    </row>
    <row r="305" spans="1:16">
      <c r="A305" s="10"/>
      <c r="B305" s="9" t="s">
        <v>1010</v>
      </c>
      <c r="C305" s="9" t="s">
        <v>1011</v>
      </c>
      <c r="D305" s="9" t="s">
        <v>1012</v>
      </c>
      <c r="E305" s="6"/>
      <c r="F305" s="52"/>
      <c r="P305" s="7"/>
    </row>
    <row r="306" spans="1:16">
      <c r="A306" s="10"/>
      <c r="B306" s="9" t="s">
        <v>1013</v>
      </c>
      <c r="C306" s="9" t="s">
        <v>821</v>
      </c>
      <c r="D306" s="9" t="s">
        <v>821</v>
      </c>
      <c r="E306" s="6"/>
      <c r="F306" s="52"/>
      <c r="K306" s="7"/>
      <c r="P306" s="7"/>
    </row>
    <row r="307" spans="1:16">
      <c r="A307" s="10"/>
      <c r="B307" s="9" t="s">
        <v>1014</v>
      </c>
      <c r="C307" s="9" t="s">
        <v>821</v>
      </c>
      <c r="D307" s="9" t="s">
        <v>821</v>
      </c>
      <c r="E307" s="6"/>
      <c r="F307" s="52"/>
      <c r="K307" s="7"/>
      <c r="P307" s="7"/>
    </row>
    <row r="308" spans="1:16">
      <c r="A308" s="10"/>
      <c r="B308" s="9" t="s">
        <v>1015</v>
      </c>
      <c r="C308" s="9" t="s">
        <v>1016</v>
      </c>
      <c r="D308" s="9" t="s">
        <v>1004</v>
      </c>
      <c r="E308" s="6"/>
      <c r="F308" s="52"/>
      <c r="P308" s="7"/>
    </row>
    <row r="309" spans="1:16">
      <c r="A309" s="10"/>
      <c r="B309" s="9" t="s">
        <v>1017</v>
      </c>
      <c r="C309" s="9" t="s">
        <v>876</v>
      </c>
      <c r="D309" s="9" t="s">
        <v>1007</v>
      </c>
      <c r="E309" s="6"/>
      <c r="F309" s="52"/>
      <c r="P309" s="7"/>
    </row>
    <row r="310" spans="1:16">
      <c r="A310" s="10"/>
      <c r="B310" s="9" t="s">
        <v>1018</v>
      </c>
      <c r="C310" s="9" t="s">
        <v>876</v>
      </c>
      <c r="D310" s="9" t="s">
        <v>1007</v>
      </c>
      <c r="E310" s="6"/>
      <c r="F310" s="52"/>
      <c r="P310" s="7"/>
    </row>
    <row r="311" spans="1:16">
      <c r="A311" s="10"/>
      <c r="B311" s="9" t="s">
        <v>1019</v>
      </c>
      <c r="C311" s="9" t="s">
        <v>1020</v>
      </c>
      <c r="D311" s="9" t="s">
        <v>841</v>
      </c>
      <c r="E311" s="6"/>
      <c r="F311" s="52"/>
      <c r="P311" s="7"/>
    </row>
    <row r="312" spans="1:16">
      <c r="A312" s="10"/>
      <c r="B312" s="9" t="s">
        <v>1021</v>
      </c>
      <c r="C312" s="9" t="s">
        <v>613</v>
      </c>
      <c r="D312" s="9" t="s">
        <v>613</v>
      </c>
      <c r="E312" s="6"/>
      <c r="F312" s="52"/>
      <c r="P312" s="7"/>
    </row>
    <row r="313" spans="1:16">
      <c r="A313" s="10"/>
      <c r="B313" s="9" t="s">
        <v>1022</v>
      </c>
      <c r="C313" s="9" t="s">
        <v>615</v>
      </c>
      <c r="D313" s="9" t="s">
        <v>615</v>
      </c>
      <c r="E313" s="6"/>
      <c r="F313" s="52"/>
      <c r="P313" s="7"/>
    </row>
    <row r="314" spans="1:16">
      <c r="A314" s="10"/>
      <c r="B314" s="9" t="s">
        <v>1023</v>
      </c>
      <c r="C314" s="9" t="s">
        <v>844</v>
      </c>
      <c r="D314" s="9" t="s">
        <v>844</v>
      </c>
      <c r="E314" s="6"/>
      <c r="F314" s="52"/>
      <c r="P314" s="7"/>
    </row>
    <row r="315" spans="1:16">
      <c r="A315" s="10"/>
      <c r="B315" s="9" t="s">
        <v>1024</v>
      </c>
      <c r="C315" s="9" t="s">
        <v>844</v>
      </c>
      <c r="D315" s="9" t="s">
        <v>844</v>
      </c>
      <c r="E315" s="6"/>
      <c r="F315" s="52"/>
      <c r="P315" s="7"/>
    </row>
    <row r="316" spans="1:16">
      <c r="A316" s="10"/>
      <c r="B316" s="9" t="s">
        <v>1025</v>
      </c>
      <c r="C316" s="9" t="s">
        <v>705</v>
      </c>
      <c r="D316" s="9" t="s">
        <v>705</v>
      </c>
      <c r="E316" s="6"/>
      <c r="F316" s="52"/>
      <c r="P316" s="7"/>
    </row>
    <row r="317" spans="1:16">
      <c r="A317" s="10"/>
      <c r="B317" s="9" t="s">
        <v>1026</v>
      </c>
      <c r="C317" s="9" t="s">
        <v>705</v>
      </c>
      <c r="D317" s="9" t="s">
        <v>705</v>
      </c>
      <c r="E317" s="6"/>
      <c r="F317" s="52"/>
      <c r="P317" s="7"/>
    </row>
    <row r="318" spans="1:16">
      <c r="A318" s="10"/>
      <c r="B318" s="9" t="s">
        <v>1027</v>
      </c>
      <c r="C318" s="9" t="s">
        <v>705</v>
      </c>
      <c r="D318" s="9" t="s">
        <v>705</v>
      </c>
      <c r="E318" s="6"/>
      <c r="F318" s="52"/>
      <c r="P318" s="7"/>
    </row>
    <row r="319" spans="1:16">
      <c r="A319" s="10"/>
      <c r="B319" s="9" t="s">
        <v>1028</v>
      </c>
      <c r="C319" s="9" t="s">
        <v>705</v>
      </c>
      <c r="D319" s="9" t="s">
        <v>705</v>
      </c>
      <c r="E319" s="6"/>
      <c r="F319" s="52"/>
      <c r="P319" s="7"/>
    </row>
    <row r="320" spans="1:16">
      <c r="A320" s="10"/>
      <c r="B320" s="9" t="s">
        <v>1029</v>
      </c>
      <c r="C320" s="9" t="s">
        <v>597</v>
      </c>
      <c r="D320" s="9" t="s">
        <v>597</v>
      </c>
      <c r="E320" s="6"/>
      <c r="F320" s="52"/>
      <c r="P320" s="7"/>
    </row>
    <row r="321" spans="1:16">
      <c r="A321" s="10"/>
      <c r="B321" s="9" t="s">
        <v>1030</v>
      </c>
      <c r="C321" s="9" t="s">
        <v>557</v>
      </c>
      <c r="D321" s="9" t="s">
        <v>557</v>
      </c>
      <c r="E321" s="6"/>
      <c r="F321" s="52"/>
      <c r="P321" s="7"/>
    </row>
    <row r="322" spans="1:16">
      <c r="A322" s="10"/>
      <c r="B322" s="9" t="s">
        <v>1031</v>
      </c>
      <c r="C322" s="9" t="s">
        <v>659</v>
      </c>
      <c r="D322" s="9" t="s">
        <v>659</v>
      </c>
      <c r="E322" s="6"/>
      <c r="F322" s="52"/>
      <c r="P322" s="7"/>
    </row>
    <row r="323" spans="1:16">
      <c r="A323" s="10"/>
      <c r="B323" s="9" t="s">
        <v>1032</v>
      </c>
      <c r="C323" s="9" t="s">
        <v>1033</v>
      </c>
      <c r="D323" s="9" t="s">
        <v>1033</v>
      </c>
      <c r="E323" s="6"/>
      <c r="F323" s="52"/>
      <c r="P323" s="7"/>
    </row>
    <row r="324" spans="1:16">
      <c r="A324" s="10"/>
      <c r="B324" s="9" t="s">
        <v>1034</v>
      </c>
      <c r="C324" s="9" t="s">
        <v>1035</v>
      </c>
      <c r="D324" s="9" t="s">
        <v>1035</v>
      </c>
      <c r="E324" s="6"/>
      <c r="F324" s="52"/>
      <c r="P324" s="7"/>
    </row>
    <row r="325" spans="1:16">
      <c r="A325" s="10"/>
      <c r="B325" s="9" t="s">
        <v>1036</v>
      </c>
      <c r="C325" s="9" t="s">
        <v>1037</v>
      </c>
      <c r="D325" s="9" t="s">
        <v>1037</v>
      </c>
      <c r="E325" s="6"/>
      <c r="F325" s="52"/>
      <c r="P325" s="7"/>
    </row>
    <row r="326" spans="1:16">
      <c r="A326" s="10"/>
      <c r="B326" s="9" t="s">
        <v>1038</v>
      </c>
      <c r="C326" s="12" t="s">
        <v>1037</v>
      </c>
      <c r="D326" s="12" t="s">
        <v>1037</v>
      </c>
      <c r="E326" s="6"/>
      <c r="F326" s="52"/>
      <c r="P326" s="7"/>
    </row>
    <row r="327" spans="1:16">
      <c r="A327" s="10"/>
      <c r="B327" s="9" t="s">
        <v>1039</v>
      </c>
      <c r="C327" s="12" t="s">
        <v>1037</v>
      </c>
      <c r="D327" s="12" t="s">
        <v>1037</v>
      </c>
      <c r="E327" s="6"/>
      <c r="F327" s="52"/>
      <c r="P327" s="7"/>
    </row>
    <row r="328" spans="1:16">
      <c r="A328" s="10"/>
      <c r="B328" s="9" t="s">
        <v>1040</v>
      </c>
      <c r="C328" s="12" t="s">
        <v>1037</v>
      </c>
      <c r="D328" s="12" t="s">
        <v>1037</v>
      </c>
      <c r="E328" s="6"/>
      <c r="F328" s="52"/>
      <c r="P328" s="7"/>
    </row>
    <row r="329" spans="1:16">
      <c r="A329" s="10"/>
      <c r="B329" s="9" t="s">
        <v>1041</v>
      </c>
      <c r="C329" s="12" t="s">
        <v>1037</v>
      </c>
      <c r="D329" s="12" t="s">
        <v>1037</v>
      </c>
      <c r="E329" s="6"/>
      <c r="F329" s="52"/>
      <c r="P329" s="7"/>
    </row>
    <row r="330" spans="1:16">
      <c r="A330" s="10"/>
      <c r="B330" s="9" t="s">
        <v>1042</v>
      </c>
      <c r="C330" s="12" t="s">
        <v>1037</v>
      </c>
      <c r="D330" s="12" t="s">
        <v>1037</v>
      </c>
      <c r="E330" s="6"/>
      <c r="F330" s="52"/>
      <c r="P330" s="7"/>
    </row>
    <row r="331" spans="1:16">
      <c r="A331" s="10"/>
      <c r="B331" s="9" t="s">
        <v>1043</v>
      </c>
      <c r="C331" s="9" t="s">
        <v>659</v>
      </c>
      <c r="D331" s="9" t="s">
        <v>659</v>
      </c>
      <c r="E331" s="6"/>
      <c r="F331" s="52"/>
      <c r="P331" s="7"/>
    </row>
    <row r="332" spans="1:16">
      <c r="A332" s="10"/>
      <c r="B332" s="9" t="s">
        <v>1044</v>
      </c>
      <c r="C332" s="9" t="s">
        <v>628</v>
      </c>
      <c r="D332" s="9" t="s">
        <v>628</v>
      </c>
      <c r="E332" s="6"/>
      <c r="F332" s="52"/>
      <c r="P332" s="7"/>
    </row>
    <row r="333" spans="1:16">
      <c r="A333" s="10"/>
      <c r="B333" s="9" t="s">
        <v>1045</v>
      </c>
      <c r="C333" s="9" t="s">
        <v>1046</v>
      </c>
      <c r="D333" s="9" t="s">
        <v>1046</v>
      </c>
      <c r="E333" s="6"/>
      <c r="F333" s="52"/>
      <c r="P333" s="7"/>
    </row>
    <row r="334" spans="1:16">
      <c r="A334" s="10"/>
      <c r="B334" s="9" t="s">
        <v>1047</v>
      </c>
      <c r="C334" s="9" t="s">
        <v>1048</v>
      </c>
      <c r="D334" s="9" t="s">
        <v>1048</v>
      </c>
      <c r="E334" s="6"/>
      <c r="F334" s="52"/>
      <c r="P334" s="7"/>
    </row>
    <row r="335" spans="1:16">
      <c r="A335" s="10"/>
      <c r="B335" s="9" t="s">
        <v>1049</v>
      </c>
      <c r="C335" s="9" t="s">
        <v>1048</v>
      </c>
      <c r="D335" s="9" t="s">
        <v>1048</v>
      </c>
      <c r="E335" s="6"/>
      <c r="F335" s="52"/>
      <c r="P335" s="7"/>
    </row>
    <row r="336" spans="1:16">
      <c r="A336" s="10"/>
      <c r="B336" s="9" t="s">
        <v>1050</v>
      </c>
      <c r="C336" s="9" t="s">
        <v>876</v>
      </c>
      <c r="D336" s="9" t="s">
        <v>876</v>
      </c>
      <c r="E336" s="6"/>
      <c r="F336" s="52"/>
      <c r="P336" s="7"/>
    </row>
    <row r="337" spans="1:16">
      <c r="A337" s="10"/>
      <c r="B337" s="9" t="s">
        <v>1051</v>
      </c>
      <c r="C337" s="9" t="s">
        <v>876</v>
      </c>
      <c r="D337" s="9" t="s">
        <v>876</v>
      </c>
      <c r="E337" s="6"/>
      <c r="F337" s="52"/>
      <c r="P337" s="7"/>
    </row>
    <row r="338" spans="1:16">
      <c r="A338" s="10"/>
      <c r="B338" s="9" t="s">
        <v>1052</v>
      </c>
      <c r="C338" s="9" t="s">
        <v>876</v>
      </c>
      <c r="D338" s="9" t="s">
        <v>876</v>
      </c>
      <c r="E338" s="6"/>
      <c r="F338" s="52"/>
      <c r="P338" s="7"/>
    </row>
    <row r="339" spans="1:16">
      <c r="A339" s="10"/>
      <c r="B339" s="9" t="s">
        <v>1053</v>
      </c>
      <c r="C339" s="9" t="s">
        <v>876</v>
      </c>
      <c r="D339" s="9" t="s">
        <v>876</v>
      </c>
      <c r="E339" s="6"/>
      <c r="F339" s="52"/>
      <c r="P339" s="7"/>
    </row>
    <row r="340" spans="1:16">
      <c r="A340" s="10"/>
      <c r="B340" s="9" t="s">
        <v>1054</v>
      </c>
      <c r="C340" s="9" t="s">
        <v>876</v>
      </c>
      <c r="D340" s="9" t="s">
        <v>876</v>
      </c>
      <c r="E340" s="6"/>
      <c r="F340" s="52"/>
      <c r="P340" s="7"/>
    </row>
    <row r="341" spans="1:16">
      <c r="A341" s="10"/>
      <c r="B341" s="9" t="s">
        <v>1055</v>
      </c>
      <c r="C341" s="9" t="s">
        <v>876</v>
      </c>
      <c r="D341" s="9" t="s">
        <v>876</v>
      </c>
      <c r="E341" s="6"/>
      <c r="F341" s="52"/>
      <c r="P341" s="7"/>
    </row>
    <row r="342" spans="1:16">
      <c r="A342" s="10"/>
      <c r="B342" s="9" t="s">
        <v>1056</v>
      </c>
      <c r="C342" s="9" t="s">
        <v>771</v>
      </c>
      <c r="D342" s="9" t="s">
        <v>771</v>
      </c>
      <c r="E342" s="6"/>
      <c r="F342" s="52"/>
      <c r="P342" s="7"/>
    </row>
    <row r="343" spans="1:16">
      <c r="A343" s="10"/>
      <c r="B343" s="9" t="s">
        <v>1057</v>
      </c>
      <c r="C343" s="9" t="s">
        <v>771</v>
      </c>
      <c r="D343" s="9" t="s">
        <v>771</v>
      </c>
      <c r="E343" s="6"/>
      <c r="F343" s="52"/>
      <c r="P343" s="7"/>
    </row>
    <row r="344" spans="1:16">
      <c r="A344" s="10"/>
      <c r="B344" s="9" t="s">
        <v>1058</v>
      </c>
      <c r="C344" s="9" t="s">
        <v>1059</v>
      </c>
      <c r="D344" s="9" t="s">
        <v>1059</v>
      </c>
      <c r="E344" s="6"/>
      <c r="F344" s="52"/>
      <c r="P344" s="7"/>
    </row>
    <row r="345" spans="1:16">
      <c r="A345" s="10"/>
      <c r="B345" s="9" t="s">
        <v>1060</v>
      </c>
      <c r="C345" s="9" t="s">
        <v>828</v>
      </c>
      <c r="D345" s="9" t="s">
        <v>828</v>
      </c>
      <c r="E345" s="6"/>
      <c r="F345" s="52"/>
      <c r="P345" s="7"/>
    </row>
    <row r="346" spans="1:16">
      <c r="A346" s="10"/>
      <c r="B346" s="9" t="s">
        <v>1061</v>
      </c>
      <c r="C346" s="9" t="s">
        <v>830</v>
      </c>
      <c r="D346" s="9" t="s">
        <v>830</v>
      </c>
      <c r="E346" s="6"/>
      <c r="F346" s="52"/>
      <c r="P346" s="7"/>
    </row>
    <row r="347" spans="1:16">
      <c r="A347" s="10"/>
      <c r="B347" s="9" t="s">
        <v>1062</v>
      </c>
      <c r="C347" s="9" t="s">
        <v>1063</v>
      </c>
      <c r="D347" s="9" t="s">
        <v>1063</v>
      </c>
      <c r="E347" s="6"/>
      <c r="F347" s="52"/>
      <c r="P347" s="7"/>
    </row>
    <row r="348" spans="1:16">
      <c r="A348" s="10"/>
      <c r="B348" s="9" t="s">
        <v>1064</v>
      </c>
      <c r="C348" s="9" t="s">
        <v>1063</v>
      </c>
      <c r="D348" s="9" t="s">
        <v>1063</v>
      </c>
      <c r="E348" s="6"/>
      <c r="F348" s="52"/>
      <c r="P348" s="7"/>
    </row>
    <row r="349" spans="1:16">
      <c r="A349" s="10"/>
      <c r="B349" s="9" t="s">
        <v>1065</v>
      </c>
      <c r="C349" s="9" t="s">
        <v>1066</v>
      </c>
      <c r="D349" s="9" t="s">
        <v>1066</v>
      </c>
      <c r="E349" s="6"/>
      <c r="F349" s="52"/>
      <c r="P349" s="7"/>
    </row>
    <row r="350" spans="1:16">
      <c r="A350" s="10"/>
      <c r="B350" s="9" t="s">
        <v>1067</v>
      </c>
      <c r="C350" s="9" t="s">
        <v>613</v>
      </c>
      <c r="D350" s="9" t="s">
        <v>613</v>
      </c>
      <c r="E350" s="6"/>
      <c r="F350" s="52"/>
      <c r="P350" s="7"/>
    </row>
    <row r="351" spans="1:16">
      <c r="A351" s="10"/>
      <c r="B351" s="9" t="s">
        <v>1068</v>
      </c>
      <c r="C351" s="9" t="s">
        <v>615</v>
      </c>
      <c r="D351" s="9" t="s">
        <v>615</v>
      </c>
      <c r="E351" s="6"/>
      <c r="F351" s="52"/>
      <c r="P351" s="7"/>
    </row>
    <row r="352" spans="1:16">
      <c r="A352" s="10"/>
      <c r="B352" s="9" t="s">
        <v>1069</v>
      </c>
      <c r="C352" s="9" t="s">
        <v>1070</v>
      </c>
      <c r="D352" s="9" t="s">
        <v>1070</v>
      </c>
      <c r="E352" s="6"/>
      <c r="F352" s="52"/>
      <c r="P352" s="7"/>
    </row>
    <row r="353" spans="1:16">
      <c r="A353" s="10"/>
      <c r="B353" s="9" t="s">
        <v>1071</v>
      </c>
      <c r="C353" s="9" t="s">
        <v>1072</v>
      </c>
      <c r="D353" s="9" t="s">
        <v>1072</v>
      </c>
      <c r="E353" s="6"/>
      <c r="F353" s="52"/>
      <c r="P353" s="7"/>
    </row>
    <row r="354" spans="1:16">
      <c r="A354" s="10"/>
      <c r="B354" s="9" t="s">
        <v>1073</v>
      </c>
      <c r="C354" s="9" t="s">
        <v>1048</v>
      </c>
      <c r="D354" s="9" t="s">
        <v>1048</v>
      </c>
      <c r="E354" s="6"/>
      <c r="F354" s="52"/>
      <c r="P354" s="7"/>
    </row>
    <row r="355" spans="1:16">
      <c r="A355" s="10"/>
      <c r="B355" s="9" t="s">
        <v>1074</v>
      </c>
      <c r="C355" s="9" t="s">
        <v>613</v>
      </c>
      <c r="D355" s="9" t="s">
        <v>613</v>
      </c>
      <c r="E355" s="6"/>
      <c r="F355" s="52"/>
      <c r="P355" s="7"/>
    </row>
    <row r="356" spans="1:16">
      <c r="A356" s="10"/>
      <c r="B356" s="9" t="s">
        <v>1075</v>
      </c>
      <c r="C356" s="9" t="s">
        <v>615</v>
      </c>
      <c r="D356" s="9" t="s">
        <v>615</v>
      </c>
      <c r="E356" s="6"/>
      <c r="F356" s="52"/>
      <c r="P356" s="7"/>
    </row>
    <row r="357" spans="1:16">
      <c r="A357" s="10"/>
      <c r="B357" s="9" t="s">
        <v>1076</v>
      </c>
      <c r="C357" s="9" t="s">
        <v>557</v>
      </c>
      <c r="D357" s="9" t="s">
        <v>557</v>
      </c>
      <c r="E357" s="6"/>
      <c r="F357" s="52"/>
      <c r="P357" s="7"/>
    </row>
    <row r="358" spans="1:16">
      <c r="A358" s="10"/>
      <c r="B358" s="9" t="s">
        <v>1077</v>
      </c>
      <c r="C358" s="9" t="s">
        <v>559</v>
      </c>
      <c r="D358" s="9" t="s">
        <v>559</v>
      </c>
      <c r="E358" s="6"/>
      <c r="F358" s="52"/>
      <c r="P358" s="7"/>
    </row>
    <row r="359" spans="1:16">
      <c r="A359" s="10"/>
      <c r="B359" s="9" t="s">
        <v>1078</v>
      </c>
      <c r="C359" s="9" t="s">
        <v>659</v>
      </c>
      <c r="D359" s="9" t="s">
        <v>659</v>
      </c>
      <c r="E359" s="6"/>
      <c r="F359" s="52"/>
      <c r="P359" s="7"/>
    </row>
    <row r="360" spans="1:16">
      <c r="A360" s="10"/>
      <c r="B360" s="9" t="s">
        <v>1079</v>
      </c>
      <c r="C360" s="9" t="s">
        <v>659</v>
      </c>
      <c r="D360" s="9" t="s">
        <v>659</v>
      </c>
      <c r="E360" s="6"/>
      <c r="F360" s="52"/>
      <c r="P360" s="7"/>
    </row>
    <row r="361" spans="1:16">
      <c r="A361" s="10"/>
      <c r="B361" s="9" t="s">
        <v>1080</v>
      </c>
      <c r="C361" s="9" t="s">
        <v>659</v>
      </c>
      <c r="D361" s="9" t="s">
        <v>659</v>
      </c>
      <c r="E361" s="6"/>
      <c r="F361" s="52"/>
      <c r="P361" s="7"/>
    </row>
    <row r="362" spans="1:16">
      <c r="A362" s="10"/>
      <c r="B362" s="9" t="s">
        <v>1081</v>
      </c>
      <c r="C362" s="9" t="s">
        <v>659</v>
      </c>
      <c r="D362" s="9" t="s">
        <v>659</v>
      </c>
      <c r="E362" s="6"/>
      <c r="F362" s="52"/>
      <c r="P362" s="7"/>
    </row>
    <row r="363" spans="1:16">
      <c r="A363" s="10"/>
      <c r="B363" s="9" t="s">
        <v>1082</v>
      </c>
      <c r="C363" s="9" t="s">
        <v>1083</v>
      </c>
      <c r="D363" s="9" t="s">
        <v>1083</v>
      </c>
      <c r="E363" s="6"/>
      <c r="F363" s="52"/>
      <c r="P363" s="7"/>
    </row>
    <row r="364" spans="1:16">
      <c r="A364" s="10"/>
      <c r="B364" s="9" t="s">
        <v>1084</v>
      </c>
      <c r="C364" s="9" t="s">
        <v>1085</v>
      </c>
      <c r="D364" s="9" t="s">
        <v>1085</v>
      </c>
      <c r="E364" s="6"/>
      <c r="F364" s="52"/>
      <c r="P364" s="7"/>
    </row>
    <row r="365" spans="1:16">
      <c r="A365" s="10"/>
      <c r="B365" s="9" t="s">
        <v>1086</v>
      </c>
      <c r="C365" s="9" t="s">
        <v>573</v>
      </c>
      <c r="D365" s="9" t="s">
        <v>573</v>
      </c>
      <c r="E365" s="6"/>
      <c r="F365" s="52"/>
      <c r="P365" s="7"/>
    </row>
    <row r="366" spans="1:16">
      <c r="A366" s="10"/>
      <c r="B366" s="9" t="s">
        <v>1087</v>
      </c>
      <c r="C366" s="9" t="s">
        <v>1088</v>
      </c>
      <c r="D366" s="9" t="s">
        <v>1088</v>
      </c>
      <c r="E366" s="6"/>
      <c r="F366" s="52"/>
      <c r="P366" s="7"/>
    </row>
    <row r="367" spans="1:16">
      <c r="A367" s="10"/>
      <c r="B367" s="9" t="s">
        <v>1089</v>
      </c>
      <c r="C367" s="9" t="s">
        <v>1088</v>
      </c>
      <c r="D367" s="9" t="s">
        <v>1088</v>
      </c>
      <c r="E367" s="6"/>
      <c r="F367" s="52"/>
      <c r="P367" s="7"/>
    </row>
    <row r="368" spans="1:16">
      <c r="A368" s="10"/>
      <c r="B368" s="9" t="s">
        <v>1090</v>
      </c>
      <c r="C368" s="9" t="s">
        <v>891</v>
      </c>
      <c r="D368" s="9" t="s">
        <v>891</v>
      </c>
      <c r="E368" s="6"/>
      <c r="F368" s="52"/>
      <c r="P368" s="7"/>
    </row>
    <row r="369" spans="1:16">
      <c r="A369" s="10"/>
      <c r="B369" s="9" t="s">
        <v>1091</v>
      </c>
      <c r="C369" s="9" t="s">
        <v>557</v>
      </c>
      <c r="D369" s="9" t="s">
        <v>557</v>
      </c>
      <c r="E369" s="6"/>
      <c r="F369" s="52"/>
      <c r="P369" s="7"/>
    </row>
    <row r="370" spans="1:16">
      <c r="A370" s="10"/>
      <c r="B370" s="9" t="s">
        <v>1092</v>
      </c>
      <c r="C370" s="9" t="s">
        <v>559</v>
      </c>
      <c r="D370" s="9" t="s">
        <v>559</v>
      </c>
      <c r="E370" s="6"/>
      <c r="F370" s="52"/>
      <c r="P370" s="7"/>
    </row>
    <row r="371" spans="1:16">
      <c r="A371" s="10"/>
      <c r="B371" s="9" t="s">
        <v>1093</v>
      </c>
      <c r="C371" s="9" t="s">
        <v>563</v>
      </c>
      <c r="D371" s="9" t="s">
        <v>563</v>
      </c>
      <c r="E371" s="6"/>
      <c r="F371" s="52"/>
      <c r="P371" s="7"/>
    </row>
    <row r="372" spans="1:16">
      <c r="A372" s="10"/>
      <c r="B372" s="9" t="s">
        <v>1094</v>
      </c>
      <c r="C372" s="9" t="s">
        <v>1095</v>
      </c>
      <c r="D372" s="9" t="s">
        <v>1095</v>
      </c>
      <c r="E372" s="6"/>
      <c r="F372" s="52"/>
      <c r="P372" s="7"/>
    </row>
    <row r="373" spans="1:16">
      <c r="A373" s="10"/>
      <c r="B373" s="9" t="s">
        <v>1096</v>
      </c>
      <c r="C373" s="9" t="s">
        <v>1097</v>
      </c>
      <c r="D373" s="9" t="s">
        <v>1097</v>
      </c>
      <c r="E373" s="6"/>
      <c r="F373" s="52"/>
      <c r="P373" s="7"/>
    </row>
    <row r="374" spans="1:16">
      <c r="A374" s="10"/>
      <c r="B374" s="9" t="s">
        <v>1098</v>
      </c>
      <c r="C374" s="9" t="s">
        <v>607</v>
      </c>
      <c r="D374" s="9" t="s">
        <v>607</v>
      </c>
      <c r="E374" s="6"/>
      <c r="F374" s="52"/>
      <c r="P374" s="7"/>
    </row>
    <row r="375" spans="1:16">
      <c r="A375" s="10"/>
      <c r="B375" s="9" t="s">
        <v>1099</v>
      </c>
      <c r="C375" s="9" t="s">
        <v>1100</v>
      </c>
      <c r="D375" s="9" t="s">
        <v>1100</v>
      </c>
      <c r="E375" s="6"/>
      <c r="F375" s="52"/>
      <c r="P375" s="7"/>
    </row>
    <row r="376" spans="1:16">
      <c r="A376" s="10"/>
      <c r="B376" s="9" t="s">
        <v>1101</v>
      </c>
      <c r="C376" s="9" t="s">
        <v>1100</v>
      </c>
      <c r="D376" s="9" t="s">
        <v>1100</v>
      </c>
      <c r="E376" s="6"/>
      <c r="F376" s="52"/>
      <c r="P376" s="7"/>
    </row>
    <row r="377" spans="1:16">
      <c r="A377" s="10"/>
      <c r="B377" s="9" t="s">
        <v>1102</v>
      </c>
      <c r="C377" s="9" t="s">
        <v>765</v>
      </c>
      <c r="D377" s="9" t="s">
        <v>765</v>
      </c>
      <c r="E377" s="6"/>
      <c r="F377" s="52"/>
      <c r="P377" s="7"/>
    </row>
    <row r="378" spans="1:16">
      <c r="A378" s="10"/>
      <c r="B378" s="9" t="s">
        <v>1103</v>
      </c>
      <c r="C378" s="9" t="s">
        <v>765</v>
      </c>
      <c r="D378" s="9" t="s">
        <v>765</v>
      </c>
      <c r="E378" s="6"/>
      <c r="F378" s="52"/>
      <c r="P378" s="7"/>
    </row>
    <row r="379" spans="1:16">
      <c r="A379" s="10"/>
      <c r="B379" s="9" t="s">
        <v>1104</v>
      </c>
      <c r="C379" s="9" t="s">
        <v>765</v>
      </c>
      <c r="D379" s="9" t="s">
        <v>765</v>
      </c>
      <c r="E379" s="6"/>
      <c r="F379" s="52"/>
      <c r="P379" s="7"/>
    </row>
    <row r="380" spans="1:16">
      <c r="A380" s="10"/>
      <c r="B380" s="9" t="s">
        <v>1105</v>
      </c>
      <c r="C380" s="9" t="s">
        <v>765</v>
      </c>
      <c r="D380" s="9" t="s">
        <v>765</v>
      </c>
      <c r="E380" s="6"/>
      <c r="F380" s="52"/>
      <c r="P380" s="7"/>
    </row>
    <row r="381" spans="1:16">
      <c r="A381" s="10"/>
      <c r="B381" s="9" t="s">
        <v>1106</v>
      </c>
      <c r="C381" s="9" t="s">
        <v>805</v>
      </c>
      <c r="D381" s="9" t="s">
        <v>805</v>
      </c>
      <c r="E381" s="6"/>
      <c r="F381" s="52"/>
      <c r="P381" s="7"/>
    </row>
    <row r="382" spans="1:16">
      <c r="A382" s="10"/>
      <c r="B382" s="9" t="s">
        <v>1107</v>
      </c>
      <c r="C382" s="9" t="s">
        <v>805</v>
      </c>
      <c r="D382" s="9" t="s">
        <v>805</v>
      </c>
      <c r="E382" s="6"/>
      <c r="F382" s="52"/>
      <c r="P382" s="7"/>
    </row>
    <row r="383" spans="1:16">
      <c r="A383" s="10"/>
      <c r="B383" s="9" t="s">
        <v>1108</v>
      </c>
      <c r="C383" s="9" t="s">
        <v>876</v>
      </c>
      <c r="D383" s="9" t="s">
        <v>876</v>
      </c>
      <c r="E383" s="6"/>
      <c r="F383" s="52"/>
      <c r="P383" s="7"/>
    </row>
    <row r="384" spans="1:16">
      <c r="A384" s="10"/>
      <c r="B384" s="9" t="s">
        <v>1109</v>
      </c>
      <c r="C384" s="9" t="s">
        <v>1110</v>
      </c>
      <c r="D384" s="9" t="s">
        <v>785</v>
      </c>
      <c r="E384" s="6"/>
      <c r="F384" s="52"/>
      <c r="P384" s="7"/>
    </row>
    <row r="385" spans="1:16">
      <c r="A385" s="10"/>
      <c r="B385" s="9" t="s">
        <v>1111</v>
      </c>
      <c r="C385" s="9" t="s">
        <v>1110</v>
      </c>
      <c r="D385" s="9" t="s">
        <v>785</v>
      </c>
      <c r="E385" s="6"/>
      <c r="F385" s="52"/>
      <c r="P385" s="7"/>
    </row>
    <row r="386" spans="1:16">
      <c r="A386" s="10"/>
      <c r="B386" s="9" t="s">
        <v>1112</v>
      </c>
      <c r="C386" s="9" t="s">
        <v>1113</v>
      </c>
      <c r="D386" s="9" t="s">
        <v>1113</v>
      </c>
      <c r="E386" s="6"/>
      <c r="F386" s="52"/>
      <c r="P386" s="7"/>
    </row>
    <row r="387" spans="1:16">
      <c r="A387" s="10"/>
      <c r="B387" s="9" t="s">
        <v>1114</v>
      </c>
      <c r="C387" s="9" t="s">
        <v>879</v>
      </c>
      <c r="D387" s="9" t="s">
        <v>879</v>
      </c>
      <c r="E387" s="6"/>
      <c r="F387" s="52"/>
      <c r="P387" s="7"/>
    </row>
    <row r="388" spans="1:16">
      <c r="A388" s="10"/>
      <c r="B388" s="9" t="s">
        <v>1115</v>
      </c>
      <c r="C388" s="9" t="s">
        <v>879</v>
      </c>
      <c r="D388" s="9" t="s">
        <v>879</v>
      </c>
      <c r="E388" s="6"/>
      <c r="F388" s="52"/>
      <c r="P388" s="7"/>
    </row>
    <row r="389" spans="1:16">
      <c r="A389" s="10"/>
      <c r="B389" s="9" t="s">
        <v>1116</v>
      </c>
      <c r="C389" s="9" t="s">
        <v>1113</v>
      </c>
      <c r="D389" s="9" t="s">
        <v>1113</v>
      </c>
      <c r="E389" s="6"/>
      <c r="F389" s="52"/>
      <c r="P389" s="7"/>
    </row>
    <row r="390" spans="1:16">
      <c r="A390" s="10"/>
      <c r="B390" s="9" t="s">
        <v>1117</v>
      </c>
      <c r="C390" s="9" t="s">
        <v>1113</v>
      </c>
      <c r="D390" s="9" t="s">
        <v>1113</v>
      </c>
      <c r="E390" s="6"/>
      <c r="F390" s="52"/>
      <c r="P390" s="7"/>
    </row>
    <row r="391" spans="1:16">
      <c r="A391" s="10"/>
      <c r="B391" s="9" t="s">
        <v>1118</v>
      </c>
      <c r="C391" s="9" t="s">
        <v>1113</v>
      </c>
      <c r="D391" s="9" t="s">
        <v>1113</v>
      </c>
      <c r="E391" s="6"/>
      <c r="F391" s="52"/>
      <c r="P391" s="7"/>
    </row>
    <row r="392" spans="1:16">
      <c r="A392" s="10"/>
      <c r="B392" s="9" t="s">
        <v>1119</v>
      </c>
      <c r="C392" s="9" t="s">
        <v>1113</v>
      </c>
      <c r="D392" s="9" t="s">
        <v>1113</v>
      </c>
      <c r="E392" s="6"/>
      <c r="F392" s="52"/>
      <c r="P392" s="7"/>
    </row>
    <row r="393" spans="1:16">
      <c r="A393" s="10"/>
      <c r="B393" s="9" t="s">
        <v>1120</v>
      </c>
      <c r="C393" s="12" t="s">
        <v>567</v>
      </c>
      <c r="D393" s="12" t="s">
        <v>567</v>
      </c>
      <c r="E393" s="6"/>
      <c r="F393" s="52"/>
      <c r="P393" s="7"/>
    </row>
    <row r="394" spans="1:16">
      <c r="A394" s="10"/>
      <c r="B394" s="9" t="s">
        <v>1121</v>
      </c>
      <c r="C394" s="12" t="s">
        <v>567</v>
      </c>
      <c r="D394" s="12" t="s">
        <v>567</v>
      </c>
      <c r="E394" s="6"/>
      <c r="F394" s="52"/>
      <c r="P394" s="7"/>
    </row>
    <row r="395" spans="1:16">
      <c r="A395" s="10"/>
      <c r="B395" s="9" t="s">
        <v>1122</v>
      </c>
      <c r="C395" s="9" t="s">
        <v>908</v>
      </c>
      <c r="D395" s="9" t="s">
        <v>876</v>
      </c>
      <c r="E395" s="6"/>
      <c r="F395" s="52"/>
      <c r="P395" s="7"/>
    </row>
    <row r="396" spans="1:16">
      <c r="A396" s="10"/>
      <c r="B396" s="9" t="s">
        <v>1123</v>
      </c>
      <c r="C396" s="9" t="s">
        <v>908</v>
      </c>
      <c r="D396" s="9" t="s">
        <v>876</v>
      </c>
      <c r="E396" s="6"/>
      <c r="F396" s="52"/>
      <c r="P396" s="7"/>
    </row>
    <row r="397" spans="1:16">
      <c r="A397" s="10"/>
      <c r="B397" s="9" t="s">
        <v>1124</v>
      </c>
      <c r="C397" s="9" t="s">
        <v>1125</v>
      </c>
      <c r="D397" s="9" t="s">
        <v>1125</v>
      </c>
      <c r="E397" s="6"/>
      <c r="F397" s="52"/>
      <c r="P397" s="7"/>
    </row>
    <row r="398" spans="1:16">
      <c r="A398" s="10"/>
      <c r="B398" s="9" t="s">
        <v>1126</v>
      </c>
      <c r="C398" s="12" t="s">
        <v>958</v>
      </c>
      <c r="D398" s="12" t="s">
        <v>958</v>
      </c>
      <c r="E398" s="6"/>
      <c r="F398" s="52"/>
      <c r="P398" s="7"/>
    </row>
    <row r="399" spans="1:16">
      <c r="A399" s="10"/>
      <c r="B399" s="9" t="s">
        <v>1127</v>
      </c>
      <c r="C399" s="12" t="s">
        <v>958</v>
      </c>
      <c r="D399" s="12" t="s">
        <v>958</v>
      </c>
      <c r="E399" s="6"/>
      <c r="F399" s="52"/>
      <c r="P399" s="7"/>
    </row>
    <row r="400" spans="1:16">
      <c r="A400" s="10"/>
      <c r="B400" s="9" t="s">
        <v>1128</v>
      </c>
      <c r="C400" s="9" t="s">
        <v>1129</v>
      </c>
      <c r="D400" s="9" t="s">
        <v>773</v>
      </c>
      <c r="E400" s="6"/>
      <c r="F400" s="52"/>
      <c r="P400" s="7"/>
    </row>
    <row r="401" spans="1:16">
      <c r="A401" s="10"/>
      <c r="B401" s="9" t="s">
        <v>1130</v>
      </c>
      <c r="C401" s="9" t="s">
        <v>1129</v>
      </c>
      <c r="D401" s="9" t="s">
        <v>773</v>
      </c>
      <c r="E401" s="6"/>
      <c r="F401" s="52"/>
      <c r="P401" s="7"/>
    </row>
    <row r="402" spans="1:16">
      <c r="A402" s="10"/>
      <c r="B402" s="9" t="s">
        <v>1131</v>
      </c>
      <c r="C402" s="9" t="s">
        <v>1132</v>
      </c>
      <c r="D402" s="9" t="s">
        <v>1132</v>
      </c>
      <c r="E402" s="6"/>
      <c r="F402" s="52"/>
      <c r="P402" s="7"/>
    </row>
    <row r="403" spans="1:16">
      <c r="A403" s="10"/>
      <c r="B403" s="9" t="s">
        <v>1133</v>
      </c>
      <c r="C403" s="9" t="s">
        <v>1134</v>
      </c>
      <c r="D403" s="9" t="s">
        <v>1134</v>
      </c>
      <c r="E403" s="6"/>
      <c r="F403" s="52"/>
      <c r="P403" s="7"/>
    </row>
    <row r="404" spans="1:16">
      <c r="A404" s="10"/>
      <c r="B404" s="9" t="s">
        <v>1135</v>
      </c>
      <c r="C404" s="9" t="s">
        <v>1136</v>
      </c>
      <c r="D404" s="9" t="s">
        <v>1136</v>
      </c>
      <c r="E404" s="6"/>
      <c r="F404" s="52"/>
      <c r="P404" s="7"/>
    </row>
    <row r="405" spans="1:16">
      <c r="A405" s="10"/>
      <c r="B405" s="9" t="s">
        <v>1137</v>
      </c>
      <c r="C405" s="9" t="s">
        <v>664</v>
      </c>
      <c r="D405" s="9" t="s">
        <v>664</v>
      </c>
      <c r="E405" s="6"/>
      <c r="F405" s="52"/>
      <c r="P405" s="7"/>
    </row>
    <row r="406" spans="1:16">
      <c r="A406" s="10"/>
      <c r="B406" s="9" t="s">
        <v>1138</v>
      </c>
      <c r="C406" s="9" t="s">
        <v>664</v>
      </c>
      <c r="D406" s="9" t="s">
        <v>664</v>
      </c>
      <c r="E406" s="6"/>
      <c r="F406" s="52"/>
      <c r="P406" s="7"/>
    </row>
    <row r="407" spans="1:16">
      <c r="A407" s="10"/>
      <c r="B407" s="9" t="s">
        <v>1139</v>
      </c>
      <c r="C407" s="9" t="s">
        <v>1140</v>
      </c>
      <c r="D407" s="9" t="s">
        <v>1140</v>
      </c>
      <c r="E407" s="6"/>
      <c r="F407" s="52"/>
      <c r="P407" s="7"/>
    </row>
    <row r="408" spans="1:16">
      <c r="A408" s="10"/>
      <c r="B408" s="9" t="s">
        <v>1141</v>
      </c>
      <c r="C408" s="9" t="s">
        <v>1140</v>
      </c>
      <c r="D408" s="9" t="s">
        <v>1140</v>
      </c>
      <c r="E408" s="6"/>
      <c r="F408" s="52"/>
      <c r="P408" s="7"/>
    </row>
    <row r="409" spans="1:16">
      <c r="A409" s="10"/>
      <c r="B409" s="9" t="s">
        <v>1142</v>
      </c>
      <c r="C409" s="9" t="s">
        <v>1140</v>
      </c>
      <c r="D409" s="9" t="s">
        <v>1140</v>
      </c>
      <c r="E409" s="6"/>
      <c r="F409" s="52"/>
      <c r="P409" s="7"/>
    </row>
    <row r="410" spans="1:16">
      <c r="A410" s="10"/>
      <c r="B410" s="9" t="s">
        <v>1143</v>
      </c>
      <c r="C410" s="9" t="s">
        <v>1140</v>
      </c>
      <c r="D410" s="9" t="s">
        <v>1140</v>
      </c>
      <c r="E410" s="6"/>
      <c r="F410" s="52"/>
      <c r="P410" s="7"/>
    </row>
    <row r="411" spans="1:16">
      <c r="A411" s="10"/>
      <c r="B411" s="9" t="s">
        <v>1144</v>
      </c>
      <c r="C411" s="9" t="s">
        <v>1145</v>
      </c>
      <c r="D411" s="9" t="s">
        <v>1145</v>
      </c>
      <c r="E411" s="6"/>
      <c r="F411" s="52"/>
      <c r="P411" s="7"/>
    </row>
    <row r="412" spans="1:16">
      <c r="A412" s="10"/>
      <c r="B412" s="9" t="s">
        <v>1146</v>
      </c>
      <c r="C412" s="9" t="s">
        <v>1147</v>
      </c>
      <c r="D412" s="9" t="s">
        <v>1147</v>
      </c>
      <c r="E412" s="6"/>
      <c r="F412" s="52"/>
      <c r="P412" s="7"/>
    </row>
    <row r="413" spans="1:16">
      <c r="A413" s="10"/>
      <c r="B413" s="9" t="s">
        <v>1148</v>
      </c>
      <c r="C413" s="9" t="s">
        <v>792</v>
      </c>
      <c r="D413" s="9" t="s">
        <v>792</v>
      </c>
      <c r="E413" s="6"/>
      <c r="F413" s="52"/>
      <c r="P413" s="7"/>
    </row>
    <row r="414" spans="1:16">
      <c r="A414" s="10"/>
      <c r="B414" s="9" t="s">
        <v>1149</v>
      </c>
      <c r="C414" s="12" t="s">
        <v>792</v>
      </c>
      <c r="D414" s="12" t="s">
        <v>792</v>
      </c>
      <c r="E414" s="6"/>
      <c r="F414" s="52"/>
      <c r="P414" s="7"/>
    </row>
    <row r="415" spans="1:16">
      <c r="A415" s="10"/>
      <c r="B415" s="9" t="s">
        <v>1150</v>
      </c>
      <c r="C415" s="12" t="s">
        <v>792</v>
      </c>
      <c r="D415" s="12" t="s">
        <v>792</v>
      </c>
      <c r="E415" s="6"/>
      <c r="F415" s="52"/>
      <c r="P415" s="7"/>
    </row>
    <row r="416" spans="1:16">
      <c r="A416" s="10"/>
      <c r="B416" s="9" t="s">
        <v>1151</v>
      </c>
      <c r="C416" s="12" t="s">
        <v>792</v>
      </c>
      <c r="D416" s="12" t="s">
        <v>792</v>
      </c>
      <c r="E416" s="6"/>
      <c r="F416" s="52"/>
      <c r="P416" s="7"/>
    </row>
    <row r="417" spans="1:16">
      <c r="A417" s="10"/>
      <c r="B417" s="9" t="s">
        <v>1152</v>
      </c>
      <c r="C417" s="9" t="s">
        <v>792</v>
      </c>
      <c r="D417" s="9" t="s">
        <v>792</v>
      </c>
      <c r="E417" s="6"/>
      <c r="F417" s="52"/>
      <c r="P417" s="7"/>
    </row>
    <row r="418" spans="1:16">
      <c r="A418" s="10"/>
      <c r="B418" s="9" t="s">
        <v>1153</v>
      </c>
      <c r="C418" s="9" t="s">
        <v>792</v>
      </c>
      <c r="D418" s="9" t="s">
        <v>792</v>
      </c>
      <c r="E418" s="6"/>
      <c r="F418" s="52"/>
      <c r="P418" s="7"/>
    </row>
    <row r="419" spans="1:16">
      <c r="A419" s="10"/>
      <c r="B419" s="9" t="s">
        <v>1154</v>
      </c>
      <c r="C419" s="9" t="s">
        <v>792</v>
      </c>
      <c r="D419" s="9" t="s">
        <v>792</v>
      </c>
      <c r="E419" s="6"/>
      <c r="F419" s="52"/>
      <c r="P419" s="7"/>
    </row>
    <row r="420" spans="1:16">
      <c r="A420" s="10"/>
      <c r="B420" s="9" t="s">
        <v>1155</v>
      </c>
      <c r="C420" s="9" t="s">
        <v>792</v>
      </c>
      <c r="D420" s="9" t="s">
        <v>792</v>
      </c>
      <c r="E420" s="6"/>
      <c r="F420" s="52"/>
      <c r="P420" s="7"/>
    </row>
    <row r="421" spans="1:16">
      <c r="A421" s="10"/>
      <c r="B421" s="9" t="s">
        <v>1156</v>
      </c>
      <c r="C421" s="9" t="s">
        <v>792</v>
      </c>
      <c r="D421" s="9" t="s">
        <v>792</v>
      </c>
      <c r="E421" s="6"/>
      <c r="F421" s="52"/>
      <c r="P421" s="7"/>
    </row>
    <row r="422" spans="1:16">
      <c r="A422" s="10"/>
      <c r="B422" s="9" t="s">
        <v>1157</v>
      </c>
      <c r="C422" s="12" t="s">
        <v>792</v>
      </c>
      <c r="D422" s="12" t="s">
        <v>792</v>
      </c>
      <c r="E422" s="6"/>
      <c r="F422" s="52"/>
      <c r="P422" s="7"/>
    </row>
    <row r="423" spans="1:16">
      <c r="A423" s="10"/>
      <c r="B423" s="9" t="s">
        <v>1158</v>
      </c>
      <c r="C423" s="12" t="s">
        <v>792</v>
      </c>
      <c r="D423" s="12" t="s">
        <v>792</v>
      </c>
      <c r="E423" s="6"/>
      <c r="F423" s="52"/>
      <c r="P423" s="7"/>
    </row>
    <row r="424" spans="1:16">
      <c r="A424" s="10"/>
      <c r="B424" s="9" t="s">
        <v>1159</v>
      </c>
      <c r="C424" s="12" t="s">
        <v>792</v>
      </c>
      <c r="D424" s="12" t="s">
        <v>792</v>
      </c>
      <c r="E424" s="6"/>
      <c r="F424" s="52"/>
      <c r="P424" s="7"/>
    </row>
    <row r="425" spans="1:16">
      <c r="A425" s="10"/>
      <c r="B425" s="9" t="s">
        <v>1160</v>
      </c>
      <c r="C425" s="9" t="s">
        <v>588</v>
      </c>
      <c r="D425" s="9" t="s">
        <v>588</v>
      </c>
      <c r="E425" s="6"/>
      <c r="F425" s="52"/>
      <c r="P425" s="7"/>
    </row>
    <row r="426" spans="1:16">
      <c r="A426" s="10"/>
      <c r="B426" s="9" t="s">
        <v>1161</v>
      </c>
      <c r="C426" s="9" t="s">
        <v>796</v>
      </c>
      <c r="D426" s="9" t="s">
        <v>796</v>
      </c>
      <c r="E426" s="6"/>
      <c r="F426" s="52"/>
      <c r="P426" s="7"/>
    </row>
    <row r="427" spans="1:16">
      <c r="A427" s="10"/>
      <c r="B427" s="9" t="s">
        <v>1162</v>
      </c>
      <c r="C427" s="9" t="s">
        <v>783</v>
      </c>
      <c r="D427" s="9" t="s">
        <v>783</v>
      </c>
      <c r="E427" s="6"/>
      <c r="F427" s="52"/>
      <c r="P427" s="7"/>
    </row>
    <row r="428" spans="1:16">
      <c r="A428" s="10"/>
      <c r="B428" s="9" t="s">
        <v>1163</v>
      </c>
      <c r="C428" s="9" t="s">
        <v>1164</v>
      </c>
      <c r="D428" s="9" t="s">
        <v>1165</v>
      </c>
      <c r="E428" s="6"/>
      <c r="F428" s="52"/>
      <c r="P428" s="7"/>
    </row>
    <row r="429" spans="1:16">
      <c r="A429" s="10"/>
      <c r="B429" s="9" t="s">
        <v>1166</v>
      </c>
      <c r="C429" s="9" t="s">
        <v>1164</v>
      </c>
      <c r="D429" s="9" t="s">
        <v>1165</v>
      </c>
      <c r="E429" s="6"/>
      <c r="F429" s="52"/>
      <c r="P429" s="7"/>
    </row>
    <row r="430" spans="1:16">
      <c r="A430" s="10"/>
      <c r="B430" s="9" t="s">
        <v>1167</v>
      </c>
      <c r="C430" s="9" t="s">
        <v>767</v>
      </c>
      <c r="D430" s="9" t="s">
        <v>1140</v>
      </c>
      <c r="E430" s="6"/>
      <c r="F430" s="52"/>
      <c r="P430" s="7"/>
    </row>
    <row r="431" spans="1:16">
      <c r="A431" s="10"/>
      <c r="B431" s="9" t="s">
        <v>1168</v>
      </c>
      <c r="C431" s="9" t="s">
        <v>751</v>
      </c>
      <c r="D431" s="9" t="s">
        <v>740</v>
      </c>
      <c r="E431" s="6"/>
      <c r="F431" s="52"/>
      <c r="P431" s="7"/>
    </row>
    <row r="432" spans="1:16">
      <c r="A432" s="10"/>
      <c r="B432" s="9" t="s">
        <v>1169</v>
      </c>
      <c r="C432" s="9" t="s">
        <v>751</v>
      </c>
      <c r="D432" s="9" t="s">
        <v>740</v>
      </c>
      <c r="E432" s="6"/>
      <c r="F432" s="52"/>
      <c r="P432" s="7"/>
    </row>
    <row r="433" spans="1:16">
      <c r="A433" s="10"/>
      <c r="B433" s="9" t="s">
        <v>1170</v>
      </c>
      <c r="C433" s="9" t="s">
        <v>803</v>
      </c>
      <c r="D433" s="9" t="s">
        <v>803</v>
      </c>
      <c r="E433" s="6"/>
      <c r="F433" s="52"/>
      <c r="P433" s="7"/>
    </row>
    <row r="434" spans="1:16">
      <c r="A434" s="10"/>
      <c r="B434" s="9" t="s">
        <v>1171</v>
      </c>
      <c r="C434" s="12" t="s">
        <v>908</v>
      </c>
      <c r="D434" s="12" t="s">
        <v>908</v>
      </c>
      <c r="E434" s="6"/>
      <c r="F434" s="52"/>
      <c r="P434" s="7"/>
    </row>
    <row r="435" spans="1:16">
      <c r="A435" s="10"/>
      <c r="B435" s="9" t="s">
        <v>1172</v>
      </c>
      <c r="C435" s="12" t="s">
        <v>908</v>
      </c>
      <c r="D435" s="12" t="s">
        <v>908</v>
      </c>
      <c r="E435" s="6"/>
      <c r="F435" s="52"/>
      <c r="P435" s="7"/>
    </row>
    <row r="436" spans="1:16">
      <c r="A436" s="10"/>
      <c r="B436" s="9" t="s">
        <v>1173</v>
      </c>
      <c r="C436" s="9" t="s">
        <v>876</v>
      </c>
      <c r="D436" s="9" t="s">
        <v>876</v>
      </c>
      <c r="E436" s="6"/>
      <c r="F436" s="52"/>
      <c r="P436" s="7"/>
    </row>
    <row r="437" spans="1:16">
      <c r="A437" s="10"/>
      <c r="B437" s="9" t="s">
        <v>1174</v>
      </c>
      <c r="C437" s="9" t="s">
        <v>876</v>
      </c>
      <c r="D437" s="9" t="s">
        <v>876</v>
      </c>
      <c r="E437" s="6"/>
      <c r="F437" s="52"/>
      <c r="P437" s="7"/>
    </row>
    <row r="438" spans="1:16">
      <c r="A438" s="10"/>
      <c r="B438" s="9" t="s">
        <v>1175</v>
      </c>
      <c r="C438" s="9" t="s">
        <v>1176</v>
      </c>
      <c r="D438" s="9" t="s">
        <v>1176</v>
      </c>
      <c r="E438" s="6"/>
      <c r="F438" s="52"/>
      <c r="P438" s="7"/>
    </row>
    <row r="439" spans="1:16">
      <c r="A439" s="10"/>
      <c r="B439" s="9" t="s">
        <v>1177</v>
      </c>
      <c r="C439" s="9" t="s">
        <v>1178</v>
      </c>
      <c r="D439" s="9" t="s">
        <v>876</v>
      </c>
      <c r="E439" s="6"/>
      <c r="F439" s="52"/>
      <c r="P439" s="7"/>
    </row>
    <row r="440" spans="1:16">
      <c r="A440" s="10"/>
      <c r="B440" s="9" t="s">
        <v>1179</v>
      </c>
      <c r="C440" s="9" t="s">
        <v>1178</v>
      </c>
      <c r="D440" s="9" t="s">
        <v>876</v>
      </c>
      <c r="E440" s="6"/>
      <c r="F440" s="52"/>
      <c r="P440" s="7"/>
    </row>
    <row r="441" spans="1:16">
      <c r="A441" s="10"/>
      <c r="B441" s="9" t="s">
        <v>1180</v>
      </c>
      <c r="C441" s="9" t="s">
        <v>1005</v>
      </c>
      <c r="D441" s="9" t="s">
        <v>1164</v>
      </c>
      <c r="E441" s="6"/>
      <c r="F441" s="52"/>
      <c r="P441" s="7"/>
    </row>
    <row r="442" spans="1:16">
      <c r="A442" s="10"/>
      <c r="B442" s="9" t="s">
        <v>1181</v>
      </c>
      <c r="C442" s="9" t="s">
        <v>628</v>
      </c>
      <c r="D442" s="9" t="s">
        <v>628</v>
      </c>
      <c r="E442" s="6"/>
      <c r="F442" s="52"/>
      <c r="P442" s="7"/>
    </row>
    <row r="443" spans="1:16">
      <c r="A443" s="10"/>
      <c r="B443" s="9" t="s">
        <v>1182</v>
      </c>
      <c r="C443" s="9" t="s">
        <v>636</v>
      </c>
      <c r="D443" s="9" t="s">
        <v>636</v>
      </c>
      <c r="E443" s="6"/>
      <c r="F443" s="52"/>
      <c r="P443" s="7"/>
    </row>
    <row r="444" spans="1:16">
      <c r="A444" s="10"/>
      <c r="B444" s="9" t="s">
        <v>1183</v>
      </c>
      <c r="C444" s="9" t="s">
        <v>695</v>
      </c>
      <c r="D444" s="9" t="s">
        <v>695</v>
      </c>
      <c r="E444" s="6"/>
      <c r="F444" s="52"/>
      <c r="P444" s="7"/>
    </row>
    <row r="445" spans="1:16">
      <c r="A445" s="10"/>
      <c r="B445" s="9" t="s">
        <v>1184</v>
      </c>
      <c r="C445" s="9" t="s">
        <v>557</v>
      </c>
      <c r="D445" s="9" t="s">
        <v>557</v>
      </c>
      <c r="E445" s="6"/>
      <c r="F445" s="52"/>
      <c r="P445" s="7"/>
    </row>
    <row r="446" spans="1:16">
      <c r="A446" s="10"/>
      <c r="B446" s="9" t="s">
        <v>1185</v>
      </c>
      <c r="C446" s="9" t="s">
        <v>559</v>
      </c>
      <c r="D446" s="9" t="s">
        <v>559</v>
      </c>
      <c r="E446" s="6"/>
      <c r="F446" s="52"/>
      <c r="P446" s="7"/>
    </row>
    <row r="447" spans="1:16">
      <c r="A447" s="10"/>
      <c r="B447" s="9" t="s">
        <v>1186</v>
      </c>
      <c r="C447" s="9" t="s">
        <v>565</v>
      </c>
      <c r="D447" s="9" t="s">
        <v>565</v>
      </c>
      <c r="E447" s="6"/>
      <c r="F447" s="52"/>
      <c r="P447" s="7"/>
    </row>
    <row r="448" spans="1:16">
      <c r="A448" s="10"/>
      <c r="B448" s="9" t="s">
        <v>1187</v>
      </c>
      <c r="C448" s="9" t="s">
        <v>796</v>
      </c>
      <c r="D448" s="9" t="s">
        <v>796</v>
      </c>
      <c r="E448" s="6"/>
      <c r="F448" s="52"/>
      <c r="P448" s="7"/>
    </row>
    <row r="449" spans="1:16">
      <c r="A449" s="10"/>
      <c r="B449" s="9" t="s">
        <v>1188</v>
      </c>
      <c r="C449" s="9" t="s">
        <v>563</v>
      </c>
      <c r="D449" s="9" t="s">
        <v>563</v>
      </c>
      <c r="E449" s="6"/>
      <c r="F449" s="52"/>
      <c r="P449" s="7"/>
    </row>
    <row r="450" spans="1:16">
      <c r="A450" s="10"/>
      <c r="B450" s="9" t="s">
        <v>1189</v>
      </c>
      <c r="C450" s="9" t="s">
        <v>1145</v>
      </c>
      <c r="D450" s="9" t="s">
        <v>1145</v>
      </c>
      <c r="E450" s="6"/>
      <c r="F450" s="52"/>
      <c r="P450" s="7"/>
    </row>
    <row r="451" spans="1:16">
      <c r="A451" s="10"/>
      <c r="B451" s="9" t="s">
        <v>1190</v>
      </c>
      <c r="C451" s="9" t="s">
        <v>796</v>
      </c>
      <c r="D451" s="9" t="s">
        <v>796</v>
      </c>
      <c r="E451" s="6"/>
      <c r="F451" s="52"/>
      <c r="P451" s="7"/>
    </row>
    <row r="452" spans="1:16">
      <c r="A452" s="10"/>
      <c r="B452" s="9" t="s">
        <v>1191</v>
      </c>
      <c r="C452" s="9" t="s">
        <v>563</v>
      </c>
      <c r="D452" s="9" t="s">
        <v>563</v>
      </c>
      <c r="E452" s="6"/>
      <c r="F452" s="52"/>
      <c r="P452" s="7"/>
    </row>
    <row r="453" spans="1:16">
      <c r="A453" s="10"/>
      <c r="B453" s="9" t="s">
        <v>1192</v>
      </c>
      <c r="C453" s="9" t="s">
        <v>590</v>
      </c>
      <c r="D453" s="9" t="s">
        <v>590</v>
      </c>
      <c r="E453" s="6"/>
      <c r="F453" s="52"/>
      <c r="P453" s="7"/>
    </row>
    <row r="454" spans="1:16">
      <c r="A454" s="10"/>
      <c r="B454" s="9" t="s">
        <v>1193</v>
      </c>
      <c r="C454" s="9" t="s">
        <v>590</v>
      </c>
      <c r="D454" s="9" t="s">
        <v>590</v>
      </c>
      <c r="E454" s="6"/>
      <c r="F454" s="52"/>
      <c r="P454" s="7"/>
    </row>
    <row r="455" spans="1:16">
      <c r="A455" s="10"/>
      <c r="B455" s="9" t="s">
        <v>1194</v>
      </c>
      <c r="C455" s="9" t="s">
        <v>590</v>
      </c>
      <c r="D455" s="9" t="s">
        <v>590</v>
      </c>
      <c r="E455" s="6"/>
      <c r="F455" s="52"/>
      <c r="P455" s="7"/>
    </row>
    <row r="456" spans="1:16">
      <c r="A456" s="10"/>
      <c r="B456" s="9" t="s">
        <v>1195</v>
      </c>
      <c r="C456" s="9" t="s">
        <v>590</v>
      </c>
      <c r="D456" s="9" t="s">
        <v>590</v>
      </c>
      <c r="E456" s="6"/>
      <c r="F456" s="52"/>
      <c r="P456" s="7"/>
    </row>
    <row r="457" spans="1:16">
      <c r="A457" s="10"/>
      <c r="B457" s="9" t="s">
        <v>1196</v>
      </c>
      <c r="C457" s="9" t="s">
        <v>590</v>
      </c>
      <c r="D457" s="9" t="s">
        <v>590</v>
      </c>
      <c r="E457" s="6"/>
      <c r="F457" s="52"/>
      <c r="P457" s="7"/>
    </row>
    <row r="458" spans="1:16">
      <c r="A458" s="10"/>
      <c r="B458" s="9" t="s">
        <v>1197</v>
      </c>
      <c r="C458" s="9" t="s">
        <v>590</v>
      </c>
      <c r="D458" s="9" t="s">
        <v>590</v>
      </c>
      <c r="E458" s="6"/>
      <c r="F458" s="52"/>
      <c r="P458" s="7"/>
    </row>
    <row r="459" spans="1:16">
      <c r="A459" s="10"/>
      <c r="B459" s="9" t="s">
        <v>1198</v>
      </c>
      <c r="C459" s="9" t="s">
        <v>1199</v>
      </c>
      <c r="D459" s="9" t="s">
        <v>1199</v>
      </c>
      <c r="E459" s="6"/>
      <c r="F459" s="52"/>
      <c r="P459" s="7"/>
    </row>
    <row r="460" spans="1:16">
      <c r="A460" s="10"/>
      <c r="B460" s="9" t="s">
        <v>1200</v>
      </c>
      <c r="C460" s="9" t="s">
        <v>1199</v>
      </c>
      <c r="D460" s="9" t="s">
        <v>1199</v>
      </c>
      <c r="E460" s="6"/>
      <c r="F460" s="52"/>
      <c r="P460" s="7"/>
    </row>
    <row r="461" spans="1:16">
      <c r="A461" s="10"/>
      <c r="B461" s="9" t="s">
        <v>1201</v>
      </c>
      <c r="C461" s="9" t="s">
        <v>1202</v>
      </c>
      <c r="D461" s="9" t="s">
        <v>1202</v>
      </c>
      <c r="E461" s="6"/>
      <c r="F461" s="52"/>
      <c r="P461" s="7"/>
    </row>
    <row r="462" spans="1:16">
      <c r="A462" s="10"/>
      <c r="B462" s="9" t="s">
        <v>1203</v>
      </c>
      <c r="C462" s="9" t="s">
        <v>1204</v>
      </c>
      <c r="D462" s="9" t="s">
        <v>1204</v>
      </c>
      <c r="E462" s="6"/>
      <c r="F462" s="52"/>
      <c r="P462" s="7"/>
    </row>
    <row r="463" spans="1:16">
      <c r="A463" s="10"/>
      <c r="B463" s="9" t="s">
        <v>1205</v>
      </c>
      <c r="C463" s="9" t="s">
        <v>1204</v>
      </c>
      <c r="D463" s="9" t="s">
        <v>1204</v>
      </c>
      <c r="E463" s="6"/>
      <c r="F463" s="52"/>
      <c r="P463" s="7"/>
    </row>
    <row r="464" spans="1:16">
      <c r="A464" s="10"/>
      <c r="B464" s="9" t="s">
        <v>1206</v>
      </c>
      <c r="C464" s="9" t="s">
        <v>891</v>
      </c>
      <c r="D464" s="9" t="s">
        <v>891</v>
      </c>
      <c r="E464" s="6"/>
      <c r="F464" s="52"/>
      <c r="P464" s="7"/>
    </row>
    <row r="465" spans="1:16">
      <c r="A465" s="10"/>
      <c r="B465" s="9" t="s">
        <v>1207</v>
      </c>
      <c r="C465" s="9" t="s">
        <v>1208</v>
      </c>
      <c r="D465" s="9" t="s">
        <v>1208</v>
      </c>
      <c r="E465" s="6"/>
      <c r="F465" s="52"/>
      <c r="P465" s="7"/>
    </row>
    <row r="466" spans="1:16">
      <c r="A466" s="10"/>
      <c r="B466" s="9" t="s">
        <v>1209</v>
      </c>
      <c r="C466" s="9" t="s">
        <v>662</v>
      </c>
      <c r="D466" s="9" t="s">
        <v>662</v>
      </c>
      <c r="E466" s="6"/>
      <c r="F466" s="52"/>
      <c r="P466" s="7"/>
    </row>
    <row r="467" spans="1:16">
      <c r="A467" s="10"/>
      <c r="B467" s="9" t="s">
        <v>1210</v>
      </c>
      <c r="C467" s="9" t="s">
        <v>1085</v>
      </c>
      <c r="D467" s="9" t="s">
        <v>1085</v>
      </c>
      <c r="E467" s="6"/>
      <c r="F467" s="52"/>
      <c r="P467" s="7"/>
    </row>
    <row r="468" spans="1:16">
      <c r="A468" s="10"/>
      <c r="B468" s="9" t="s">
        <v>1211</v>
      </c>
      <c r="C468" s="9" t="s">
        <v>783</v>
      </c>
      <c r="D468" s="9" t="s">
        <v>783</v>
      </c>
      <c r="E468" s="6"/>
      <c r="F468" s="52"/>
      <c r="P468" s="7"/>
    </row>
    <row r="469" spans="1:16">
      <c r="A469" s="10"/>
      <c r="B469" s="9" t="s">
        <v>1212</v>
      </c>
      <c r="C469" s="9" t="s">
        <v>1208</v>
      </c>
      <c r="D469" s="9" t="s">
        <v>1208</v>
      </c>
      <c r="E469" s="6"/>
      <c r="F469" s="52"/>
      <c r="P469" s="7"/>
    </row>
    <row r="470" spans="1:16">
      <c r="A470" s="10"/>
      <c r="B470" s="9" t="s">
        <v>1213</v>
      </c>
      <c r="C470" s="9" t="s">
        <v>1214</v>
      </c>
      <c r="D470" s="9" t="s">
        <v>1214</v>
      </c>
      <c r="E470" s="6"/>
      <c r="F470" s="52"/>
      <c r="P470" s="7"/>
    </row>
    <row r="471" spans="1:16">
      <c r="A471" s="10"/>
      <c r="B471" s="9" t="s">
        <v>1215</v>
      </c>
      <c r="C471" s="9" t="s">
        <v>986</v>
      </c>
      <c r="D471" s="9" t="s">
        <v>986</v>
      </c>
      <c r="E471" s="6"/>
      <c r="F471" s="52"/>
      <c r="P471" s="7"/>
    </row>
    <row r="472" spans="1:16">
      <c r="A472" s="10"/>
      <c r="B472" s="9" t="s">
        <v>1216</v>
      </c>
      <c r="C472" s="9" t="s">
        <v>986</v>
      </c>
      <c r="D472" s="9" t="s">
        <v>986</v>
      </c>
      <c r="E472" s="6"/>
      <c r="F472" s="52"/>
      <c r="P472" s="7"/>
    </row>
    <row r="473" spans="1:16">
      <c r="A473" s="10"/>
      <c r="B473" s="9" t="s">
        <v>1217</v>
      </c>
      <c r="C473" s="9" t="s">
        <v>1204</v>
      </c>
      <c r="D473" s="9" t="s">
        <v>1204</v>
      </c>
      <c r="E473" s="6"/>
      <c r="F473" s="52"/>
      <c r="P473" s="7"/>
    </row>
    <row r="474" spans="1:16">
      <c r="A474" s="10"/>
      <c r="B474" s="9" t="s">
        <v>1218</v>
      </c>
      <c r="C474" s="9" t="s">
        <v>1219</v>
      </c>
      <c r="D474" s="9" t="s">
        <v>1219</v>
      </c>
      <c r="E474" s="6"/>
      <c r="F474" s="52"/>
      <c r="P474" s="7"/>
    </row>
    <row r="475" spans="1:16">
      <c r="A475" s="8" t="s">
        <v>1220</v>
      </c>
      <c r="B475" s="9" t="s">
        <v>1221</v>
      </c>
      <c r="C475" s="9" t="s">
        <v>1136</v>
      </c>
      <c r="D475" s="9" t="s">
        <v>1136</v>
      </c>
      <c r="E475" s="6"/>
      <c r="F475" s="52"/>
      <c r="P475" s="7"/>
    </row>
    <row r="476" spans="1:16">
      <c r="A476" s="10"/>
      <c r="B476" s="9" t="s">
        <v>1222</v>
      </c>
      <c r="C476" s="9" t="s">
        <v>1223</v>
      </c>
      <c r="D476" s="9" t="s">
        <v>1223</v>
      </c>
      <c r="E476" s="6"/>
      <c r="F476" s="52"/>
      <c r="P476" s="7"/>
    </row>
    <row r="477" spans="1:16">
      <c r="A477" s="13"/>
      <c r="B477" s="9" t="s">
        <v>1224</v>
      </c>
      <c r="C477" s="9" t="s">
        <v>821</v>
      </c>
      <c r="D477" s="9" t="s">
        <v>821</v>
      </c>
      <c r="E477" s="6"/>
      <c r="F477" s="52"/>
      <c r="P477" s="7"/>
    </row>
    <row r="478" spans="1:16">
      <c r="A478" s="8" t="s">
        <v>1220</v>
      </c>
      <c r="B478" s="9" t="s">
        <v>1225</v>
      </c>
      <c r="C478" s="9" t="s">
        <v>588</v>
      </c>
      <c r="D478" s="9" t="s">
        <v>588</v>
      </c>
      <c r="E478" s="6"/>
      <c r="F478" s="52"/>
      <c r="P478" s="7"/>
    </row>
    <row r="479" spans="1:16">
      <c r="A479" s="10"/>
      <c r="B479" s="9" t="s">
        <v>1226</v>
      </c>
      <c r="C479" s="9" t="s">
        <v>796</v>
      </c>
      <c r="D479" s="9" t="s">
        <v>796</v>
      </c>
      <c r="E479" s="6"/>
      <c r="F479" s="52"/>
      <c r="P479" s="7"/>
    </row>
    <row r="480" spans="1:16">
      <c r="A480" s="10"/>
      <c r="B480" s="9" t="s">
        <v>1227</v>
      </c>
      <c r="C480" s="9" t="s">
        <v>698</v>
      </c>
      <c r="D480" s="9" t="s">
        <v>698</v>
      </c>
      <c r="E480" s="6"/>
      <c r="F480" s="52"/>
      <c r="P480" s="7"/>
    </row>
    <row r="481" spans="1:16">
      <c r="A481" s="10"/>
      <c r="B481" s="9" t="s">
        <v>1228</v>
      </c>
      <c r="C481" s="9" t="s">
        <v>1229</v>
      </c>
      <c r="D481" s="9" t="s">
        <v>1229</v>
      </c>
      <c r="E481" s="6"/>
      <c r="F481" s="52"/>
      <c r="P481" s="7"/>
    </row>
    <row r="482" spans="1:16">
      <c r="A482" s="10"/>
      <c r="B482" s="9" t="s">
        <v>1230</v>
      </c>
      <c r="C482" s="9" t="s">
        <v>1229</v>
      </c>
      <c r="D482" s="9" t="s">
        <v>1229</v>
      </c>
      <c r="E482" s="6"/>
      <c r="F482" s="52"/>
      <c r="P482" s="7"/>
    </row>
    <row r="483" spans="1:16">
      <c r="A483" s="10"/>
      <c r="B483" s="9" t="s">
        <v>1231</v>
      </c>
      <c r="C483" s="9" t="s">
        <v>1232</v>
      </c>
      <c r="D483" s="9" t="s">
        <v>1232</v>
      </c>
      <c r="E483" s="6"/>
      <c r="F483" s="52"/>
      <c r="P483" s="7"/>
    </row>
    <row r="484" spans="1:16">
      <c r="A484" s="10"/>
      <c r="B484" s="9" t="s">
        <v>1233</v>
      </c>
      <c r="C484" s="9" t="s">
        <v>740</v>
      </c>
      <c r="D484" s="9" t="s">
        <v>740</v>
      </c>
      <c r="E484" s="6"/>
      <c r="F484" s="52"/>
      <c r="P484" s="7"/>
    </row>
    <row r="485" spans="1:16">
      <c r="A485" s="10"/>
      <c r="B485" s="9" t="s">
        <v>1234</v>
      </c>
      <c r="C485" s="9" t="s">
        <v>751</v>
      </c>
      <c r="D485" s="9" t="s">
        <v>740</v>
      </c>
      <c r="E485" s="6"/>
      <c r="F485" s="52"/>
      <c r="P485" s="7"/>
    </row>
    <row r="486" spans="1:16">
      <c r="A486" s="10"/>
      <c r="B486" s="9" t="s">
        <v>1235</v>
      </c>
      <c r="C486" s="9" t="s">
        <v>1059</v>
      </c>
      <c r="D486" s="9" t="s">
        <v>1236</v>
      </c>
      <c r="E486" s="6"/>
      <c r="F486" s="52"/>
      <c r="P486" s="7"/>
    </row>
    <row r="487" spans="1:16">
      <c r="A487" s="10"/>
      <c r="B487" s="9" t="s">
        <v>1237</v>
      </c>
      <c r="C487" s="9" t="s">
        <v>1238</v>
      </c>
      <c r="D487" s="9" t="s">
        <v>1238</v>
      </c>
      <c r="E487" s="6"/>
      <c r="F487" s="52"/>
      <c r="P487" s="7"/>
    </row>
    <row r="488" spans="1:16">
      <c r="A488" s="10"/>
      <c r="B488" s="9" t="s">
        <v>1239</v>
      </c>
      <c r="C488" s="9" t="s">
        <v>695</v>
      </c>
      <c r="D488" s="9" t="s">
        <v>695</v>
      </c>
      <c r="E488" s="6"/>
      <c r="F488" s="52"/>
      <c r="P488" s="7"/>
    </row>
    <row r="489" spans="1:16">
      <c r="A489" s="10"/>
      <c r="B489" s="9" t="s">
        <v>1240</v>
      </c>
      <c r="C489" s="9" t="s">
        <v>1241</v>
      </c>
      <c r="D489" s="9" t="s">
        <v>1241</v>
      </c>
      <c r="E489" s="6"/>
      <c r="F489" s="52"/>
      <c r="P489" s="7"/>
    </row>
    <row r="490" spans="1:16">
      <c r="A490" s="10"/>
      <c r="B490" s="9" t="s">
        <v>1242</v>
      </c>
      <c r="C490" s="9" t="s">
        <v>567</v>
      </c>
      <c r="D490" s="9" t="s">
        <v>567</v>
      </c>
      <c r="E490" s="6"/>
      <c r="F490" s="52"/>
      <c r="P490" s="7"/>
    </row>
    <row r="491" spans="1:16">
      <c r="A491" s="10"/>
      <c r="B491" s="9" t="s">
        <v>1243</v>
      </c>
      <c r="C491" s="9" t="s">
        <v>567</v>
      </c>
      <c r="D491" s="9" t="s">
        <v>567</v>
      </c>
      <c r="E491" s="6"/>
      <c r="F491" s="52"/>
      <c r="P491" s="7"/>
    </row>
    <row r="492" spans="1:16">
      <c r="A492" s="10"/>
      <c r="B492" s="9" t="s">
        <v>1244</v>
      </c>
      <c r="C492" s="9" t="s">
        <v>802</v>
      </c>
      <c r="D492" s="9" t="s">
        <v>802</v>
      </c>
      <c r="E492" s="6"/>
      <c r="F492" s="52"/>
      <c r="P492" s="7"/>
    </row>
    <row r="493" spans="1:16">
      <c r="A493" s="10"/>
      <c r="B493" s="9" t="s">
        <v>1245</v>
      </c>
      <c r="C493" s="9" t="s">
        <v>613</v>
      </c>
      <c r="D493" s="9" t="s">
        <v>613</v>
      </c>
      <c r="E493" s="6"/>
      <c r="F493" s="52"/>
      <c r="P493" s="7"/>
    </row>
    <row r="494" spans="1:16">
      <c r="A494" s="10"/>
      <c r="B494" s="9" t="s">
        <v>1246</v>
      </c>
      <c r="C494" s="9" t="s">
        <v>615</v>
      </c>
      <c r="D494" s="9" t="s">
        <v>615</v>
      </c>
      <c r="E494" s="6"/>
      <c r="F494" s="52"/>
      <c r="P494" s="7"/>
    </row>
    <row r="495" spans="1:16">
      <c r="A495" s="10"/>
      <c r="B495" s="9" t="s">
        <v>1247</v>
      </c>
      <c r="C495" s="9" t="s">
        <v>577</v>
      </c>
      <c r="D495" s="9" t="s">
        <v>577</v>
      </c>
      <c r="E495" s="6"/>
      <c r="F495" s="52"/>
      <c r="P495" s="7"/>
    </row>
    <row r="496" spans="1:16">
      <c r="A496" s="10"/>
      <c r="B496" s="9" t="s">
        <v>1248</v>
      </c>
      <c r="C496" s="9" t="s">
        <v>1249</v>
      </c>
      <c r="D496" s="9" t="s">
        <v>1249</v>
      </c>
      <c r="E496" s="6"/>
      <c r="F496" s="52"/>
      <c r="P496" s="7"/>
    </row>
    <row r="497" spans="1:16">
      <c r="A497" s="10"/>
      <c r="B497" s="9" t="s">
        <v>1250</v>
      </c>
      <c r="C497" s="9" t="s">
        <v>700</v>
      </c>
      <c r="D497" s="9" t="s">
        <v>700</v>
      </c>
      <c r="E497" s="6"/>
      <c r="F497" s="52"/>
      <c r="P497" s="7"/>
    </row>
    <row r="498" spans="1:16">
      <c r="A498" s="10"/>
      <c r="B498" s="9" t="s">
        <v>1251</v>
      </c>
      <c r="C498" s="9" t="s">
        <v>590</v>
      </c>
      <c r="D498" s="9" t="s">
        <v>590</v>
      </c>
      <c r="E498" s="6"/>
      <c r="F498" s="52"/>
      <c r="P498" s="7"/>
    </row>
    <row r="499" spans="1:16">
      <c r="A499" s="10"/>
      <c r="B499" s="9" t="s">
        <v>1252</v>
      </c>
      <c r="C499" s="9" t="s">
        <v>619</v>
      </c>
      <c r="D499" s="9" t="s">
        <v>619</v>
      </c>
      <c r="E499" s="6"/>
      <c r="F499" s="52"/>
      <c r="P499" s="7"/>
    </row>
    <row r="500" spans="1:16">
      <c r="A500" s="10"/>
      <c r="B500" s="9" t="s">
        <v>1253</v>
      </c>
      <c r="C500" s="9" t="s">
        <v>607</v>
      </c>
      <c r="D500" s="9" t="s">
        <v>607</v>
      </c>
      <c r="E500" s="6"/>
      <c r="F500" s="52"/>
      <c r="P500" s="7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并发场景</vt:lpstr>
      <vt:lpstr>综合打分</vt:lpstr>
      <vt:lpstr>Response Time </vt:lpstr>
      <vt:lpstr>App Sources</vt:lpstr>
      <vt:lpstr>Baidu 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Lu Lu (L.)</dc:creator>
  <cp:keywords/>
  <dc:description/>
  <cp:lastModifiedBy>Microsoft Office User</cp:lastModifiedBy>
  <cp:revision/>
  <dcterms:created xsi:type="dcterms:W3CDTF">2015-06-06T02:17:00Z</dcterms:created>
  <dcterms:modified xsi:type="dcterms:W3CDTF">2022-11-10T03:59:28Z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1395BE0534791932CD714E634530CBB4</vt:lpwstr>
  </property>
</Properties>
</file>